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user\Desktop\契約書類\契約書類\地域密着型契約書\"/>
    </mc:Choice>
  </mc:AlternateContent>
  <xr:revisionPtr revIDLastSave="0" documentId="13_ncr:1_{11143036-39A6-414F-8DA5-D141A2EBD5F4}" xr6:coauthVersionLast="47" xr6:coauthVersionMax="47" xr10:uidLastSave="{00000000-0000-0000-0000-000000000000}"/>
  <bookViews>
    <workbookView xWindow="-120" yWindow="-120" windowWidth="29040" windowHeight="15840" tabRatio="873" activeTab="2" xr2:uid="{00000000-000D-0000-FFFF-FFFF00000000}"/>
  </bookViews>
  <sheets>
    <sheet name="帳票一覧" sheetId="107" state="hidden" r:id="rId1"/>
    <sheet name="【マスター】" sheetId="150" r:id="rId2"/>
    <sheet name="通所契約書 " sheetId="137" r:id="rId3"/>
    <sheet name="通所重説 (別表)" sheetId="170" r:id="rId4"/>
    <sheet name="通所重説" sheetId="151" r:id="rId5"/>
    <sheet name="介護S契約書 " sheetId="138" r:id="rId6"/>
    <sheet name="介護S重説" sheetId="152" r:id="rId7"/>
    <sheet name="サービス内容説明書" sheetId="180" r:id="rId8"/>
    <sheet name="同意書" sheetId="98" r:id="rId9"/>
    <sheet name="委任状" sheetId="99" r:id="rId10"/>
    <sheet name="利用相談" sheetId="93" r:id="rId11"/>
    <sheet name="緊急時連絡カード" sheetId="154" r:id="rId12"/>
    <sheet name="請求内容内訳" sheetId="131" state="hidden" r:id="rId13"/>
    <sheet name="料金表（1回分)" sheetId="186" r:id="rId14"/>
    <sheet name="お泊まり概算見積" sheetId="185" r:id="rId15"/>
    <sheet name="見積書（保険外含む）" sheetId="187" r:id="rId16"/>
    <sheet name="お泊まり概算見積（特例）" sheetId="182" r:id="rId17"/>
    <sheet name="通所重説(掲示)" sheetId="103" r:id="rId18"/>
    <sheet name="通所運営規程" sheetId="155" r:id="rId19"/>
    <sheet name="通所運営規程 (人数詳細)" sheetId="129" r:id="rId20"/>
    <sheet name="介護S重説(掲示)" sheetId="128" r:id="rId21"/>
    <sheet name="介護S運営規程" sheetId="91" r:id="rId22"/>
    <sheet name="個人情報基本方針" sheetId="104" r:id="rId23"/>
    <sheet name="経過表（内）" sheetId="121" state="hidden" r:id="rId24"/>
    <sheet name="経過表（外）" sheetId="109" state="hidden" r:id="rId25"/>
  </sheets>
  <definedNames>
    <definedName name="①" localSheetId="13">#REF!</definedName>
    <definedName name="①">#REF!</definedName>
    <definedName name="_xlnm.Print_Area" localSheetId="1">【マスター】!$A$2:$M$162</definedName>
    <definedName name="_xlnm.Print_Area" localSheetId="14">お泊まり概算見積!$A$1:$K$51</definedName>
    <definedName name="_xlnm.Print_Area" localSheetId="16">'お泊まり概算見積（特例）'!$A$1:$K$62</definedName>
    <definedName name="_xlnm.Print_Area" localSheetId="7">サービス内容説明書!$A$2:$X$47</definedName>
    <definedName name="_xlnm.Print_Area" localSheetId="9">委任状!$A$1:$T$53</definedName>
    <definedName name="_xlnm.Print_Area" localSheetId="21">介護S運営規程!$A$1:$T$217</definedName>
    <definedName name="_xlnm.Print_Area" localSheetId="5">'介護S契約書 '!$A$1:$T$330</definedName>
    <definedName name="_xlnm.Print_Area" localSheetId="6">介護S重説!$A$1:$T$224</definedName>
    <definedName name="_xlnm.Print_Area" localSheetId="20">'介護S重説(掲示)'!$A$1:$T$131</definedName>
    <definedName name="_xlnm.Print_Area" localSheetId="11">緊急時連絡カード!$A$1:$AF$50</definedName>
    <definedName name="_xlnm.Print_Area" localSheetId="24">'経過表（外）'!$A$1:$AA$56</definedName>
    <definedName name="_xlnm.Print_Area" localSheetId="23">'経過表（内）'!$A$1:$AC$54</definedName>
    <definedName name="_xlnm.Print_Area" localSheetId="15">'見積書（保険外含む）'!$A$2:$X$46</definedName>
    <definedName name="_xlnm.Print_Area" localSheetId="22">個人情報基本方針!$A$1:$T$41</definedName>
    <definedName name="_xlnm.Print_Area" localSheetId="12">請求内容内訳!$A$1:$T$57</definedName>
    <definedName name="_xlnm.Print_Area" localSheetId="18">通所運営規程!$A$1:$T$207</definedName>
    <definedName name="_xlnm.Print_Area" localSheetId="19">'通所運営規程 (人数詳細)'!$A$1:$T$300</definedName>
    <definedName name="_xlnm.Print_Area" localSheetId="2">'通所契約書 '!$A$1:$T$267</definedName>
    <definedName name="_xlnm.Print_Area" localSheetId="4">通所重説!$A$1:$T$320</definedName>
    <definedName name="_xlnm.Print_Area" localSheetId="3">'通所重説 (別表)'!$A$1:$H$134</definedName>
    <definedName name="_xlnm.Print_Area" localSheetId="17">'通所重説(掲示)'!$A$1:$T$131</definedName>
    <definedName name="_xlnm.Print_Area" localSheetId="8">同意書!$A$1:$T$49</definedName>
    <definedName name="_xlnm.Print_Area" localSheetId="10">利用相談!$A$1:$AG$40</definedName>
    <definedName name="_xlnm.Print_Area" localSheetId="13">'料金表（1回分)'!$A$1:$K$62</definedName>
    <definedName name="なし" localSheetId="14">#REF!</definedName>
    <definedName name="なし" localSheetId="13">#REF!</definedName>
    <definedName name="なし">#REF!</definedName>
    <definedName name="延長加算" localSheetId="14">#REF!</definedName>
    <definedName name="延長加算" localSheetId="13">#REF!</definedName>
    <definedName name="延長加算">#REF!</definedName>
    <definedName name="延長加算算定時" localSheetId="14">#REF!</definedName>
    <definedName name="延長加算算定時" localSheetId="13">#REF!</definedName>
    <definedName name="延長加算算定時">#REF!</definedName>
    <definedName name="機能訓練加算種類" localSheetId="1">【マスター】!$P$54:$P$56</definedName>
    <definedName name="機能訓練加算種類" localSheetId="14">#REF!</definedName>
    <definedName name="機能訓練加算種類" localSheetId="3">#REF!</definedName>
    <definedName name="機能訓練加算種類" localSheetId="13">#REF!</definedName>
    <definedName name="機能訓練加算種類">#REF!</definedName>
    <definedName name="機能訓練加算単位数" localSheetId="1">【マスター】!$P$54:$P$56</definedName>
    <definedName name="機能訓練加算単位数" localSheetId="14">#REF!</definedName>
    <definedName name="機能訓練加算単位数" localSheetId="3">#REF!</definedName>
    <definedName name="機能訓練加算単位数" localSheetId="13">#REF!</definedName>
    <definedName name="機能訓練加算単位数">#REF!</definedName>
    <definedName name="自費延長" localSheetId="14">#REF!</definedName>
    <definedName name="自費延長" localSheetId="13">#REF!</definedName>
    <definedName name="自費延長">#REF!</definedName>
    <definedName name="要介護１" localSheetId="15">'見積書（保険外含む）'!$AE$12:$AE$45</definedName>
    <definedName name="要介護１">サービス内容説明書!$AE$12:$AE$45</definedName>
    <definedName name="要介護２" localSheetId="15">'見積書（保険外含む）'!$AE$48:$AE$81</definedName>
    <definedName name="要介護２">サービス内容説明書!$AE$48:$AE$81</definedName>
    <definedName name="要介護３" localSheetId="15">'見積書（保険外含む）'!$AE$84:$AE$117</definedName>
    <definedName name="要介護３">サービス内容説明書!$AE$84:$AE$117</definedName>
    <definedName name="要介護４" localSheetId="15">'見積書（保険外含む）'!$AE$120:$AE$153</definedName>
    <definedName name="要介護４">サービス内容説明書!$AE$120:$AE$153</definedName>
    <definedName name="要介護５" localSheetId="15">'見積書（保険外含む）'!$AE$156:$AE$189</definedName>
    <definedName name="要介護５">サービス内容説明書!$AE$156:$AE$189</definedName>
  </definedNames>
  <calcPr calcId="191029"/>
</workbook>
</file>

<file path=xl/calcChain.xml><?xml version="1.0" encoding="utf-8"?>
<calcChain xmlns="http://schemas.openxmlformats.org/spreadsheetml/2006/main">
  <c r="O15" i="187" l="1"/>
  <c r="S35" i="180"/>
  <c r="S34" i="180"/>
  <c r="S33" i="180"/>
  <c r="A58" i="137"/>
  <c r="O34" i="180"/>
  <c r="T34" i="180" s="1"/>
  <c r="T36" i="180"/>
  <c r="A4" i="180"/>
  <c r="F8" i="154"/>
  <c r="I103" i="150"/>
  <c r="G103" i="150"/>
  <c r="E103" i="150"/>
  <c r="K8" i="187"/>
  <c r="G8" i="187"/>
  <c r="K22" i="187"/>
  <c r="K22" i="180"/>
  <c r="K8" i="180" l="1"/>
  <c r="G8" i="180"/>
  <c r="F76" i="150"/>
  <c r="F75" i="150"/>
  <c r="F74" i="150"/>
  <c r="AC43" i="150" l="1"/>
  <c r="D56" i="150"/>
  <c r="K35" i="185"/>
  <c r="I35" i="185"/>
  <c r="G35" i="185"/>
  <c r="E35" i="185"/>
  <c r="C35" i="185"/>
  <c r="K26" i="185"/>
  <c r="I26" i="185"/>
  <c r="G26" i="185"/>
  <c r="E26" i="185"/>
  <c r="C26" i="185"/>
  <c r="K17" i="185"/>
  <c r="I17" i="185"/>
  <c r="G17" i="185"/>
  <c r="E17" i="185"/>
  <c r="C17" i="185"/>
  <c r="K8" i="185"/>
  <c r="I8" i="185"/>
  <c r="G8" i="185"/>
  <c r="E8" i="185"/>
  <c r="C8" i="185"/>
  <c r="K45" i="182"/>
  <c r="I45" i="182"/>
  <c r="G45" i="182"/>
  <c r="E45" i="182"/>
  <c r="C45" i="182"/>
  <c r="K36" i="182"/>
  <c r="I36" i="182"/>
  <c r="G36" i="182"/>
  <c r="E36" i="182"/>
  <c r="C36" i="182"/>
  <c r="K27" i="182"/>
  <c r="I27" i="182"/>
  <c r="G27" i="182"/>
  <c r="E27" i="182"/>
  <c r="C27" i="182"/>
  <c r="K18" i="182"/>
  <c r="I18" i="182"/>
  <c r="G18" i="182"/>
  <c r="E18" i="182"/>
  <c r="C18" i="182"/>
  <c r="K8" i="182"/>
  <c r="I8" i="182"/>
  <c r="G8" i="182"/>
  <c r="E8" i="182"/>
  <c r="C8" i="182"/>
  <c r="M138" i="129" l="1"/>
  <c r="M137" i="129"/>
  <c r="N42" i="182"/>
  <c r="N43" i="182"/>
  <c r="N44" i="182"/>
  <c r="N45" i="182"/>
  <c r="N41" i="182"/>
  <c r="F38" i="186"/>
  <c r="AB26" i="180"/>
  <c r="AB27" i="180"/>
  <c r="AB28" i="180"/>
  <c r="AB29" i="180"/>
  <c r="AB25" i="180"/>
  <c r="AB26" i="187"/>
  <c r="AB27" i="187"/>
  <c r="AB28" i="187"/>
  <c r="AB29" i="187"/>
  <c r="AB25" i="187"/>
  <c r="C92" i="91"/>
  <c r="C84" i="91"/>
  <c r="C83" i="91"/>
  <c r="N82" i="91"/>
  <c r="N81" i="91"/>
  <c r="P90" i="91"/>
  <c r="P91" i="91"/>
  <c r="M95" i="155"/>
  <c r="M94" i="155"/>
  <c r="J58" i="103"/>
  <c r="J57" i="103"/>
  <c r="K54" i="150"/>
  <c r="P17" i="185" s="1"/>
  <c r="O62" i="182"/>
  <c r="O59" i="182"/>
  <c r="O58" i="182"/>
  <c r="O55" i="182"/>
  <c r="O54" i="182"/>
  <c r="O53" i="182"/>
  <c r="O52" i="185"/>
  <c r="O49" i="185"/>
  <c r="O48" i="185"/>
  <c r="O44" i="185"/>
  <c r="O45" i="185"/>
  <c r="O43" i="185"/>
  <c r="S12" i="180"/>
  <c r="S13" i="180"/>
  <c r="S14" i="180"/>
  <c r="S15" i="180"/>
  <c r="S16" i="180"/>
  <c r="S17" i="180"/>
  <c r="S11" i="180"/>
  <c r="I12" i="180"/>
  <c r="I13" i="180"/>
  <c r="I16" i="180"/>
  <c r="I17" i="180"/>
  <c r="I11" i="180"/>
  <c r="S12" i="187"/>
  <c r="S13" i="187"/>
  <c r="S14" i="187"/>
  <c r="S15" i="187"/>
  <c r="S16" i="187"/>
  <c r="S17" i="187"/>
  <c r="S11" i="187"/>
  <c r="O12" i="187"/>
  <c r="O16" i="187"/>
  <c r="O17" i="187"/>
  <c r="AG162" i="187"/>
  <c r="O11" i="187" s="1"/>
  <c r="AG161" i="187"/>
  <c r="AG160" i="187"/>
  <c r="AG159" i="187"/>
  <c r="AG158" i="187"/>
  <c r="AG156" i="187" s="1"/>
  <c r="AG157" i="187"/>
  <c r="AG126" i="187"/>
  <c r="AG125" i="187"/>
  <c r="AG124" i="187"/>
  <c r="AG123" i="187"/>
  <c r="AG122" i="187"/>
  <c r="AG120" i="187" s="1"/>
  <c r="AG121" i="187"/>
  <c r="AG90" i="187"/>
  <c r="AG89" i="187"/>
  <c r="AG88" i="187"/>
  <c r="AG87" i="187"/>
  <c r="AG86" i="187"/>
  <c r="AG84" i="187" s="1"/>
  <c r="AG85" i="187"/>
  <c r="AG54" i="187"/>
  <c r="AG53" i="187"/>
  <c r="AG52" i="187"/>
  <c r="AG51" i="187"/>
  <c r="AG50" i="187"/>
  <c r="AG48" i="187" s="1"/>
  <c r="AG49" i="187"/>
  <c r="AG18" i="187"/>
  <c r="AG17" i="187"/>
  <c r="AG16" i="187"/>
  <c r="AG15" i="187"/>
  <c r="AG14" i="187"/>
  <c r="AG12" i="187" s="1"/>
  <c r="AG13" i="187"/>
  <c r="AK40" i="187"/>
  <c r="AK39" i="187"/>
  <c r="AK38" i="187"/>
  <c r="AK37" i="187"/>
  <c r="AK36" i="187"/>
  <c r="AK35" i="187"/>
  <c r="AK34" i="187"/>
  <c r="AK33" i="187"/>
  <c r="AK32" i="187"/>
  <c r="AK31" i="187"/>
  <c r="AK40" i="180"/>
  <c r="AK39" i="180"/>
  <c r="AK38" i="180"/>
  <c r="AK37" i="180"/>
  <c r="AK36" i="180"/>
  <c r="AK35" i="180"/>
  <c r="AK34" i="180"/>
  <c r="AK33" i="180"/>
  <c r="AK32" i="180"/>
  <c r="AK31" i="180"/>
  <c r="AL40" i="187"/>
  <c r="AL39" i="187"/>
  <c r="AL38" i="187"/>
  <c r="AL37" i="187"/>
  <c r="AL36" i="187"/>
  <c r="AL35" i="187"/>
  <c r="AL34" i="187"/>
  <c r="AL33" i="187"/>
  <c r="AL32" i="187"/>
  <c r="AL31" i="187"/>
  <c r="AB21" i="187"/>
  <c r="AB20" i="187"/>
  <c r="AB19" i="187"/>
  <c r="H21" i="187" s="1"/>
  <c r="AB13" i="187"/>
  <c r="AC13" i="187" s="1"/>
  <c r="AB12" i="187"/>
  <c r="AC12" i="187" s="1"/>
  <c r="AB11" i="187"/>
  <c r="AC11" i="187" s="1"/>
  <c r="AB13" i="180"/>
  <c r="AB12" i="180"/>
  <c r="AB11" i="180"/>
  <c r="AG45" i="187" l="1"/>
  <c r="AG117" i="187"/>
  <c r="AG153" i="187"/>
  <c r="AG189" i="187"/>
  <c r="O33" i="187"/>
  <c r="S39" i="187"/>
  <c r="O38" i="187"/>
  <c r="S38" i="187"/>
  <c r="S36" i="187"/>
  <c r="S40" i="187"/>
  <c r="O35" i="187"/>
  <c r="O40" i="187"/>
  <c r="S37" i="187"/>
  <c r="S41" i="187"/>
  <c r="O37" i="187"/>
  <c r="O41" i="187"/>
  <c r="O34" i="187"/>
  <c r="S35" i="187"/>
  <c r="S33" i="187"/>
  <c r="S34" i="187"/>
  <c r="O39" i="187"/>
  <c r="P17" i="182"/>
  <c r="AG81" i="187"/>
  <c r="J38" i="186"/>
  <c r="O36" i="187"/>
  <c r="AC13" i="180"/>
  <c r="AC12" i="180"/>
  <c r="AC11" i="180"/>
  <c r="R17" i="182" l="1"/>
  <c r="AB21" i="180"/>
  <c r="AB20" i="180"/>
  <c r="AB19" i="180"/>
  <c r="AG157" i="180"/>
  <c r="AG158" i="180"/>
  <c r="AG156" i="180" s="1"/>
  <c r="AG159" i="180"/>
  <c r="AG160" i="180"/>
  <c r="AG161" i="180"/>
  <c r="AG162" i="180"/>
  <c r="AG126" i="180"/>
  <c r="AG125" i="180"/>
  <c r="AG124" i="180"/>
  <c r="AG123" i="180"/>
  <c r="AG122" i="180"/>
  <c r="AG120" i="180" s="1"/>
  <c r="AG121" i="180"/>
  <c r="AG90" i="180"/>
  <c r="AG89" i="180"/>
  <c r="AG88" i="180"/>
  <c r="AG87" i="180"/>
  <c r="AG86" i="180"/>
  <c r="AG84" i="180" s="1"/>
  <c r="AG85" i="180"/>
  <c r="AG54" i="180"/>
  <c r="AG53" i="180"/>
  <c r="AG52" i="180"/>
  <c r="AG51" i="180"/>
  <c r="AG50" i="180"/>
  <c r="AG48" i="180" s="1"/>
  <c r="AG49" i="180"/>
  <c r="AG189" i="180"/>
  <c r="AG153" i="180"/>
  <c r="AG117" i="180"/>
  <c r="AG81" i="180"/>
  <c r="AL40" i="180"/>
  <c r="AL39" i="180"/>
  <c r="AL38" i="180"/>
  <c r="AL37" i="180"/>
  <c r="AL36" i="180"/>
  <c r="O35" i="180" s="1"/>
  <c r="T35" i="180" s="1"/>
  <c r="AL35" i="180"/>
  <c r="AL34" i="180"/>
  <c r="AL33" i="180"/>
  <c r="AL32" i="180"/>
  <c r="AL31" i="180"/>
  <c r="O33" i="180" s="1"/>
  <c r="AG18" i="180"/>
  <c r="AG17" i="180"/>
  <c r="AG16" i="180"/>
  <c r="AG15" i="180"/>
  <c r="AG14" i="180"/>
  <c r="AG12" i="180" s="1"/>
  <c r="AG13" i="180"/>
  <c r="AG45" i="180"/>
  <c r="AU50" i="150"/>
  <c r="AU62" i="150" s="1"/>
  <c r="AU49" i="150"/>
  <c r="AU61" i="150" s="1"/>
  <c r="L54" i="150" s="1"/>
  <c r="E52" i="170" s="1"/>
  <c r="H52" i="170" s="1"/>
  <c r="AU48" i="150"/>
  <c r="AU60" i="150" s="1"/>
  <c r="AU47" i="150"/>
  <c r="AU59" i="150" s="1"/>
  <c r="AU46" i="150"/>
  <c r="AU58" i="150" s="1"/>
  <c r="AU45" i="150"/>
  <c r="AU57" i="150" s="1"/>
  <c r="AU44" i="150"/>
  <c r="AU56" i="150" s="1"/>
  <c r="AU43" i="150"/>
  <c r="AU55" i="150" s="1"/>
  <c r="D52" i="170"/>
  <c r="E100" i="170"/>
  <c r="E99" i="170"/>
  <c r="H21" i="180" l="1"/>
  <c r="K38" i="186"/>
  <c r="Q17" i="185"/>
  <c r="Q17" i="182"/>
  <c r="G52" i="170"/>
  <c r="F52" i="170"/>
  <c r="M63" i="128" l="1"/>
  <c r="M62" i="182"/>
  <c r="M63" i="182" s="1"/>
  <c r="I61" i="182" s="1"/>
  <c r="M52" i="185"/>
  <c r="M53" i="185" s="1"/>
  <c r="I50" i="185" s="1"/>
  <c r="M49" i="185"/>
  <c r="J34" i="186"/>
  <c r="I34" i="186"/>
  <c r="M56" i="152" l="1"/>
  <c r="J218" i="91" l="1"/>
  <c r="J219" i="91"/>
  <c r="J220" i="91"/>
  <c r="J221" i="91"/>
  <c r="J222" i="91"/>
  <c r="J223" i="91"/>
  <c r="J224" i="91"/>
  <c r="J225" i="91"/>
  <c r="J226" i="91"/>
  <c r="J227" i="91"/>
  <c r="J228" i="91"/>
  <c r="J229" i="91"/>
  <c r="J230" i="91"/>
  <c r="J231" i="91"/>
  <c r="J232" i="91"/>
  <c r="J233" i="91"/>
  <c r="J234" i="91"/>
  <c r="J235" i="91"/>
  <c r="J236" i="91"/>
  <c r="J237" i="91"/>
  <c r="J238" i="91"/>
  <c r="J239" i="91"/>
  <c r="J240" i="91"/>
  <c r="J241" i="91"/>
  <c r="J242" i="91"/>
  <c r="J243" i="91"/>
  <c r="J244" i="91"/>
  <c r="J245" i="91"/>
  <c r="J246" i="91"/>
  <c r="J247" i="91"/>
  <c r="J248" i="91"/>
  <c r="J249" i="91"/>
  <c r="J250" i="91"/>
  <c r="J251" i="91"/>
  <c r="J252" i="91"/>
  <c r="J253" i="91"/>
  <c r="J254" i="91"/>
  <c r="J255" i="91"/>
  <c r="J256" i="91"/>
  <c r="J257" i="91"/>
  <c r="J258" i="91"/>
  <c r="J259" i="91"/>
  <c r="J260" i="91"/>
  <c r="J217" i="91"/>
  <c r="J202" i="155"/>
  <c r="H257" i="91"/>
  <c r="H258" i="91"/>
  <c r="H259" i="91"/>
  <c r="H260"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17" i="91"/>
  <c r="H202" i="155"/>
  <c r="K218" i="91"/>
  <c r="K219" i="91"/>
  <c r="K220" i="91"/>
  <c r="K221" i="91"/>
  <c r="K222" i="91"/>
  <c r="K223" i="91"/>
  <c r="K224" i="91"/>
  <c r="K225" i="91"/>
  <c r="K226" i="91"/>
  <c r="K227" i="91"/>
  <c r="K228" i="91"/>
  <c r="K229" i="91"/>
  <c r="K230" i="91"/>
  <c r="K231" i="91"/>
  <c r="K232" i="91"/>
  <c r="K233" i="91"/>
  <c r="K234" i="91"/>
  <c r="K235" i="91"/>
  <c r="K236" i="91"/>
  <c r="K237" i="91"/>
  <c r="K238" i="91"/>
  <c r="K239" i="91"/>
  <c r="K240" i="91"/>
  <c r="K241" i="91"/>
  <c r="K242" i="91"/>
  <c r="K243" i="91"/>
  <c r="K244" i="91"/>
  <c r="K245" i="91"/>
  <c r="K246" i="91"/>
  <c r="K247" i="91"/>
  <c r="K248" i="91"/>
  <c r="K249" i="91"/>
  <c r="K250" i="91"/>
  <c r="K251" i="91"/>
  <c r="K252" i="91"/>
  <c r="K253" i="91"/>
  <c r="K254" i="91"/>
  <c r="K255" i="91"/>
  <c r="K256" i="91"/>
  <c r="K257" i="91"/>
  <c r="K258" i="91"/>
  <c r="K259" i="91"/>
  <c r="K260" i="91"/>
  <c r="K217" i="91"/>
  <c r="K289" i="129"/>
  <c r="I218" i="91"/>
  <c r="I219" i="91"/>
  <c r="I220" i="91"/>
  <c r="I221" i="91"/>
  <c r="I222" i="91"/>
  <c r="I223" i="91"/>
  <c r="I224" i="91"/>
  <c r="I225" i="91"/>
  <c r="I226" i="91"/>
  <c r="I227" i="91"/>
  <c r="I228" i="91"/>
  <c r="I229" i="91"/>
  <c r="I230" i="91"/>
  <c r="I231" i="91"/>
  <c r="I232" i="91"/>
  <c r="I233" i="91"/>
  <c r="I234" i="91"/>
  <c r="I235" i="91"/>
  <c r="I236" i="91"/>
  <c r="I237" i="91"/>
  <c r="I238" i="91"/>
  <c r="I239" i="91"/>
  <c r="I240" i="91"/>
  <c r="I241" i="91"/>
  <c r="I242" i="91"/>
  <c r="I243" i="91"/>
  <c r="I244" i="91"/>
  <c r="I245" i="91"/>
  <c r="I246" i="91"/>
  <c r="I247" i="91"/>
  <c r="I248" i="91"/>
  <c r="I249" i="91"/>
  <c r="I250" i="91"/>
  <c r="I251" i="91"/>
  <c r="I252" i="91"/>
  <c r="I253" i="91"/>
  <c r="I254" i="91"/>
  <c r="I255" i="91"/>
  <c r="I256" i="91"/>
  <c r="I257" i="91"/>
  <c r="I258" i="91"/>
  <c r="I259" i="91"/>
  <c r="I260" i="91"/>
  <c r="I217" i="91"/>
  <c r="I202" i="155"/>
  <c r="F218" i="91"/>
  <c r="F219" i="91"/>
  <c r="F220" i="91"/>
  <c r="F221" i="91"/>
  <c r="F222" i="91"/>
  <c r="F223" i="91"/>
  <c r="F224" i="91"/>
  <c r="F225" i="91"/>
  <c r="F226" i="91"/>
  <c r="F227" i="91"/>
  <c r="F228" i="91"/>
  <c r="F229" i="91"/>
  <c r="F230" i="91"/>
  <c r="F231" i="91"/>
  <c r="F232" i="91"/>
  <c r="F233" i="91"/>
  <c r="F234" i="91"/>
  <c r="F235" i="91"/>
  <c r="F236" i="91"/>
  <c r="F237" i="91"/>
  <c r="F238" i="91"/>
  <c r="F239" i="91"/>
  <c r="F240" i="91"/>
  <c r="F241" i="91"/>
  <c r="F242" i="91"/>
  <c r="F243" i="91"/>
  <c r="F244" i="91"/>
  <c r="F245" i="91"/>
  <c r="F246" i="91"/>
  <c r="F247" i="91"/>
  <c r="F248" i="91"/>
  <c r="F249" i="91"/>
  <c r="F250" i="91"/>
  <c r="F251" i="91"/>
  <c r="F252" i="91"/>
  <c r="F253" i="91"/>
  <c r="F254" i="91"/>
  <c r="F255" i="91"/>
  <c r="F256" i="91"/>
  <c r="F257" i="91"/>
  <c r="F258" i="91"/>
  <c r="F259" i="91"/>
  <c r="F260" i="91"/>
  <c r="F217" i="91"/>
  <c r="F202" i="155"/>
  <c r="G218" i="91"/>
  <c r="G219" i="91"/>
  <c r="G220" i="91"/>
  <c r="G221" i="91"/>
  <c r="G222" i="91"/>
  <c r="G223" i="91"/>
  <c r="G224" i="91"/>
  <c r="G225" i="91"/>
  <c r="G226" i="91"/>
  <c r="G227" i="91"/>
  <c r="G228" i="91"/>
  <c r="G229" i="91"/>
  <c r="G230" i="91"/>
  <c r="G231" i="91"/>
  <c r="G232" i="91"/>
  <c r="G233" i="91"/>
  <c r="G234" i="91"/>
  <c r="G235" i="91"/>
  <c r="G236" i="91"/>
  <c r="G237" i="91"/>
  <c r="G238" i="91"/>
  <c r="G239" i="91"/>
  <c r="G240" i="91"/>
  <c r="G241" i="91"/>
  <c r="G242" i="91"/>
  <c r="G243" i="91"/>
  <c r="G244" i="91"/>
  <c r="G245" i="91"/>
  <c r="G246" i="91"/>
  <c r="G247" i="91"/>
  <c r="G248" i="91"/>
  <c r="G249" i="91"/>
  <c r="G250" i="91"/>
  <c r="G251" i="91"/>
  <c r="G252" i="91"/>
  <c r="G253" i="91"/>
  <c r="G254" i="91"/>
  <c r="G255" i="91"/>
  <c r="G256" i="91"/>
  <c r="G257" i="91"/>
  <c r="G258" i="91"/>
  <c r="G259" i="91"/>
  <c r="G260" i="91"/>
  <c r="G217" i="91"/>
  <c r="G202" i="155"/>
  <c r="L218" i="91"/>
  <c r="L219" i="91"/>
  <c r="L220" i="91"/>
  <c r="L221" i="91"/>
  <c r="L222" i="91"/>
  <c r="L223" i="91"/>
  <c r="L224" i="91"/>
  <c r="L225" i="91"/>
  <c r="L226" i="91"/>
  <c r="L227" i="91"/>
  <c r="L228" i="91"/>
  <c r="L229" i="91"/>
  <c r="L230" i="91"/>
  <c r="L231" i="91"/>
  <c r="L232" i="91"/>
  <c r="L233" i="91"/>
  <c r="L234" i="91"/>
  <c r="L235" i="91"/>
  <c r="L236" i="91"/>
  <c r="L237" i="91"/>
  <c r="L238" i="91"/>
  <c r="L239" i="91"/>
  <c r="L240" i="91"/>
  <c r="L241" i="91"/>
  <c r="L242" i="91"/>
  <c r="L243" i="91"/>
  <c r="L244" i="91"/>
  <c r="L245" i="91"/>
  <c r="L246" i="91"/>
  <c r="L247" i="91"/>
  <c r="L248" i="91"/>
  <c r="L249" i="91"/>
  <c r="L250" i="91"/>
  <c r="L251" i="91"/>
  <c r="L252" i="91"/>
  <c r="L253" i="91"/>
  <c r="L254" i="91"/>
  <c r="L255" i="91"/>
  <c r="L256" i="91"/>
  <c r="L257" i="91"/>
  <c r="L258" i="91"/>
  <c r="L259" i="91"/>
  <c r="L260" i="91"/>
  <c r="L217" i="91"/>
  <c r="E218" i="91"/>
  <c r="E219" i="91"/>
  <c r="E220" i="91"/>
  <c r="E221" i="91"/>
  <c r="E222" i="91"/>
  <c r="E223" i="91"/>
  <c r="E224" i="91"/>
  <c r="E225" i="91"/>
  <c r="E226" i="91"/>
  <c r="E227" i="91"/>
  <c r="E228" i="91"/>
  <c r="E229" i="91"/>
  <c r="E230" i="91"/>
  <c r="E231" i="91"/>
  <c r="E232" i="91"/>
  <c r="E233" i="91"/>
  <c r="E234" i="91"/>
  <c r="E235" i="91"/>
  <c r="E236" i="91"/>
  <c r="E237" i="91"/>
  <c r="E238" i="91"/>
  <c r="E239" i="91"/>
  <c r="E240" i="91"/>
  <c r="E241" i="91"/>
  <c r="E242" i="91"/>
  <c r="E243" i="91"/>
  <c r="E244" i="91"/>
  <c r="E245" i="91"/>
  <c r="E246" i="91"/>
  <c r="E247" i="91"/>
  <c r="E248" i="91"/>
  <c r="E249" i="91"/>
  <c r="E250" i="91"/>
  <c r="E251" i="91"/>
  <c r="E252" i="91"/>
  <c r="E253" i="91"/>
  <c r="E254" i="91"/>
  <c r="E255" i="91"/>
  <c r="E256" i="91"/>
  <c r="E257" i="91"/>
  <c r="E258" i="91"/>
  <c r="E259" i="91"/>
  <c r="E260" i="91"/>
  <c r="E217" i="91"/>
  <c r="E202" i="155"/>
  <c r="E203" i="155" l="1"/>
  <c r="F203" i="155"/>
  <c r="G203" i="155"/>
  <c r="H203" i="155"/>
  <c r="I203" i="155"/>
  <c r="J203" i="155"/>
  <c r="K203" i="155"/>
  <c r="L203" i="155"/>
  <c r="E204" i="155"/>
  <c r="F204" i="155"/>
  <c r="G204" i="155"/>
  <c r="H204" i="155"/>
  <c r="I204" i="155"/>
  <c r="J204" i="155"/>
  <c r="K204" i="155"/>
  <c r="L204" i="155"/>
  <c r="E205" i="155"/>
  <c r="F205" i="155"/>
  <c r="G205" i="155"/>
  <c r="H205" i="155"/>
  <c r="I205" i="155"/>
  <c r="J205" i="155"/>
  <c r="K205" i="155"/>
  <c r="L205" i="155"/>
  <c r="E206" i="155"/>
  <c r="F206" i="155"/>
  <c r="G206" i="155"/>
  <c r="H206" i="155"/>
  <c r="I206" i="155"/>
  <c r="J206" i="155"/>
  <c r="K206" i="155"/>
  <c r="L206" i="155"/>
  <c r="E207" i="155"/>
  <c r="F207" i="155"/>
  <c r="G207" i="155"/>
  <c r="H207" i="155"/>
  <c r="I207" i="155"/>
  <c r="J207" i="155"/>
  <c r="K207" i="155"/>
  <c r="L207" i="155"/>
  <c r="E208" i="155"/>
  <c r="F208" i="155"/>
  <c r="G208" i="155"/>
  <c r="H208" i="155"/>
  <c r="I208" i="155"/>
  <c r="J208" i="155"/>
  <c r="K208" i="155"/>
  <c r="L208" i="155"/>
  <c r="E209" i="155"/>
  <c r="F209" i="155"/>
  <c r="G209" i="155"/>
  <c r="H209" i="155"/>
  <c r="I209" i="155"/>
  <c r="J209" i="155"/>
  <c r="K209" i="155"/>
  <c r="L209" i="155"/>
  <c r="E210" i="155"/>
  <c r="F210" i="155"/>
  <c r="G210" i="155"/>
  <c r="H210" i="155"/>
  <c r="I210" i="155"/>
  <c r="J210" i="155"/>
  <c r="K210" i="155"/>
  <c r="L210" i="155"/>
  <c r="E211" i="155"/>
  <c r="F211" i="155"/>
  <c r="G211" i="155"/>
  <c r="H211" i="155"/>
  <c r="I211" i="155"/>
  <c r="J211" i="155"/>
  <c r="K211" i="155"/>
  <c r="L211" i="155"/>
  <c r="E212" i="155"/>
  <c r="F212" i="155"/>
  <c r="G212" i="155"/>
  <c r="H212" i="155"/>
  <c r="I212" i="155"/>
  <c r="J212" i="155"/>
  <c r="K212" i="155"/>
  <c r="L212" i="155"/>
  <c r="E213" i="155"/>
  <c r="F213" i="155"/>
  <c r="G213" i="155"/>
  <c r="H213" i="155"/>
  <c r="I213" i="155"/>
  <c r="J213" i="155"/>
  <c r="K213" i="155"/>
  <c r="L213" i="155"/>
  <c r="E214" i="155"/>
  <c r="F214" i="155"/>
  <c r="G214" i="155"/>
  <c r="H214" i="155"/>
  <c r="I214" i="155"/>
  <c r="J214" i="155"/>
  <c r="K214" i="155"/>
  <c r="L214" i="155"/>
  <c r="E215" i="155"/>
  <c r="F215" i="155"/>
  <c r="G215" i="155"/>
  <c r="H215" i="155"/>
  <c r="I215" i="155"/>
  <c r="J215" i="155"/>
  <c r="K215" i="155"/>
  <c r="L215" i="155"/>
  <c r="E216" i="155"/>
  <c r="F216" i="155"/>
  <c r="G216" i="155"/>
  <c r="H216" i="155"/>
  <c r="I216" i="155"/>
  <c r="J216" i="155"/>
  <c r="K216" i="155"/>
  <c r="L216" i="155"/>
  <c r="E217" i="155"/>
  <c r="F217" i="155"/>
  <c r="G217" i="155"/>
  <c r="H217" i="155"/>
  <c r="I217" i="155"/>
  <c r="J217" i="155"/>
  <c r="K217" i="155"/>
  <c r="L217" i="155"/>
  <c r="E218" i="155"/>
  <c r="F218" i="155"/>
  <c r="G218" i="155"/>
  <c r="H218" i="155"/>
  <c r="I218" i="155"/>
  <c r="J218" i="155"/>
  <c r="K218" i="155"/>
  <c r="L218" i="155"/>
  <c r="E219" i="155"/>
  <c r="F219" i="155"/>
  <c r="G219" i="155"/>
  <c r="H219" i="155"/>
  <c r="I219" i="155"/>
  <c r="J219" i="155"/>
  <c r="K219" i="155"/>
  <c r="L219" i="155"/>
  <c r="E220" i="155"/>
  <c r="F220" i="155"/>
  <c r="G220" i="155"/>
  <c r="H220" i="155"/>
  <c r="I220" i="155"/>
  <c r="J220" i="155"/>
  <c r="K220" i="155"/>
  <c r="L220" i="155"/>
  <c r="E221" i="155"/>
  <c r="F221" i="155"/>
  <c r="G221" i="155"/>
  <c r="H221" i="155"/>
  <c r="I221" i="155"/>
  <c r="J221" i="155"/>
  <c r="K221" i="155"/>
  <c r="L221" i="155"/>
  <c r="E222" i="155"/>
  <c r="F222" i="155"/>
  <c r="G222" i="155"/>
  <c r="H222" i="155"/>
  <c r="I222" i="155"/>
  <c r="J222" i="155"/>
  <c r="K222" i="155"/>
  <c r="L222" i="155"/>
  <c r="E223" i="155"/>
  <c r="F223" i="155"/>
  <c r="G223" i="155"/>
  <c r="H223" i="155"/>
  <c r="I223" i="155"/>
  <c r="J223" i="155"/>
  <c r="K223" i="155"/>
  <c r="L223" i="155"/>
  <c r="E224" i="155"/>
  <c r="F224" i="155"/>
  <c r="G224" i="155"/>
  <c r="H224" i="155"/>
  <c r="I224" i="155"/>
  <c r="J224" i="155"/>
  <c r="K224" i="155"/>
  <c r="L224" i="155"/>
  <c r="E225" i="155"/>
  <c r="F225" i="155"/>
  <c r="G225" i="155"/>
  <c r="H225" i="155"/>
  <c r="I225" i="155"/>
  <c r="J225" i="155"/>
  <c r="K225" i="155"/>
  <c r="L225" i="155"/>
  <c r="E226" i="155"/>
  <c r="F226" i="155"/>
  <c r="G226" i="155"/>
  <c r="H226" i="155"/>
  <c r="I226" i="155"/>
  <c r="J226" i="155"/>
  <c r="K226" i="155"/>
  <c r="L226" i="155"/>
  <c r="E227" i="155"/>
  <c r="F227" i="155"/>
  <c r="G227" i="155"/>
  <c r="H227" i="155"/>
  <c r="I227" i="155"/>
  <c r="J227" i="155"/>
  <c r="K227" i="155"/>
  <c r="L227" i="155"/>
  <c r="E228" i="155"/>
  <c r="F228" i="155"/>
  <c r="G228" i="155"/>
  <c r="H228" i="155"/>
  <c r="I228" i="155"/>
  <c r="J228" i="155"/>
  <c r="K228" i="155"/>
  <c r="L228" i="155"/>
  <c r="E229" i="155"/>
  <c r="F229" i="155"/>
  <c r="G229" i="155"/>
  <c r="H229" i="155"/>
  <c r="I229" i="155"/>
  <c r="J229" i="155"/>
  <c r="K229" i="155"/>
  <c r="L229" i="155"/>
  <c r="E230" i="155"/>
  <c r="F230" i="155"/>
  <c r="G230" i="155"/>
  <c r="H230" i="155"/>
  <c r="I230" i="155"/>
  <c r="J230" i="155"/>
  <c r="K230" i="155"/>
  <c r="L230" i="155"/>
  <c r="E231" i="155"/>
  <c r="F231" i="155"/>
  <c r="G231" i="155"/>
  <c r="H231" i="155"/>
  <c r="I231" i="155"/>
  <c r="J231" i="155"/>
  <c r="K231" i="155"/>
  <c r="L231" i="155"/>
  <c r="E232" i="155"/>
  <c r="F232" i="155"/>
  <c r="G232" i="155"/>
  <c r="H232" i="155"/>
  <c r="I232" i="155"/>
  <c r="J232" i="155"/>
  <c r="K232" i="155"/>
  <c r="L232" i="155"/>
  <c r="E233" i="155"/>
  <c r="F233" i="155"/>
  <c r="G233" i="155"/>
  <c r="H233" i="155"/>
  <c r="I233" i="155"/>
  <c r="J233" i="155"/>
  <c r="K233" i="155"/>
  <c r="L233" i="155"/>
  <c r="E234" i="155"/>
  <c r="F234" i="155"/>
  <c r="G234" i="155"/>
  <c r="H234" i="155"/>
  <c r="I234" i="155"/>
  <c r="J234" i="155"/>
  <c r="K234" i="155"/>
  <c r="L234" i="155"/>
  <c r="E235" i="155"/>
  <c r="F235" i="155"/>
  <c r="G235" i="155"/>
  <c r="H235" i="155"/>
  <c r="I235" i="155"/>
  <c r="J235" i="155"/>
  <c r="K235" i="155"/>
  <c r="L235" i="155"/>
  <c r="E236" i="155"/>
  <c r="F236" i="155"/>
  <c r="G236" i="155"/>
  <c r="H236" i="155"/>
  <c r="I236" i="155"/>
  <c r="J236" i="155"/>
  <c r="K236" i="155"/>
  <c r="L236" i="155"/>
  <c r="E237" i="155"/>
  <c r="F237" i="155"/>
  <c r="G237" i="155"/>
  <c r="H237" i="155"/>
  <c r="I237" i="155"/>
  <c r="J237" i="155"/>
  <c r="K237" i="155"/>
  <c r="L237" i="155"/>
  <c r="E238" i="155"/>
  <c r="F238" i="155"/>
  <c r="G238" i="155"/>
  <c r="H238" i="155"/>
  <c r="I238" i="155"/>
  <c r="J238" i="155"/>
  <c r="K238" i="155"/>
  <c r="L238" i="155"/>
  <c r="E239" i="155"/>
  <c r="F239" i="155"/>
  <c r="G239" i="155"/>
  <c r="H239" i="155"/>
  <c r="I239" i="155"/>
  <c r="J239" i="155"/>
  <c r="K239" i="155"/>
  <c r="L239" i="155"/>
  <c r="E240" i="155"/>
  <c r="F240" i="155"/>
  <c r="G240" i="155"/>
  <c r="H240" i="155"/>
  <c r="I240" i="155"/>
  <c r="J240" i="155"/>
  <c r="K240" i="155"/>
  <c r="L240" i="155"/>
  <c r="E241" i="155"/>
  <c r="F241" i="155"/>
  <c r="G241" i="155"/>
  <c r="H241" i="155"/>
  <c r="I241" i="155"/>
  <c r="J241" i="155"/>
  <c r="K241" i="155"/>
  <c r="L241" i="155"/>
  <c r="E242" i="155"/>
  <c r="F242" i="155"/>
  <c r="G242" i="155"/>
  <c r="H242" i="155"/>
  <c r="I242" i="155"/>
  <c r="J242" i="155"/>
  <c r="K242" i="155"/>
  <c r="L242" i="155"/>
  <c r="E243" i="155"/>
  <c r="F243" i="155"/>
  <c r="G243" i="155"/>
  <c r="H243" i="155"/>
  <c r="I243" i="155"/>
  <c r="J243" i="155"/>
  <c r="K243" i="155"/>
  <c r="L243" i="155"/>
  <c r="E244" i="155"/>
  <c r="F244" i="155"/>
  <c r="G244" i="155"/>
  <c r="H244" i="155"/>
  <c r="I244" i="155"/>
  <c r="J244" i="155"/>
  <c r="K244" i="155"/>
  <c r="L244" i="155"/>
  <c r="E245" i="155"/>
  <c r="F245" i="155"/>
  <c r="G245" i="155"/>
  <c r="H245" i="155"/>
  <c r="I245" i="155"/>
  <c r="J245" i="155"/>
  <c r="K245" i="155"/>
  <c r="L245" i="155"/>
  <c r="E290" i="129"/>
  <c r="F290" i="129"/>
  <c r="G290" i="129"/>
  <c r="H290" i="129"/>
  <c r="I290" i="129"/>
  <c r="J290" i="129"/>
  <c r="K290" i="129"/>
  <c r="L290" i="129"/>
  <c r="E291" i="129"/>
  <c r="F291" i="129"/>
  <c r="G291" i="129"/>
  <c r="H291" i="129"/>
  <c r="I291" i="129"/>
  <c r="J291" i="129"/>
  <c r="K291" i="129"/>
  <c r="L291" i="129"/>
  <c r="E292" i="129"/>
  <c r="F292" i="129"/>
  <c r="G292" i="129"/>
  <c r="H292" i="129"/>
  <c r="I292" i="129"/>
  <c r="J292" i="129"/>
  <c r="K292" i="129"/>
  <c r="L292" i="129"/>
  <c r="E293" i="129"/>
  <c r="F293" i="129"/>
  <c r="G293" i="129"/>
  <c r="H293" i="129"/>
  <c r="I293" i="129"/>
  <c r="J293" i="129"/>
  <c r="K293" i="129"/>
  <c r="L293" i="129"/>
  <c r="E294" i="129"/>
  <c r="F294" i="129"/>
  <c r="G294" i="129"/>
  <c r="H294" i="129"/>
  <c r="I294" i="129"/>
  <c r="J294" i="129"/>
  <c r="K294" i="129"/>
  <c r="L294" i="129"/>
  <c r="E295" i="129"/>
  <c r="F295" i="129"/>
  <c r="G295" i="129"/>
  <c r="H295" i="129"/>
  <c r="I295" i="129"/>
  <c r="J295" i="129"/>
  <c r="K295" i="129"/>
  <c r="L295" i="129"/>
  <c r="E296" i="129"/>
  <c r="F296" i="129"/>
  <c r="G296" i="129"/>
  <c r="H296" i="129"/>
  <c r="I296" i="129"/>
  <c r="J296" i="129"/>
  <c r="K296" i="129"/>
  <c r="L296" i="129"/>
  <c r="E297" i="129"/>
  <c r="F297" i="129"/>
  <c r="G297" i="129"/>
  <c r="H297" i="129"/>
  <c r="I297" i="129"/>
  <c r="J297" i="129"/>
  <c r="K297" i="129"/>
  <c r="L297" i="129"/>
  <c r="E298" i="129"/>
  <c r="F298" i="129"/>
  <c r="G298" i="129"/>
  <c r="H298" i="129"/>
  <c r="I298" i="129"/>
  <c r="J298" i="129"/>
  <c r="K298" i="129"/>
  <c r="L298" i="129"/>
  <c r="E299" i="129"/>
  <c r="F299" i="129"/>
  <c r="G299" i="129"/>
  <c r="H299" i="129"/>
  <c r="I299" i="129"/>
  <c r="J299" i="129"/>
  <c r="K299" i="129"/>
  <c r="L299" i="129"/>
  <c r="E300" i="129"/>
  <c r="F300" i="129"/>
  <c r="G300" i="129"/>
  <c r="H300" i="129"/>
  <c r="I300" i="129"/>
  <c r="J300" i="129"/>
  <c r="K300" i="129"/>
  <c r="L300" i="129"/>
  <c r="E301" i="129"/>
  <c r="F301" i="129"/>
  <c r="G301" i="129"/>
  <c r="H301" i="129"/>
  <c r="I301" i="129"/>
  <c r="J301" i="129"/>
  <c r="K301" i="129"/>
  <c r="L301" i="129"/>
  <c r="E302" i="129"/>
  <c r="F302" i="129"/>
  <c r="G302" i="129"/>
  <c r="H302" i="129"/>
  <c r="I302" i="129"/>
  <c r="J302" i="129"/>
  <c r="K302" i="129"/>
  <c r="L302" i="129"/>
  <c r="E303" i="129"/>
  <c r="F303" i="129"/>
  <c r="G303" i="129"/>
  <c r="H303" i="129"/>
  <c r="I303" i="129"/>
  <c r="J303" i="129"/>
  <c r="K303" i="129"/>
  <c r="L303" i="129"/>
  <c r="E304" i="129"/>
  <c r="F304" i="129"/>
  <c r="G304" i="129"/>
  <c r="H304" i="129"/>
  <c r="I304" i="129"/>
  <c r="J304" i="129"/>
  <c r="K304" i="129"/>
  <c r="L304" i="129"/>
  <c r="E305" i="129"/>
  <c r="F305" i="129"/>
  <c r="G305" i="129"/>
  <c r="H305" i="129"/>
  <c r="I305" i="129"/>
  <c r="J305" i="129"/>
  <c r="K305" i="129"/>
  <c r="L305" i="129"/>
  <c r="E306" i="129"/>
  <c r="F306" i="129"/>
  <c r="G306" i="129"/>
  <c r="H306" i="129"/>
  <c r="I306" i="129"/>
  <c r="J306" i="129"/>
  <c r="K306" i="129"/>
  <c r="L306" i="129"/>
  <c r="E307" i="129"/>
  <c r="F307" i="129"/>
  <c r="G307" i="129"/>
  <c r="H307" i="129"/>
  <c r="I307" i="129"/>
  <c r="J307" i="129"/>
  <c r="K307" i="129"/>
  <c r="L307" i="129"/>
  <c r="E308" i="129"/>
  <c r="F308" i="129"/>
  <c r="G308" i="129"/>
  <c r="H308" i="129"/>
  <c r="I308" i="129"/>
  <c r="J308" i="129"/>
  <c r="K308" i="129"/>
  <c r="L308" i="129"/>
  <c r="E309" i="129"/>
  <c r="F309" i="129"/>
  <c r="G309" i="129"/>
  <c r="H309" i="129"/>
  <c r="I309" i="129"/>
  <c r="J309" i="129"/>
  <c r="K309" i="129"/>
  <c r="L309" i="129"/>
  <c r="E310" i="129"/>
  <c r="F310" i="129"/>
  <c r="G310" i="129"/>
  <c r="H310" i="129"/>
  <c r="I310" i="129"/>
  <c r="J310" i="129"/>
  <c r="K310" i="129"/>
  <c r="L310" i="129"/>
  <c r="E311" i="129"/>
  <c r="F311" i="129"/>
  <c r="G311" i="129"/>
  <c r="H311" i="129"/>
  <c r="I311" i="129"/>
  <c r="J311" i="129"/>
  <c r="K311" i="129"/>
  <c r="L311" i="129"/>
  <c r="E312" i="129"/>
  <c r="F312" i="129"/>
  <c r="G312" i="129"/>
  <c r="H312" i="129"/>
  <c r="I312" i="129"/>
  <c r="J312" i="129"/>
  <c r="K312" i="129"/>
  <c r="L312" i="129"/>
  <c r="E313" i="129"/>
  <c r="F313" i="129"/>
  <c r="G313" i="129"/>
  <c r="H313" i="129"/>
  <c r="I313" i="129"/>
  <c r="J313" i="129"/>
  <c r="K313" i="129"/>
  <c r="L313" i="129"/>
  <c r="E314" i="129"/>
  <c r="F314" i="129"/>
  <c r="G314" i="129"/>
  <c r="H314" i="129"/>
  <c r="I314" i="129"/>
  <c r="J314" i="129"/>
  <c r="K314" i="129"/>
  <c r="L314" i="129"/>
  <c r="E315" i="129"/>
  <c r="F315" i="129"/>
  <c r="G315" i="129"/>
  <c r="H315" i="129"/>
  <c r="I315" i="129"/>
  <c r="J315" i="129"/>
  <c r="K315" i="129"/>
  <c r="L315" i="129"/>
  <c r="E316" i="129"/>
  <c r="F316" i="129"/>
  <c r="G316" i="129"/>
  <c r="H316" i="129"/>
  <c r="I316" i="129"/>
  <c r="J316" i="129"/>
  <c r="K316" i="129"/>
  <c r="L316" i="129"/>
  <c r="E317" i="129"/>
  <c r="F317" i="129"/>
  <c r="G317" i="129"/>
  <c r="H317" i="129"/>
  <c r="I317" i="129"/>
  <c r="J317" i="129"/>
  <c r="K317" i="129"/>
  <c r="L317" i="129"/>
  <c r="E318" i="129"/>
  <c r="F318" i="129"/>
  <c r="G318" i="129"/>
  <c r="H318" i="129"/>
  <c r="I318" i="129"/>
  <c r="J318" i="129"/>
  <c r="K318" i="129"/>
  <c r="L318" i="129"/>
  <c r="E319" i="129"/>
  <c r="F319" i="129"/>
  <c r="G319" i="129"/>
  <c r="H319" i="129"/>
  <c r="I319" i="129"/>
  <c r="J319" i="129"/>
  <c r="K319" i="129"/>
  <c r="L319" i="129"/>
  <c r="E320" i="129"/>
  <c r="F320" i="129"/>
  <c r="G320" i="129"/>
  <c r="H320" i="129"/>
  <c r="I320" i="129"/>
  <c r="J320" i="129"/>
  <c r="K320" i="129"/>
  <c r="L320" i="129"/>
  <c r="E321" i="129"/>
  <c r="F321" i="129"/>
  <c r="G321" i="129"/>
  <c r="H321" i="129"/>
  <c r="I321" i="129"/>
  <c r="J321" i="129"/>
  <c r="K321" i="129"/>
  <c r="L321" i="129"/>
  <c r="E322" i="129"/>
  <c r="F322" i="129"/>
  <c r="G322" i="129"/>
  <c r="H322" i="129"/>
  <c r="I322" i="129"/>
  <c r="J322" i="129"/>
  <c r="K322" i="129"/>
  <c r="L322" i="129"/>
  <c r="E323" i="129"/>
  <c r="F323" i="129"/>
  <c r="G323" i="129"/>
  <c r="H323" i="129"/>
  <c r="I323" i="129"/>
  <c r="J323" i="129"/>
  <c r="K323" i="129"/>
  <c r="L323" i="129"/>
  <c r="E324" i="129"/>
  <c r="F324" i="129"/>
  <c r="G324" i="129"/>
  <c r="H324" i="129"/>
  <c r="I324" i="129"/>
  <c r="J324" i="129"/>
  <c r="K324" i="129"/>
  <c r="L324" i="129"/>
  <c r="E325" i="129"/>
  <c r="F325" i="129"/>
  <c r="G325" i="129"/>
  <c r="H325" i="129"/>
  <c r="I325" i="129"/>
  <c r="J325" i="129"/>
  <c r="K325" i="129"/>
  <c r="L325" i="129"/>
  <c r="E326" i="129"/>
  <c r="F326" i="129"/>
  <c r="G326" i="129"/>
  <c r="H326" i="129"/>
  <c r="I326" i="129"/>
  <c r="J326" i="129"/>
  <c r="K326" i="129"/>
  <c r="L326" i="129"/>
  <c r="E327" i="129"/>
  <c r="F327" i="129"/>
  <c r="G327" i="129"/>
  <c r="H327" i="129"/>
  <c r="I327" i="129"/>
  <c r="J327" i="129"/>
  <c r="K327" i="129"/>
  <c r="L327" i="129"/>
  <c r="E328" i="129"/>
  <c r="F328" i="129"/>
  <c r="G328" i="129"/>
  <c r="H328" i="129"/>
  <c r="I328" i="129"/>
  <c r="J328" i="129"/>
  <c r="K328" i="129"/>
  <c r="L328" i="129"/>
  <c r="E329" i="129"/>
  <c r="F329" i="129"/>
  <c r="G329" i="129"/>
  <c r="H329" i="129"/>
  <c r="I329" i="129"/>
  <c r="J329" i="129"/>
  <c r="K329" i="129"/>
  <c r="L329" i="129"/>
  <c r="E330" i="129"/>
  <c r="F330" i="129"/>
  <c r="G330" i="129"/>
  <c r="H330" i="129"/>
  <c r="I330" i="129"/>
  <c r="J330" i="129"/>
  <c r="K330" i="129"/>
  <c r="L330" i="129"/>
  <c r="E331" i="129"/>
  <c r="F331" i="129"/>
  <c r="G331" i="129"/>
  <c r="H331" i="129"/>
  <c r="I331" i="129"/>
  <c r="J331" i="129"/>
  <c r="K331" i="129"/>
  <c r="L331" i="129"/>
  <c r="E332" i="129"/>
  <c r="F332" i="129"/>
  <c r="G332" i="129"/>
  <c r="H332" i="129"/>
  <c r="I332" i="129"/>
  <c r="J332" i="129"/>
  <c r="K332" i="129"/>
  <c r="L332" i="129"/>
  <c r="X45" i="155"/>
  <c r="W66" i="129"/>
  <c r="J66" i="129" s="1"/>
  <c r="K57" i="182" l="1"/>
  <c r="K56" i="182"/>
  <c r="I60" i="182"/>
  <c r="I59" i="182"/>
  <c r="I58" i="182"/>
  <c r="I57" i="182"/>
  <c r="G60" i="182"/>
  <c r="G59" i="182"/>
  <c r="G58" i="182"/>
  <c r="G57" i="182"/>
  <c r="G56" i="182"/>
  <c r="E59" i="182"/>
  <c r="E58" i="182"/>
  <c r="E57" i="182"/>
  <c r="C60" i="182"/>
  <c r="C58" i="182"/>
  <c r="K46" i="185"/>
  <c r="K45" i="185"/>
  <c r="I49" i="185"/>
  <c r="I48" i="185"/>
  <c r="I47" i="185"/>
  <c r="I46" i="185"/>
  <c r="G49" i="185"/>
  <c r="G48" i="185"/>
  <c r="G47" i="185"/>
  <c r="G46" i="185"/>
  <c r="G45" i="185"/>
  <c r="E48" i="185"/>
  <c r="E47" i="185"/>
  <c r="E46" i="185"/>
  <c r="C49" i="185"/>
  <c r="C47" i="185"/>
  <c r="J45" i="155"/>
  <c r="J46" i="155"/>
  <c r="J67" i="129"/>
  <c r="O11" i="180"/>
  <c r="E29" i="187"/>
  <c r="A41" i="187" l="1"/>
  <c r="A40" i="187"/>
  <c r="A39" i="187"/>
  <c r="AB30" i="187"/>
  <c r="A38" i="187"/>
  <c r="A37" i="187"/>
  <c r="A36" i="187"/>
  <c r="A35" i="187"/>
  <c r="A34" i="187"/>
  <c r="A33" i="187"/>
  <c r="E30" i="187"/>
  <c r="Z21" i="187"/>
  <c r="Z20" i="187"/>
  <c r="Z19" i="187"/>
  <c r="T17" i="187"/>
  <c r="I17" i="187"/>
  <c r="A17" i="187"/>
  <c r="T16" i="187"/>
  <c r="I16" i="187"/>
  <c r="A16" i="187"/>
  <c r="Z13" i="187"/>
  <c r="A15" i="187"/>
  <c r="Z12" i="187"/>
  <c r="I14" i="187"/>
  <c r="A14" i="187"/>
  <c r="Z11" i="187"/>
  <c r="I13" i="187"/>
  <c r="A13" i="187"/>
  <c r="T12" i="187"/>
  <c r="I12" i="187"/>
  <c r="A12" i="187"/>
  <c r="I11" i="187"/>
  <c r="A11" i="187"/>
  <c r="A4" i="187"/>
  <c r="A2" i="187"/>
  <c r="Z14" i="187" l="1"/>
  <c r="E21" i="187" s="1"/>
  <c r="AE5" i="187"/>
  <c r="Z22" i="187"/>
  <c r="D8" i="187" l="1"/>
  <c r="AC15" i="187" s="1"/>
  <c r="AB23" i="187"/>
  <c r="T11" i="187"/>
  <c r="AA23" i="187" l="1"/>
  <c r="AE6" i="187"/>
  <c r="AE7" i="187" l="1"/>
  <c r="K185" i="152" l="1"/>
  <c r="M48" i="185"/>
  <c r="M44" i="185"/>
  <c r="M45" i="185"/>
  <c r="M43" i="185"/>
  <c r="F4" i="186"/>
  <c r="B45" i="185" s="1"/>
  <c r="J43" i="182"/>
  <c r="H43" i="182"/>
  <c r="F43" i="182"/>
  <c r="D43" i="182"/>
  <c r="B43" i="182"/>
  <c r="B34" i="182"/>
  <c r="J34" i="182"/>
  <c r="H34" i="182"/>
  <c r="F34" i="182"/>
  <c r="D34" i="182"/>
  <c r="J25" i="182"/>
  <c r="H25" i="182"/>
  <c r="F25" i="182"/>
  <c r="D25" i="182"/>
  <c r="B25" i="182"/>
  <c r="J15" i="182"/>
  <c r="H15" i="182"/>
  <c r="F15" i="182"/>
  <c r="D15" i="182"/>
  <c r="B15" i="182"/>
  <c r="J6" i="182"/>
  <c r="H6" i="182"/>
  <c r="F6" i="182"/>
  <c r="D6" i="182"/>
  <c r="B6" i="182"/>
  <c r="J33" i="185"/>
  <c r="H33" i="185"/>
  <c r="F33" i="185"/>
  <c r="D33" i="185"/>
  <c r="B33" i="185"/>
  <c r="J24" i="185"/>
  <c r="H24" i="185"/>
  <c r="F24" i="185"/>
  <c r="D24" i="185"/>
  <c r="B24" i="185"/>
  <c r="J15" i="185"/>
  <c r="H15" i="185"/>
  <c r="F15" i="185"/>
  <c r="D15" i="185"/>
  <c r="B15" i="185"/>
  <c r="H6" i="185"/>
  <c r="J6" i="185"/>
  <c r="F6" i="185"/>
  <c r="D6" i="185"/>
  <c r="B6" i="185"/>
  <c r="O15" i="185"/>
  <c r="C57" i="186"/>
  <c r="C54" i="186"/>
  <c r="C48" i="186"/>
  <c r="E81" i="170"/>
  <c r="P15" i="185"/>
  <c r="J51" i="185"/>
  <c r="H51" i="185"/>
  <c r="F51" i="185"/>
  <c r="A51" i="185"/>
  <c r="M59" i="182"/>
  <c r="M58" i="182"/>
  <c r="M54" i="182"/>
  <c r="M55" i="182"/>
  <c r="M53" i="182"/>
  <c r="P15" i="182"/>
  <c r="R15" i="182" s="1"/>
  <c r="O15" i="182"/>
  <c r="J62" i="182"/>
  <c r="F62" i="182"/>
  <c r="H62" i="182"/>
  <c r="A62" i="182"/>
  <c r="J29" i="186"/>
  <c r="J30" i="186"/>
  <c r="J31" i="186"/>
  <c r="J32" i="186"/>
  <c r="J33" i="186"/>
  <c r="J28" i="186"/>
  <c r="I5" i="186"/>
  <c r="I4" i="186"/>
  <c r="I6" i="186"/>
  <c r="I7" i="186"/>
  <c r="I8" i="186"/>
  <c r="I9" i="186"/>
  <c r="I10" i="186"/>
  <c r="I11" i="186"/>
  <c r="I12" i="186"/>
  <c r="I13" i="186"/>
  <c r="I14" i="186"/>
  <c r="I15" i="186"/>
  <c r="I16" i="186"/>
  <c r="I17" i="186"/>
  <c r="I18" i="186"/>
  <c r="I19" i="186"/>
  <c r="I20" i="186"/>
  <c r="I21" i="186"/>
  <c r="I22" i="186"/>
  <c r="I23" i="186"/>
  <c r="I24" i="186"/>
  <c r="I25" i="186"/>
  <c r="I26" i="186"/>
  <c r="I27" i="186"/>
  <c r="I28" i="186"/>
  <c r="I29" i="186"/>
  <c r="I30" i="186"/>
  <c r="I31" i="186"/>
  <c r="I32" i="186"/>
  <c r="I33" i="186"/>
  <c r="F37" i="186"/>
  <c r="F5" i="186"/>
  <c r="B57" i="182" s="1"/>
  <c r="F6" i="186"/>
  <c r="B58" i="182" s="1"/>
  <c r="F7" i="186"/>
  <c r="B59" i="182" s="1"/>
  <c r="F8" i="186"/>
  <c r="B49" i="185" s="1"/>
  <c r="F9" i="186"/>
  <c r="D56" i="182" s="1"/>
  <c r="F10" i="186"/>
  <c r="D46" i="185" s="1"/>
  <c r="F11" i="186"/>
  <c r="D47" i="185" s="1"/>
  <c r="F12" i="186"/>
  <c r="D48" i="185" s="1"/>
  <c r="F13" i="186"/>
  <c r="D60" i="182" s="1"/>
  <c r="F14" i="186"/>
  <c r="F45" i="185" s="1"/>
  <c r="F15" i="186"/>
  <c r="F46" i="185" s="1"/>
  <c r="F16" i="186"/>
  <c r="F47" i="185" s="1"/>
  <c r="F17" i="186"/>
  <c r="F59" i="182" s="1"/>
  <c r="F18" i="186"/>
  <c r="F60" i="182" s="1"/>
  <c r="F19" i="186"/>
  <c r="H45" i="185" s="1"/>
  <c r="F20" i="186"/>
  <c r="H46" i="185" s="1"/>
  <c r="F21" i="186"/>
  <c r="H58" i="182" s="1"/>
  <c r="F22" i="186"/>
  <c r="H59" i="182" s="1"/>
  <c r="F23" i="186"/>
  <c r="H60" i="182" s="1"/>
  <c r="F24" i="186"/>
  <c r="J45" i="185" s="1"/>
  <c r="F25" i="186"/>
  <c r="J46" i="185" s="1"/>
  <c r="F26" i="186"/>
  <c r="J47" i="185" s="1"/>
  <c r="F27" i="186"/>
  <c r="J59" i="182" s="1"/>
  <c r="F28" i="186"/>
  <c r="F29" i="186"/>
  <c r="F30" i="186"/>
  <c r="F31" i="186"/>
  <c r="V44" i="150"/>
  <c r="V56" i="150" s="1"/>
  <c r="V43" i="150"/>
  <c r="V55" i="150" s="1"/>
  <c r="A57" i="170"/>
  <c r="A58" i="170"/>
  <c r="A59" i="170"/>
  <c r="A60" i="170"/>
  <c r="A61" i="170"/>
  <c r="A62" i="170"/>
  <c r="A63" i="170"/>
  <c r="A64" i="170"/>
  <c r="A65" i="170"/>
  <c r="A66" i="170"/>
  <c r="A67" i="170"/>
  <c r="A68" i="170"/>
  <c r="A69" i="170"/>
  <c r="A70" i="170"/>
  <c r="A71" i="170"/>
  <c r="A72" i="170"/>
  <c r="A73" i="170"/>
  <c r="A74" i="170"/>
  <c r="A75" i="170"/>
  <c r="A76" i="170"/>
  <c r="A77" i="170"/>
  <c r="A78" i="170"/>
  <c r="A79" i="170"/>
  <c r="A56" i="170"/>
  <c r="N56" i="150"/>
  <c r="N55" i="150"/>
  <c r="N54" i="150"/>
  <c r="D73" i="150"/>
  <c r="D72" i="150"/>
  <c r="J26" i="186" s="1"/>
  <c r="D70" i="150"/>
  <c r="D69" i="150"/>
  <c r="D68" i="150"/>
  <c r="D67" i="150"/>
  <c r="D66" i="150"/>
  <c r="D65" i="150"/>
  <c r="D64" i="150"/>
  <c r="D63" i="150"/>
  <c r="D62" i="150"/>
  <c r="D61" i="150"/>
  <c r="D60" i="150"/>
  <c r="D66" i="170" s="1"/>
  <c r="D59" i="150"/>
  <c r="D65" i="170" s="1"/>
  <c r="D58" i="150"/>
  <c r="J12" i="186" s="1"/>
  <c r="D57" i="150"/>
  <c r="D55" i="150"/>
  <c r="D54" i="150"/>
  <c r="D53" i="150"/>
  <c r="D52" i="150"/>
  <c r="D51" i="150"/>
  <c r="D50" i="150"/>
  <c r="AT50" i="150"/>
  <c r="AT62" i="150" s="1"/>
  <c r="AS50" i="150"/>
  <c r="AS62" i="150" s="1"/>
  <c r="AQ50" i="150"/>
  <c r="AQ62" i="150" s="1"/>
  <c r="AP50" i="150"/>
  <c r="AP62" i="150" s="1"/>
  <c r="AO50" i="150"/>
  <c r="AO62" i="150" s="1"/>
  <c r="AN50" i="150"/>
  <c r="AN62" i="150" s="1"/>
  <c r="AM50" i="150"/>
  <c r="AM62" i="150" s="1"/>
  <c r="AL50" i="150"/>
  <c r="AL62" i="150" s="1"/>
  <c r="AK50" i="150"/>
  <c r="AK62" i="150" s="1"/>
  <c r="AJ50" i="150"/>
  <c r="AJ62" i="150" s="1"/>
  <c r="AI50" i="150"/>
  <c r="AI62" i="150" s="1"/>
  <c r="AH50" i="150"/>
  <c r="AH62" i="150" s="1"/>
  <c r="AG50" i="150"/>
  <c r="AG62" i="150" s="1"/>
  <c r="AF50" i="150"/>
  <c r="AF62" i="150" s="1"/>
  <c r="AE50" i="150"/>
  <c r="AE62" i="150" s="1"/>
  <c r="AD50" i="150"/>
  <c r="AD62" i="150" s="1"/>
  <c r="AC50" i="150"/>
  <c r="AC62" i="150" s="1"/>
  <c r="AB50" i="150"/>
  <c r="AB62" i="150" s="1"/>
  <c r="AA50" i="150"/>
  <c r="AA62" i="150" s="1"/>
  <c r="Z50" i="150"/>
  <c r="Z62" i="150" s="1"/>
  <c r="Y50" i="150"/>
  <c r="Y62" i="150" s="1"/>
  <c r="X50" i="150"/>
  <c r="X62" i="150" s="1"/>
  <c r="W50" i="150"/>
  <c r="W62" i="150" s="1"/>
  <c r="V50" i="150"/>
  <c r="V62" i="150" s="1"/>
  <c r="AT49" i="150"/>
  <c r="AT61" i="150" s="1"/>
  <c r="AS49" i="150"/>
  <c r="AS61" i="150" s="1"/>
  <c r="AQ49" i="150"/>
  <c r="AQ61" i="150" s="1"/>
  <c r="AP49" i="150"/>
  <c r="AP61" i="150" s="1"/>
  <c r="AO49" i="150"/>
  <c r="AO61" i="150" s="1"/>
  <c r="AN49" i="150"/>
  <c r="AN61" i="150" s="1"/>
  <c r="AM49" i="150"/>
  <c r="AM61" i="150" s="1"/>
  <c r="AL49" i="150"/>
  <c r="AL61" i="150" s="1"/>
  <c r="AK49" i="150"/>
  <c r="AK61" i="150" s="1"/>
  <c r="AJ49" i="150"/>
  <c r="AJ61" i="150" s="1"/>
  <c r="AI49" i="150"/>
  <c r="AI61" i="150" s="1"/>
  <c r="AH49" i="150"/>
  <c r="AH61" i="150" s="1"/>
  <c r="AG49" i="150"/>
  <c r="AG61" i="150" s="1"/>
  <c r="AF49" i="150"/>
  <c r="AF61" i="150" s="1"/>
  <c r="AE49" i="150"/>
  <c r="AE61" i="150" s="1"/>
  <c r="AD49" i="150"/>
  <c r="AD61" i="150" s="1"/>
  <c r="AC49" i="150"/>
  <c r="AC61" i="150" s="1"/>
  <c r="AB49" i="150"/>
  <c r="AB61" i="150" s="1"/>
  <c r="AA49" i="150"/>
  <c r="AA61" i="150" s="1"/>
  <c r="Z49" i="150"/>
  <c r="Z61" i="150" s="1"/>
  <c r="Y49" i="150"/>
  <c r="Y61" i="150" s="1"/>
  <c r="X49" i="150"/>
  <c r="X61" i="150" s="1"/>
  <c r="W49" i="150"/>
  <c r="W61" i="150" s="1"/>
  <c r="V49" i="150"/>
  <c r="V61" i="150" s="1"/>
  <c r="AT48" i="150"/>
  <c r="AT60" i="150" s="1"/>
  <c r="AS48" i="150"/>
  <c r="AS60" i="150" s="1"/>
  <c r="AQ48" i="150"/>
  <c r="AQ60" i="150" s="1"/>
  <c r="AP48" i="150"/>
  <c r="AP60" i="150" s="1"/>
  <c r="AO48" i="150"/>
  <c r="AO60" i="150" s="1"/>
  <c r="AN48" i="150"/>
  <c r="AN60" i="150" s="1"/>
  <c r="AM48" i="150"/>
  <c r="AM60" i="150" s="1"/>
  <c r="AL48" i="150"/>
  <c r="AL60" i="150" s="1"/>
  <c r="AK48" i="150"/>
  <c r="AK60" i="150" s="1"/>
  <c r="AJ48" i="150"/>
  <c r="AJ60" i="150" s="1"/>
  <c r="AI48" i="150"/>
  <c r="AI60" i="150" s="1"/>
  <c r="AH48" i="150"/>
  <c r="AH60" i="150" s="1"/>
  <c r="AG48" i="150"/>
  <c r="AG60" i="150" s="1"/>
  <c r="AF48" i="150"/>
  <c r="AF60" i="150" s="1"/>
  <c r="AE48" i="150"/>
  <c r="AE60" i="150" s="1"/>
  <c r="AD48" i="150"/>
  <c r="AD60" i="150" s="1"/>
  <c r="AC48" i="150"/>
  <c r="AC60" i="150" s="1"/>
  <c r="AB48" i="150"/>
  <c r="AB60" i="150" s="1"/>
  <c r="AA48" i="150"/>
  <c r="AA60" i="150" s="1"/>
  <c r="Z48" i="150"/>
  <c r="Z60" i="150" s="1"/>
  <c r="Y48" i="150"/>
  <c r="Y60" i="150" s="1"/>
  <c r="X48" i="150"/>
  <c r="X60" i="150" s="1"/>
  <c r="W48" i="150"/>
  <c r="W60" i="150" s="1"/>
  <c r="V48" i="150"/>
  <c r="V60" i="150" s="1"/>
  <c r="AT47" i="150"/>
  <c r="AT59" i="150" s="1"/>
  <c r="AS47" i="150"/>
  <c r="AS59" i="150" s="1"/>
  <c r="AQ47" i="150"/>
  <c r="AQ59" i="150" s="1"/>
  <c r="AP47" i="150"/>
  <c r="AP59" i="150" s="1"/>
  <c r="AO47" i="150"/>
  <c r="AO59" i="150" s="1"/>
  <c r="AN47" i="150"/>
  <c r="AN59" i="150" s="1"/>
  <c r="AM47" i="150"/>
  <c r="AM59" i="150" s="1"/>
  <c r="AL47" i="150"/>
  <c r="AL59" i="150" s="1"/>
  <c r="AK47" i="150"/>
  <c r="AK59" i="150" s="1"/>
  <c r="AJ47" i="150"/>
  <c r="AJ59" i="150" s="1"/>
  <c r="AI47" i="150"/>
  <c r="AI59" i="150" s="1"/>
  <c r="AH47" i="150"/>
  <c r="AH59" i="150" s="1"/>
  <c r="AG47" i="150"/>
  <c r="AG59" i="150" s="1"/>
  <c r="AF47" i="150"/>
  <c r="AF59" i="150" s="1"/>
  <c r="AE47" i="150"/>
  <c r="AE59" i="150" s="1"/>
  <c r="AD47" i="150"/>
  <c r="AD59" i="150" s="1"/>
  <c r="AC47" i="150"/>
  <c r="AC59" i="150" s="1"/>
  <c r="AB47" i="150"/>
  <c r="AB59" i="150" s="1"/>
  <c r="AA47" i="150"/>
  <c r="AA59" i="150" s="1"/>
  <c r="Z47" i="150"/>
  <c r="Z59" i="150" s="1"/>
  <c r="Y47" i="150"/>
  <c r="Y59" i="150" s="1"/>
  <c r="X47" i="150"/>
  <c r="X59" i="150" s="1"/>
  <c r="W47" i="150"/>
  <c r="W59" i="150" s="1"/>
  <c r="V47" i="150"/>
  <c r="V59" i="150" s="1"/>
  <c r="AT46" i="150"/>
  <c r="AT58" i="150" s="1"/>
  <c r="AS46" i="150"/>
  <c r="AS58" i="150" s="1"/>
  <c r="AQ46" i="150"/>
  <c r="AQ58" i="150" s="1"/>
  <c r="AP46" i="150"/>
  <c r="AP58" i="150" s="1"/>
  <c r="AO46" i="150"/>
  <c r="AO58" i="150" s="1"/>
  <c r="AN46" i="150"/>
  <c r="AN58" i="150" s="1"/>
  <c r="AM46" i="150"/>
  <c r="AM58" i="150" s="1"/>
  <c r="AL46" i="150"/>
  <c r="AL58" i="150" s="1"/>
  <c r="AK46" i="150"/>
  <c r="AK58" i="150" s="1"/>
  <c r="AJ46" i="150"/>
  <c r="AJ58" i="150" s="1"/>
  <c r="AI46" i="150"/>
  <c r="AI58" i="150" s="1"/>
  <c r="AH46" i="150"/>
  <c r="AH58" i="150" s="1"/>
  <c r="AG46" i="150"/>
  <c r="AG58" i="150" s="1"/>
  <c r="AF46" i="150"/>
  <c r="AF58" i="150" s="1"/>
  <c r="AE46" i="150"/>
  <c r="AE58" i="150" s="1"/>
  <c r="AD46" i="150"/>
  <c r="AD58" i="150" s="1"/>
  <c r="AC46" i="150"/>
  <c r="AC58" i="150" s="1"/>
  <c r="AB46" i="150"/>
  <c r="AB58" i="150" s="1"/>
  <c r="AA46" i="150"/>
  <c r="AA58" i="150" s="1"/>
  <c r="Z46" i="150"/>
  <c r="Z58" i="150" s="1"/>
  <c r="Y46" i="150"/>
  <c r="Y58" i="150" s="1"/>
  <c r="X46" i="150"/>
  <c r="X58" i="150" s="1"/>
  <c r="W46" i="150"/>
  <c r="W58" i="150" s="1"/>
  <c r="V46" i="150"/>
  <c r="V58" i="150" s="1"/>
  <c r="AT45" i="150"/>
  <c r="AT57" i="150" s="1"/>
  <c r="AS45" i="150"/>
  <c r="AS57" i="150" s="1"/>
  <c r="AQ45" i="150"/>
  <c r="AQ57" i="150" s="1"/>
  <c r="AP45" i="150"/>
  <c r="AP57" i="150" s="1"/>
  <c r="AO45" i="150"/>
  <c r="AO57" i="150" s="1"/>
  <c r="AN45" i="150"/>
  <c r="AN57" i="150" s="1"/>
  <c r="AM45" i="150"/>
  <c r="AM57" i="150" s="1"/>
  <c r="AL45" i="150"/>
  <c r="AL57" i="150" s="1"/>
  <c r="AK45" i="150"/>
  <c r="AK57" i="150" s="1"/>
  <c r="AJ45" i="150"/>
  <c r="AJ57" i="150" s="1"/>
  <c r="AI45" i="150"/>
  <c r="AI57" i="150" s="1"/>
  <c r="AH45" i="150"/>
  <c r="AH57" i="150" s="1"/>
  <c r="AG45" i="150"/>
  <c r="AG57" i="150" s="1"/>
  <c r="AF45" i="150"/>
  <c r="AF57" i="150" s="1"/>
  <c r="AE45" i="150"/>
  <c r="AE57" i="150" s="1"/>
  <c r="AD45" i="150"/>
  <c r="AD57" i="150" s="1"/>
  <c r="AC45" i="150"/>
  <c r="AC57" i="150" s="1"/>
  <c r="AB45" i="150"/>
  <c r="AB57" i="150" s="1"/>
  <c r="AA45" i="150"/>
  <c r="AA57" i="150" s="1"/>
  <c r="Z45" i="150"/>
  <c r="Z57" i="150" s="1"/>
  <c r="Y45" i="150"/>
  <c r="Y57" i="150" s="1"/>
  <c r="X45" i="150"/>
  <c r="X57" i="150" s="1"/>
  <c r="W45" i="150"/>
  <c r="W57" i="150" s="1"/>
  <c r="V45" i="150"/>
  <c r="V57" i="150" s="1"/>
  <c r="AT44" i="150"/>
  <c r="AT56" i="150" s="1"/>
  <c r="AS44" i="150"/>
  <c r="AS56" i="150" s="1"/>
  <c r="AQ44" i="150"/>
  <c r="AQ56" i="150" s="1"/>
  <c r="AP44" i="150"/>
  <c r="AP56" i="150" s="1"/>
  <c r="AO44" i="150"/>
  <c r="AO56" i="150" s="1"/>
  <c r="AN44" i="150"/>
  <c r="AN56" i="150" s="1"/>
  <c r="AM44" i="150"/>
  <c r="AM56" i="150" s="1"/>
  <c r="AL44" i="150"/>
  <c r="AL56" i="150" s="1"/>
  <c r="AK44" i="150"/>
  <c r="AK56" i="150" s="1"/>
  <c r="AJ44" i="150"/>
  <c r="AJ56" i="150" s="1"/>
  <c r="AI44" i="150"/>
  <c r="AI56" i="150" s="1"/>
  <c r="AH44" i="150"/>
  <c r="AH56" i="150" s="1"/>
  <c r="AG44" i="150"/>
  <c r="AG56" i="150" s="1"/>
  <c r="AF44" i="150"/>
  <c r="AF56" i="150" s="1"/>
  <c r="AE44" i="150"/>
  <c r="AE56" i="150" s="1"/>
  <c r="AD44" i="150"/>
  <c r="AD56" i="150" s="1"/>
  <c r="AC44" i="150"/>
  <c r="AC56" i="150" s="1"/>
  <c r="AB44" i="150"/>
  <c r="AB56" i="150" s="1"/>
  <c r="AA44" i="150"/>
  <c r="AA56" i="150" s="1"/>
  <c r="Z44" i="150"/>
  <c r="Z56" i="150" s="1"/>
  <c r="Y44" i="150"/>
  <c r="Y56" i="150" s="1"/>
  <c r="X44" i="150"/>
  <c r="X56" i="150" s="1"/>
  <c r="W44" i="150"/>
  <c r="W56" i="150" s="1"/>
  <c r="AT43" i="150"/>
  <c r="AT55" i="150" s="1"/>
  <c r="AS43" i="150"/>
  <c r="AS55" i="150" s="1"/>
  <c r="AQ43" i="150"/>
  <c r="AQ55" i="150" s="1"/>
  <c r="AP43" i="150"/>
  <c r="AP55" i="150" s="1"/>
  <c r="AO43" i="150"/>
  <c r="AO55" i="150" s="1"/>
  <c r="AN43" i="150"/>
  <c r="AN55" i="150" s="1"/>
  <c r="AM43" i="150"/>
  <c r="AM55" i="150" s="1"/>
  <c r="AL43" i="150"/>
  <c r="AL55" i="150" s="1"/>
  <c r="AK43" i="150"/>
  <c r="AK55" i="150" s="1"/>
  <c r="AJ43" i="150"/>
  <c r="AJ55" i="150" s="1"/>
  <c r="AI43" i="150"/>
  <c r="AI55" i="150" s="1"/>
  <c r="AH43" i="150"/>
  <c r="AH55" i="150" s="1"/>
  <c r="AG43" i="150"/>
  <c r="AG55" i="150" s="1"/>
  <c r="AF43" i="150"/>
  <c r="AF55" i="150" s="1"/>
  <c r="AE43" i="150"/>
  <c r="AE55" i="150" s="1"/>
  <c r="AD43" i="150"/>
  <c r="AD55" i="150" s="1"/>
  <c r="AC55" i="150"/>
  <c r="AB43" i="150"/>
  <c r="AB55" i="150" s="1"/>
  <c r="AA43" i="150"/>
  <c r="AA55" i="150" s="1"/>
  <c r="Z43" i="150"/>
  <c r="Z55" i="150" s="1"/>
  <c r="Y43" i="150"/>
  <c r="Y55" i="150" s="1"/>
  <c r="X43" i="150"/>
  <c r="X55" i="150" s="1"/>
  <c r="W43" i="150"/>
  <c r="W55" i="150" s="1"/>
  <c r="E63" i="150" l="1"/>
  <c r="E69" i="170" s="1"/>
  <c r="H69" i="170" s="1"/>
  <c r="E53" i="150"/>
  <c r="E61" i="150"/>
  <c r="E67" i="170" s="1"/>
  <c r="H67" i="170" s="1"/>
  <c r="E69" i="150"/>
  <c r="E75" i="170" s="1"/>
  <c r="H75" i="170" s="1"/>
  <c r="E54" i="150"/>
  <c r="E60" i="170" s="1"/>
  <c r="F60" i="170" s="1"/>
  <c r="E62" i="150"/>
  <c r="E68" i="170" s="1"/>
  <c r="F68" i="170" s="1"/>
  <c r="E70" i="150"/>
  <c r="E76" i="170" s="1"/>
  <c r="F76" i="170" s="1"/>
  <c r="L53" i="150"/>
  <c r="E64" i="150"/>
  <c r="E70" i="170" s="1"/>
  <c r="E58" i="150"/>
  <c r="E64" i="170" s="1"/>
  <c r="F64" i="170" s="1"/>
  <c r="E66" i="150"/>
  <c r="E72" i="170" s="1"/>
  <c r="G72" i="170" s="1"/>
  <c r="E72" i="150"/>
  <c r="K26" i="186" s="1"/>
  <c r="E51" i="150"/>
  <c r="E57" i="170" s="1"/>
  <c r="H57" i="170" s="1"/>
  <c r="E59" i="150"/>
  <c r="E65" i="170" s="1"/>
  <c r="H65" i="170" s="1"/>
  <c r="E67" i="150"/>
  <c r="E73" i="170" s="1"/>
  <c r="H73" i="170" s="1"/>
  <c r="E55" i="150"/>
  <c r="E56" i="150"/>
  <c r="E62" i="170" s="1"/>
  <c r="E52" i="150"/>
  <c r="E58" i="170" s="1"/>
  <c r="F58" i="170" s="1"/>
  <c r="E60" i="150"/>
  <c r="E66" i="170" s="1"/>
  <c r="F66" i="170" s="1"/>
  <c r="E68" i="150"/>
  <c r="E74" i="170" s="1"/>
  <c r="G74" i="170" s="1"/>
  <c r="E59" i="170"/>
  <c r="H59" i="170" s="1"/>
  <c r="E61" i="170"/>
  <c r="H61" i="170" s="1"/>
  <c r="J5" i="186"/>
  <c r="AG97" i="187"/>
  <c r="AG61" i="187"/>
  <c r="AG25" i="187"/>
  <c r="AG169" i="187"/>
  <c r="AG133" i="187"/>
  <c r="AG97" i="180"/>
  <c r="AG25" i="180"/>
  <c r="AG61" i="180"/>
  <c r="AG169" i="180"/>
  <c r="AG133" i="180"/>
  <c r="D61" i="170"/>
  <c r="AG101" i="187"/>
  <c r="AG65" i="187"/>
  <c r="AG29" i="187"/>
  <c r="AG173" i="187"/>
  <c r="AG137" i="187"/>
  <c r="AG101" i="180"/>
  <c r="AG29" i="180"/>
  <c r="AG65" i="180"/>
  <c r="AG173" i="180"/>
  <c r="AG137" i="180"/>
  <c r="J17" i="186"/>
  <c r="AG183" i="187"/>
  <c r="AG147" i="187"/>
  <c r="AG111" i="187"/>
  <c r="AG75" i="187"/>
  <c r="AG39" i="187"/>
  <c r="AG183" i="180"/>
  <c r="AG147" i="180"/>
  <c r="AG111" i="180"/>
  <c r="AG75" i="180"/>
  <c r="AG39" i="180"/>
  <c r="J21" i="186"/>
  <c r="AG104" i="187"/>
  <c r="AG68" i="187"/>
  <c r="AG32" i="187"/>
  <c r="AG176" i="187"/>
  <c r="AG140" i="187"/>
  <c r="AG140" i="180"/>
  <c r="AG104" i="180"/>
  <c r="AG32" i="180"/>
  <c r="AG68" i="180"/>
  <c r="AG176" i="180"/>
  <c r="D58" i="170"/>
  <c r="AG179" i="187"/>
  <c r="AG143" i="187"/>
  <c r="AG107" i="187"/>
  <c r="AG71" i="187"/>
  <c r="AG35" i="187"/>
  <c r="AG179" i="180"/>
  <c r="AG143" i="180"/>
  <c r="AG107" i="180"/>
  <c r="AG35" i="180"/>
  <c r="AG71" i="180"/>
  <c r="D62" i="170"/>
  <c r="AG174" i="187"/>
  <c r="AG138" i="187"/>
  <c r="AG102" i="187"/>
  <c r="AG66" i="187"/>
  <c r="AG30" i="187"/>
  <c r="AG66" i="180"/>
  <c r="AG174" i="180"/>
  <c r="AG138" i="180"/>
  <c r="AG102" i="180"/>
  <c r="AG30" i="180"/>
  <c r="J18" i="186"/>
  <c r="AG112" i="187"/>
  <c r="AG76" i="187"/>
  <c r="AG40" i="187"/>
  <c r="AG184" i="187"/>
  <c r="AG148" i="187"/>
  <c r="AG148" i="180"/>
  <c r="AG112" i="180"/>
  <c r="AG76" i="180"/>
  <c r="AG40" i="180"/>
  <c r="AG184" i="180"/>
  <c r="J22" i="186"/>
  <c r="AG105" i="187"/>
  <c r="AG69" i="187"/>
  <c r="AG33" i="187"/>
  <c r="AG177" i="187"/>
  <c r="AG141" i="187"/>
  <c r="AG105" i="180"/>
  <c r="AG33" i="180"/>
  <c r="AG69" i="180"/>
  <c r="AG177" i="180"/>
  <c r="AG141" i="180"/>
  <c r="D79" i="170"/>
  <c r="AG187" i="187"/>
  <c r="AG151" i="187"/>
  <c r="AG115" i="187"/>
  <c r="AG79" i="187"/>
  <c r="AG43" i="187"/>
  <c r="AG187" i="180"/>
  <c r="AG151" i="180"/>
  <c r="AG115" i="180"/>
  <c r="AG79" i="180"/>
  <c r="AG43" i="180"/>
  <c r="D59" i="170"/>
  <c r="AG108" i="187"/>
  <c r="AG72" i="187"/>
  <c r="AG36" i="187"/>
  <c r="AG180" i="187"/>
  <c r="AG144" i="187"/>
  <c r="AG144" i="180"/>
  <c r="AG108" i="180"/>
  <c r="AG36" i="180"/>
  <c r="AG72" i="180"/>
  <c r="AG180" i="180"/>
  <c r="D63" i="170"/>
  <c r="AG175" i="187"/>
  <c r="AG139" i="187"/>
  <c r="AG103" i="187"/>
  <c r="AG67" i="187"/>
  <c r="AG31" i="187"/>
  <c r="AG175" i="180"/>
  <c r="AG139" i="180"/>
  <c r="AG103" i="180"/>
  <c r="AG31" i="180"/>
  <c r="AG67" i="180"/>
  <c r="J15" i="186"/>
  <c r="AG182" i="187"/>
  <c r="AG146" i="187"/>
  <c r="AG109" i="187"/>
  <c r="AG73" i="187"/>
  <c r="AG37" i="187"/>
  <c r="AG181" i="187"/>
  <c r="AG145" i="187"/>
  <c r="AG110" i="187"/>
  <c r="AG74" i="187"/>
  <c r="AG38" i="187"/>
  <c r="AG109" i="180"/>
  <c r="AG74" i="180"/>
  <c r="AG37" i="180"/>
  <c r="AG182" i="180"/>
  <c r="AG73" i="180"/>
  <c r="AG181" i="180"/>
  <c r="AG146" i="180"/>
  <c r="AG38" i="180"/>
  <c r="AG145" i="180"/>
  <c r="AG110" i="180"/>
  <c r="D71" i="170"/>
  <c r="AG113" i="187"/>
  <c r="AG77" i="187"/>
  <c r="AG41" i="187"/>
  <c r="AG185" i="187"/>
  <c r="AG149" i="187"/>
  <c r="AG113" i="180"/>
  <c r="AG77" i="180"/>
  <c r="AG41" i="180"/>
  <c r="AG185" i="180"/>
  <c r="AG149" i="180"/>
  <c r="D75" i="170"/>
  <c r="AG178" i="187"/>
  <c r="AG142" i="187"/>
  <c r="AG106" i="187"/>
  <c r="AG70" i="187"/>
  <c r="AG34" i="187"/>
  <c r="AG70" i="180"/>
  <c r="AG178" i="180"/>
  <c r="AG142" i="180"/>
  <c r="AG106" i="180"/>
  <c r="AG34" i="180"/>
  <c r="D56" i="170"/>
  <c r="AG96" i="187"/>
  <c r="AG60" i="187"/>
  <c r="AG24" i="187"/>
  <c r="O13" i="187" s="1"/>
  <c r="T13" i="187" s="1"/>
  <c r="AG168" i="187"/>
  <c r="AG132" i="187"/>
  <c r="AG132" i="180"/>
  <c r="AG96" i="180"/>
  <c r="AG24" i="180"/>
  <c r="AG60" i="180"/>
  <c r="AG168" i="180"/>
  <c r="J8" i="186"/>
  <c r="AG170" i="187"/>
  <c r="AG134" i="187"/>
  <c r="AG26" i="187"/>
  <c r="AG98" i="187"/>
  <c r="AG62" i="187"/>
  <c r="AG62" i="180"/>
  <c r="AG170" i="180"/>
  <c r="AG134" i="180"/>
  <c r="AG98" i="180"/>
  <c r="AG26" i="180"/>
  <c r="J16" i="186"/>
  <c r="D68" i="170"/>
  <c r="J20" i="186"/>
  <c r="AG186" i="187"/>
  <c r="AG150" i="187"/>
  <c r="AG114" i="187"/>
  <c r="AG78" i="187"/>
  <c r="AG42" i="187"/>
  <c r="AG78" i="180"/>
  <c r="AG42" i="180"/>
  <c r="AG186" i="180"/>
  <c r="AG150" i="180"/>
  <c r="AG114" i="180"/>
  <c r="J24" i="186"/>
  <c r="AG171" i="187"/>
  <c r="AG135" i="187"/>
  <c r="AG99" i="187"/>
  <c r="AG63" i="187"/>
  <c r="AG27" i="187"/>
  <c r="O14" i="187" s="1"/>
  <c r="T14" i="187" s="1"/>
  <c r="AG171" i="180"/>
  <c r="AG135" i="180"/>
  <c r="AG99" i="180"/>
  <c r="AG27" i="180"/>
  <c r="AG63" i="180"/>
  <c r="E57" i="150"/>
  <c r="E63" i="170" s="1"/>
  <c r="H63" i="170" s="1"/>
  <c r="E65" i="150"/>
  <c r="J4" i="186"/>
  <c r="J19" i="186"/>
  <c r="J11" i="186"/>
  <c r="D76" i="170"/>
  <c r="D72" i="170"/>
  <c r="D70" i="170"/>
  <c r="J27" i="186"/>
  <c r="J10" i="186"/>
  <c r="D60" i="170"/>
  <c r="D78" i="170"/>
  <c r="D57" i="170"/>
  <c r="D69" i="170"/>
  <c r="J9" i="186"/>
  <c r="D73" i="170"/>
  <c r="D74" i="170"/>
  <c r="E73" i="150"/>
  <c r="N57" i="150"/>
  <c r="AR42" i="150" s="1"/>
  <c r="AR48" i="150" s="1"/>
  <c r="AR60" i="150" s="1"/>
  <c r="D67" i="170"/>
  <c r="J23" i="186"/>
  <c r="J7" i="186"/>
  <c r="J14" i="186"/>
  <c r="J6" i="186"/>
  <c r="D64" i="170"/>
  <c r="J13" i="186"/>
  <c r="N58" i="150"/>
  <c r="B60" i="182"/>
  <c r="H57" i="182"/>
  <c r="K18" i="186"/>
  <c r="K14" i="186"/>
  <c r="K10" i="186"/>
  <c r="K6" i="186"/>
  <c r="K17" i="186"/>
  <c r="K13" i="186"/>
  <c r="K9" i="186"/>
  <c r="K24" i="186"/>
  <c r="K20" i="186"/>
  <c r="K16" i="186"/>
  <c r="K12" i="186"/>
  <c r="K23" i="186"/>
  <c r="K15" i="186"/>
  <c r="K7" i="186"/>
  <c r="J48" i="185"/>
  <c r="B48" i="185"/>
  <c r="F56" i="182"/>
  <c r="J56" i="182"/>
  <c r="F49" i="185"/>
  <c r="F57" i="182"/>
  <c r="F58" i="182"/>
  <c r="J58" i="182"/>
  <c r="H49" i="185"/>
  <c r="D45" i="185"/>
  <c r="D49" i="185"/>
  <c r="D59" i="182"/>
  <c r="H56" i="182"/>
  <c r="J57" i="182"/>
  <c r="B47" i="185"/>
  <c r="F48" i="185"/>
  <c r="H48" i="185"/>
  <c r="D58" i="182"/>
  <c r="M46" i="185"/>
  <c r="C50" i="185" s="1"/>
  <c r="B56" i="182"/>
  <c r="B46" i="185"/>
  <c r="H47" i="185"/>
  <c r="D57" i="182"/>
  <c r="M50" i="185"/>
  <c r="F50" i="185" s="1"/>
  <c r="M60" i="182"/>
  <c r="F61" i="182" s="1"/>
  <c r="M56" i="182"/>
  <c r="C61" i="182" s="1"/>
  <c r="F74" i="170"/>
  <c r="H70" i="170"/>
  <c r="G70" i="170"/>
  <c r="F70" i="170"/>
  <c r="H62" i="170"/>
  <c r="F62" i="170"/>
  <c r="H64" i="170"/>
  <c r="H72" i="170"/>
  <c r="G62" i="170"/>
  <c r="G69" i="170"/>
  <c r="F69" i="170"/>
  <c r="A127" i="128"/>
  <c r="A3" i="151"/>
  <c r="C36" i="150"/>
  <c r="C35" i="150"/>
  <c r="C33" i="150"/>
  <c r="C34" i="150"/>
  <c r="F27" i="151" s="1"/>
  <c r="G67" i="170" l="1"/>
  <c r="F67" i="170"/>
  <c r="G66" i="170"/>
  <c r="G64" i="170"/>
  <c r="H58" i="170"/>
  <c r="H66" i="170"/>
  <c r="G58" i="170"/>
  <c r="F72" i="170"/>
  <c r="K5" i="186"/>
  <c r="K8" i="186"/>
  <c r="E78" i="170"/>
  <c r="H78" i="170" s="1"/>
  <c r="H74" i="170"/>
  <c r="K21" i="186"/>
  <c r="K22" i="186"/>
  <c r="F75" i="170"/>
  <c r="H68" i="170"/>
  <c r="H60" i="170"/>
  <c r="G59" i="170"/>
  <c r="G76" i="170"/>
  <c r="H76" i="170"/>
  <c r="F59" i="170"/>
  <c r="G68" i="170"/>
  <c r="F73" i="170"/>
  <c r="G75" i="170"/>
  <c r="G73" i="170"/>
  <c r="G60" i="170"/>
  <c r="AR43" i="150"/>
  <c r="AR55" i="150" s="1"/>
  <c r="G61" i="170"/>
  <c r="F61" i="170"/>
  <c r="G57" i="170"/>
  <c r="E71" i="170"/>
  <c r="H71" i="170" s="1"/>
  <c r="E79" i="170"/>
  <c r="H79" i="170" s="1"/>
  <c r="F57" i="170"/>
  <c r="K11" i="186"/>
  <c r="AR46" i="150"/>
  <c r="AR58" i="150" s="1"/>
  <c r="AR45" i="150"/>
  <c r="AR57" i="150" s="1"/>
  <c r="K19" i="186"/>
  <c r="G63" i="170"/>
  <c r="F63" i="170"/>
  <c r="A49" i="103"/>
  <c r="A90" i="170"/>
  <c r="D71" i="150"/>
  <c r="J25" i="186" s="1"/>
  <c r="AR47" i="150"/>
  <c r="AR59" i="150" s="1"/>
  <c r="AR49" i="150"/>
  <c r="AR61" i="150" s="1"/>
  <c r="E71" i="150" s="1"/>
  <c r="E77" i="170" s="1"/>
  <c r="H77" i="170" s="1"/>
  <c r="AR44" i="150"/>
  <c r="AR56" i="150" s="1"/>
  <c r="G65" i="170"/>
  <c r="AR50" i="150"/>
  <c r="AR62" i="150" s="1"/>
  <c r="K27" i="186"/>
  <c r="B36" i="155"/>
  <c r="D36" i="155"/>
  <c r="H36" i="155"/>
  <c r="D37" i="155"/>
  <c r="F65" i="170"/>
  <c r="F78" i="170" l="1"/>
  <c r="G78" i="170"/>
  <c r="F79" i="170"/>
  <c r="F71" i="170"/>
  <c r="G71" i="170"/>
  <c r="G79" i="170"/>
  <c r="D77" i="170"/>
  <c r="AG100" i="187"/>
  <c r="AG64" i="187"/>
  <c r="AG172" i="187"/>
  <c r="AG136" i="187"/>
  <c r="AG28" i="187"/>
  <c r="AG136" i="180"/>
  <c r="AG100" i="180"/>
  <c r="AG28" i="180"/>
  <c r="AG64" i="180"/>
  <c r="AG172" i="180"/>
  <c r="G77" i="170"/>
  <c r="K25" i="186"/>
  <c r="F77" i="170"/>
  <c r="A17" i="180"/>
  <c r="K41" i="104" l="1"/>
  <c r="K38" i="104"/>
  <c r="A2" i="91"/>
  <c r="A2" i="155"/>
  <c r="K131" i="128"/>
  <c r="K129" i="128"/>
  <c r="H29" i="128"/>
  <c r="H25" i="128"/>
  <c r="H19" i="128"/>
  <c r="H9" i="103"/>
  <c r="F33" i="129" l="1"/>
  <c r="A2" i="129"/>
  <c r="K78" i="103"/>
  <c r="B83" i="103"/>
  <c r="F23" i="155"/>
  <c r="B86" i="103"/>
  <c r="H20" i="103"/>
  <c r="H15" i="103"/>
  <c r="K130" i="103"/>
  <c r="K128" i="103"/>
  <c r="I61" i="186"/>
  <c r="E62" i="186"/>
  <c r="E61" i="186"/>
  <c r="A61" i="186"/>
  <c r="D39" i="93"/>
  <c r="B34" i="93"/>
  <c r="B33" i="93"/>
  <c r="B47" i="154"/>
  <c r="A7" i="99"/>
  <c r="A6" i="99"/>
  <c r="A4" i="98"/>
  <c r="A5" i="98"/>
  <c r="B20" i="138"/>
  <c r="K306" i="138"/>
  <c r="K244" i="137"/>
  <c r="K305" i="138"/>
  <c r="K243" i="137"/>
  <c r="K304" i="138"/>
  <c r="K242" i="137"/>
  <c r="K297" i="138"/>
  <c r="K298" i="138"/>
  <c r="K292" i="138"/>
  <c r="K291" i="138"/>
  <c r="K287" i="138"/>
  <c r="K286" i="138"/>
  <c r="K224" i="137"/>
  <c r="K203" i="152"/>
  <c r="K202" i="152"/>
  <c r="K198" i="152"/>
  <c r="K197" i="152"/>
  <c r="K289" i="151"/>
  <c r="K183" i="152"/>
  <c r="K275" i="151"/>
  <c r="K182" i="152"/>
  <c r="K274" i="151"/>
  <c r="K181" i="152"/>
  <c r="K273" i="151"/>
  <c r="K277" i="151"/>
  <c r="K236" i="137"/>
  <c r="K235" i="137"/>
  <c r="K230" i="137"/>
  <c r="K229" i="137"/>
  <c r="K225" i="137"/>
  <c r="K295" i="151"/>
  <c r="K294" i="151"/>
  <c r="K290" i="151"/>
  <c r="K79" i="152"/>
  <c r="H18" i="152"/>
  <c r="H14" i="152"/>
  <c r="H6" i="152"/>
  <c r="A53" i="138"/>
  <c r="A53" i="137"/>
  <c r="B20" i="137"/>
  <c r="B115" i="151"/>
  <c r="B118" i="151"/>
  <c r="H19" i="151"/>
  <c r="H25" i="151"/>
  <c r="C32" i="150" l="1"/>
  <c r="F25" i="151" s="1"/>
  <c r="F26" i="151"/>
  <c r="F28" i="151"/>
  <c r="F29" i="151"/>
  <c r="H14" i="151"/>
  <c r="H7" i="151"/>
  <c r="H6" i="151"/>
  <c r="K110" i="151"/>
  <c r="F55" i="151"/>
  <c r="H57" i="129"/>
  <c r="H56" i="129"/>
  <c r="M57" i="129"/>
  <c r="M56" i="129"/>
  <c r="K41" i="150" l="1"/>
  <c r="L41" i="150"/>
  <c r="K42" i="150"/>
  <c r="L42" i="150"/>
  <c r="K43" i="150"/>
  <c r="K57" i="186" s="1"/>
  <c r="L43" i="150"/>
  <c r="K44" i="150"/>
  <c r="M91" i="155" s="1"/>
  <c r="L44" i="150"/>
  <c r="K45" i="150"/>
  <c r="B95" i="170" s="1"/>
  <c r="L45" i="150"/>
  <c r="K46" i="150"/>
  <c r="M92" i="155" s="1"/>
  <c r="L46" i="150"/>
  <c r="K47" i="150"/>
  <c r="K59" i="186" s="1"/>
  <c r="L47" i="150"/>
  <c r="K48" i="150"/>
  <c r="K60" i="186" s="1"/>
  <c r="L48" i="150"/>
  <c r="K49" i="150"/>
  <c r="L49" i="150"/>
  <c r="L40" i="150"/>
  <c r="K40" i="150"/>
  <c r="D63" i="128" l="1"/>
  <c r="D56" i="152"/>
  <c r="D51" i="152"/>
  <c r="D58" i="128"/>
  <c r="T41" i="187"/>
  <c r="H53" i="128"/>
  <c r="H46" i="152"/>
  <c r="D67" i="128"/>
  <c r="D61" i="152"/>
  <c r="D72" i="128"/>
  <c r="H50" i="128"/>
  <c r="K44" i="152"/>
  <c r="T34" i="187"/>
  <c r="D61" i="128"/>
  <c r="D54" i="152"/>
  <c r="T33" i="187"/>
  <c r="T40" i="187"/>
  <c r="K42" i="186"/>
  <c r="T36" i="187"/>
  <c r="T39" i="187"/>
  <c r="K44" i="186"/>
  <c r="T38" i="187"/>
  <c r="K43" i="186"/>
  <c r="C131" i="129"/>
  <c r="C89" i="155"/>
  <c r="K55" i="186"/>
  <c r="P86" i="91"/>
  <c r="D33" i="152"/>
  <c r="D41" i="128"/>
  <c r="P87" i="91"/>
  <c r="B53" i="103"/>
  <c r="D36" i="152"/>
  <c r="D44" i="128"/>
  <c r="D36" i="128"/>
  <c r="D28" i="152"/>
  <c r="P88" i="91"/>
  <c r="S96" i="170"/>
  <c r="B54" i="103" s="1"/>
  <c r="D47" i="128"/>
  <c r="D39" i="152"/>
  <c r="T37" i="187" l="1"/>
  <c r="T35" i="187"/>
  <c r="K87" i="103"/>
  <c r="K86" i="103"/>
  <c r="K119" i="151"/>
  <c r="K116" i="151"/>
  <c r="K118" i="151"/>
  <c r="T42" i="187" l="1"/>
  <c r="H45" i="187" s="1"/>
  <c r="J36" i="91"/>
  <c r="H46" i="151"/>
  <c r="H31" i="128"/>
  <c r="H20" i="152"/>
  <c r="J44" i="155" l="1"/>
  <c r="C8" i="155"/>
  <c r="K88" i="103"/>
  <c r="K120" i="151"/>
  <c r="E29" i="180" l="1"/>
  <c r="E30" i="180"/>
  <c r="M36" i="128" l="1"/>
  <c r="M50" i="128"/>
  <c r="M57" i="128"/>
  <c r="M50" i="152"/>
  <c r="M42" i="152"/>
  <c r="M28" i="152"/>
  <c r="O68" i="150"/>
  <c r="H49" i="151"/>
  <c r="A35" i="104" l="1"/>
  <c r="S10" i="185"/>
  <c r="T37" i="180"/>
  <c r="T17" i="180"/>
  <c r="T16" i="180"/>
  <c r="O12" i="180"/>
  <c r="T12" i="180" s="1"/>
  <c r="O13" i="180"/>
  <c r="T13" i="180" s="1"/>
  <c r="O14" i="180"/>
  <c r="T14" i="180" s="1"/>
  <c r="O16" i="180"/>
  <c r="O17" i="180"/>
  <c r="B96" i="170" l="1"/>
  <c r="Y80" i="150"/>
  <c r="AV30" i="150" l="1"/>
  <c r="AW30" i="150"/>
  <c r="AX30" i="150"/>
  <c r="AY30" i="150"/>
  <c r="AU30" i="150"/>
  <c r="AQ30" i="150"/>
  <c r="AR30" i="150"/>
  <c r="AS30" i="150"/>
  <c r="AT30" i="150"/>
  <c r="AP30" i="150"/>
  <c r="AL30" i="150"/>
  <c r="AM30" i="150"/>
  <c r="AN30" i="150"/>
  <c r="AO30" i="150"/>
  <c r="AK30" i="150"/>
  <c r="AG30" i="150"/>
  <c r="AH30" i="150"/>
  <c r="AI30" i="150"/>
  <c r="AJ30" i="150"/>
  <c r="AF30" i="150"/>
  <c r="AB30" i="150"/>
  <c r="AC30" i="150"/>
  <c r="AD30" i="150"/>
  <c r="AE30" i="150"/>
  <c r="AA30" i="150"/>
  <c r="W30" i="150"/>
  <c r="X30" i="150"/>
  <c r="Y30" i="150"/>
  <c r="Z30" i="150"/>
  <c r="V30" i="150"/>
  <c r="K53" i="150"/>
  <c r="F40" i="150"/>
  <c r="J1" i="186"/>
  <c r="P25" i="182"/>
  <c r="M24" i="182" s="1"/>
  <c r="M262" i="151"/>
  <c r="M118" i="103" s="1"/>
  <c r="F262" i="151"/>
  <c r="F118" i="103" s="1"/>
  <c r="F261" i="151"/>
  <c r="F117" i="103" s="1"/>
  <c r="M260" i="151"/>
  <c r="M116" i="103" s="1"/>
  <c r="F116" i="103"/>
  <c r="AD81" i="150"/>
  <c r="AB81" i="150"/>
  <c r="Z81" i="150"/>
  <c r="X81" i="150"/>
  <c r="AD80" i="150"/>
  <c r="AB80" i="150"/>
  <c r="Z80" i="150"/>
  <c r="X80" i="150"/>
  <c r="AD79" i="150"/>
  <c r="AB79" i="150"/>
  <c r="Z79" i="150"/>
  <c r="X79" i="150"/>
  <c r="U79" i="150"/>
  <c r="Y79" i="150"/>
  <c r="AA80" i="150"/>
  <c r="AA81" i="150"/>
  <c r="AC80" i="150"/>
  <c r="W81" i="150"/>
  <c r="M135" i="129"/>
  <c r="J49" i="99"/>
  <c r="J44" i="99"/>
  <c r="J64" i="129"/>
  <c r="Z20" i="180"/>
  <c r="Z21" i="180"/>
  <c r="Z19" i="180"/>
  <c r="K15" i="151"/>
  <c r="AY26" i="150"/>
  <c r="AX26" i="150"/>
  <c r="AX38" i="150" s="1"/>
  <c r="AW26" i="150"/>
  <c r="AW38" i="150" s="1"/>
  <c r="AV26" i="150"/>
  <c r="AV38" i="150" s="1"/>
  <c r="AU26" i="150"/>
  <c r="AU38" i="150" s="1"/>
  <c r="AY25" i="150"/>
  <c r="AY37" i="150" s="1"/>
  <c r="AX25" i="150"/>
  <c r="AX37" i="150" s="1"/>
  <c r="AW25" i="150"/>
  <c r="AV25" i="150"/>
  <c r="AV37" i="150" s="1"/>
  <c r="AU25" i="150"/>
  <c r="AU37" i="150" s="1"/>
  <c r="AY24" i="150"/>
  <c r="AY36" i="150" s="1"/>
  <c r="AX24" i="150"/>
  <c r="AX36" i="150" s="1"/>
  <c r="AW24" i="150"/>
  <c r="AW36" i="150" s="1"/>
  <c r="AV24" i="150"/>
  <c r="AV36" i="150" s="1"/>
  <c r="AU24" i="150"/>
  <c r="AU36" i="150" s="1"/>
  <c r="AY23" i="150"/>
  <c r="AY35" i="150" s="1"/>
  <c r="AX23" i="150"/>
  <c r="AW23" i="150"/>
  <c r="AW35" i="150" s="1"/>
  <c r="AV23" i="150"/>
  <c r="AV35" i="150" s="1"/>
  <c r="AU23" i="150"/>
  <c r="AU35" i="150" s="1"/>
  <c r="AY22" i="150"/>
  <c r="AY34" i="150" s="1"/>
  <c r="AX22" i="150"/>
  <c r="AX34" i="150" s="1"/>
  <c r="AW22" i="150"/>
  <c r="AW34" i="150" s="1"/>
  <c r="AV22" i="150"/>
  <c r="AU22" i="150"/>
  <c r="AU34" i="150" s="1"/>
  <c r="AY21" i="150"/>
  <c r="AY33" i="150" s="1"/>
  <c r="AX21" i="150"/>
  <c r="AX33" i="150" s="1"/>
  <c r="AW21" i="150"/>
  <c r="AW33" i="150" s="1"/>
  <c r="AV21" i="150"/>
  <c r="AV33" i="150" s="1"/>
  <c r="AU21" i="150"/>
  <c r="AU33" i="150" s="1"/>
  <c r="AY20" i="150"/>
  <c r="AY32" i="150" s="1"/>
  <c r="AX20" i="150"/>
  <c r="AX32" i="150" s="1"/>
  <c r="AW20" i="150"/>
  <c r="AW32" i="150" s="1"/>
  <c r="AV20" i="150"/>
  <c r="AV32" i="150" s="1"/>
  <c r="AU20" i="150"/>
  <c r="AU32" i="150" s="1"/>
  <c r="AY19" i="150"/>
  <c r="AY31" i="150" s="1"/>
  <c r="AX19" i="150"/>
  <c r="AX31" i="150" s="1"/>
  <c r="AW19" i="150"/>
  <c r="AW31" i="150" s="1"/>
  <c r="AV19" i="150"/>
  <c r="AV31" i="150" s="1"/>
  <c r="AU19" i="150"/>
  <c r="AU31" i="150" s="1"/>
  <c r="AT26" i="150"/>
  <c r="AT38" i="150" s="1"/>
  <c r="AS26" i="150"/>
  <c r="AS38" i="150" s="1"/>
  <c r="AR26" i="150"/>
  <c r="AR38" i="150" s="1"/>
  <c r="AQ26" i="150"/>
  <c r="AQ38" i="150" s="1"/>
  <c r="AP26" i="150"/>
  <c r="AP38" i="150" s="1"/>
  <c r="AT25" i="150"/>
  <c r="AT37" i="150" s="1"/>
  <c r="AS25" i="150"/>
  <c r="AS37" i="150" s="1"/>
  <c r="AR25" i="150"/>
  <c r="AR37" i="150" s="1"/>
  <c r="AQ25" i="150"/>
  <c r="AP25" i="150"/>
  <c r="AP37" i="150" s="1"/>
  <c r="AT24" i="150"/>
  <c r="AT36" i="150" s="1"/>
  <c r="AS24" i="150"/>
  <c r="AS36" i="150" s="1"/>
  <c r="AR24" i="150"/>
  <c r="AR36" i="150" s="1"/>
  <c r="AQ24" i="150"/>
  <c r="AQ36" i="150" s="1"/>
  <c r="AP24" i="150"/>
  <c r="AT23" i="150"/>
  <c r="AT35" i="150" s="1"/>
  <c r="AS23" i="150"/>
  <c r="AS35" i="150" s="1"/>
  <c r="AR23" i="150"/>
  <c r="AR35" i="150" s="1"/>
  <c r="AQ23" i="150"/>
  <c r="AQ35" i="150" s="1"/>
  <c r="AP23" i="150"/>
  <c r="AP35" i="150" s="1"/>
  <c r="AT22" i="150"/>
  <c r="AT34" i="150" s="1"/>
  <c r="AS22" i="150"/>
  <c r="AS34" i="150" s="1"/>
  <c r="AR22" i="150"/>
  <c r="AR34" i="150" s="1"/>
  <c r="AQ22" i="150"/>
  <c r="AQ34" i="150" s="1"/>
  <c r="AP22" i="150"/>
  <c r="AP34" i="150" s="1"/>
  <c r="AT21" i="150"/>
  <c r="AT33" i="150" s="1"/>
  <c r="AS21" i="150"/>
  <c r="AS33" i="150" s="1"/>
  <c r="AR21" i="150"/>
  <c r="AR33" i="150" s="1"/>
  <c r="AQ21" i="150"/>
  <c r="AP21" i="150"/>
  <c r="AP33" i="150" s="1"/>
  <c r="AT20" i="150"/>
  <c r="AT32" i="150" s="1"/>
  <c r="AS20" i="150"/>
  <c r="AS32" i="150" s="1"/>
  <c r="AR20" i="150"/>
  <c r="AR32" i="150" s="1"/>
  <c r="AQ20" i="150"/>
  <c r="AQ32" i="150" s="1"/>
  <c r="AP20" i="150"/>
  <c r="AP32" i="150" s="1"/>
  <c r="AT19" i="150"/>
  <c r="AT31" i="150" s="1"/>
  <c r="AS19" i="150"/>
  <c r="AS31" i="150" s="1"/>
  <c r="AR19" i="150"/>
  <c r="AR31" i="150" s="1"/>
  <c r="AQ19" i="150"/>
  <c r="AQ31" i="150" s="1"/>
  <c r="AP19" i="150"/>
  <c r="AO26" i="150"/>
  <c r="AO38" i="150" s="1"/>
  <c r="AN26" i="150"/>
  <c r="AN38" i="150" s="1"/>
  <c r="AM26" i="150"/>
  <c r="AM38" i="150" s="1"/>
  <c r="AL26" i="150"/>
  <c r="AL38" i="150" s="1"/>
  <c r="AK26" i="150"/>
  <c r="AK38" i="150" s="1"/>
  <c r="AO25" i="150"/>
  <c r="AO37" i="150" s="1"/>
  <c r="AN25" i="150"/>
  <c r="AN37" i="150" s="1"/>
  <c r="AM25" i="150"/>
  <c r="AM37" i="150" s="1"/>
  <c r="AL25" i="150"/>
  <c r="AL37" i="150" s="1"/>
  <c r="AK25" i="150"/>
  <c r="AK37" i="150" s="1"/>
  <c r="AO24" i="150"/>
  <c r="AO36" i="150" s="1"/>
  <c r="AN24" i="150"/>
  <c r="AN36" i="150" s="1"/>
  <c r="AM24" i="150"/>
  <c r="AM36" i="150" s="1"/>
  <c r="AL24" i="150"/>
  <c r="AL36" i="150" s="1"/>
  <c r="AK24" i="150"/>
  <c r="AK36" i="150" s="1"/>
  <c r="AO23" i="150"/>
  <c r="AN23" i="150"/>
  <c r="AN35" i="150" s="1"/>
  <c r="AM23" i="150"/>
  <c r="AM35" i="150" s="1"/>
  <c r="AL23" i="150"/>
  <c r="AL35" i="150" s="1"/>
  <c r="AK23" i="150"/>
  <c r="AK35" i="150" s="1"/>
  <c r="AO22" i="150"/>
  <c r="AO34" i="150" s="1"/>
  <c r="AN22" i="150"/>
  <c r="AN34" i="150" s="1"/>
  <c r="AM22" i="150"/>
  <c r="AM34" i="150" s="1"/>
  <c r="AL22" i="150"/>
  <c r="AL34" i="150" s="1"/>
  <c r="AK22" i="150"/>
  <c r="AK34" i="150" s="1"/>
  <c r="AO21" i="150"/>
  <c r="AO33" i="150" s="1"/>
  <c r="AN21" i="150"/>
  <c r="AN33" i="150" s="1"/>
  <c r="AM21" i="150"/>
  <c r="AM33" i="150" s="1"/>
  <c r="AL21" i="150"/>
  <c r="AL33" i="150" s="1"/>
  <c r="AK21" i="150"/>
  <c r="AK33" i="150" s="1"/>
  <c r="AO20" i="150"/>
  <c r="AO32" i="150" s="1"/>
  <c r="AN20" i="150"/>
  <c r="AM20" i="150"/>
  <c r="AM32" i="150" s="1"/>
  <c r="AL20" i="150"/>
  <c r="AL32" i="150" s="1"/>
  <c r="AK20" i="150"/>
  <c r="AK32" i="150" s="1"/>
  <c r="AO19" i="150"/>
  <c r="AO31" i="150" s="1"/>
  <c r="AN19" i="150"/>
  <c r="AN31" i="150" s="1"/>
  <c r="AM19" i="150"/>
  <c r="AM31" i="150" s="1"/>
  <c r="AL19" i="150"/>
  <c r="AL31" i="150" s="1"/>
  <c r="AK19" i="150"/>
  <c r="AK31" i="150" s="1"/>
  <c r="AJ26" i="150"/>
  <c r="AJ38" i="150" s="1"/>
  <c r="AI26" i="150"/>
  <c r="AI38" i="150" s="1"/>
  <c r="AH26" i="150"/>
  <c r="AH38" i="150" s="1"/>
  <c r="AG26" i="150"/>
  <c r="AG38" i="150" s="1"/>
  <c r="AF26" i="150"/>
  <c r="AJ25" i="150"/>
  <c r="AJ37" i="150" s="1"/>
  <c r="AI25" i="150"/>
  <c r="AI37" i="150" s="1"/>
  <c r="E44" i="150" s="1"/>
  <c r="AH25" i="150"/>
  <c r="AH37" i="150" s="1"/>
  <c r="AG25" i="150"/>
  <c r="AG37" i="150" s="1"/>
  <c r="AF25" i="150"/>
  <c r="AF37" i="150" s="1"/>
  <c r="AJ24" i="150"/>
  <c r="AJ36" i="150" s="1"/>
  <c r="AI24" i="150"/>
  <c r="AI36" i="150" s="1"/>
  <c r="AH24" i="150"/>
  <c r="AH36" i="150" s="1"/>
  <c r="AG24" i="150"/>
  <c r="AG36" i="150" s="1"/>
  <c r="AF24" i="150"/>
  <c r="AF36" i="150" s="1"/>
  <c r="AJ23" i="150"/>
  <c r="AJ35" i="150" s="1"/>
  <c r="AI23" i="150"/>
  <c r="AI35" i="150" s="1"/>
  <c r="AH23" i="150"/>
  <c r="AH35" i="150" s="1"/>
  <c r="AG23" i="150"/>
  <c r="AG35" i="150" s="1"/>
  <c r="AF23" i="150"/>
  <c r="AF35" i="150" s="1"/>
  <c r="AJ22" i="150"/>
  <c r="AJ34" i="150" s="1"/>
  <c r="AI22" i="150"/>
  <c r="AI34" i="150" s="1"/>
  <c r="AH22" i="150"/>
  <c r="AH34" i="150" s="1"/>
  <c r="AG22" i="150"/>
  <c r="AG34" i="150" s="1"/>
  <c r="AF22" i="150"/>
  <c r="AF34" i="150" s="1"/>
  <c r="AJ21" i="150"/>
  <c r="AJ33" i="150" s="1"/>
  <c r="AI21" i="150"/>
  <c r="AI33" i="150" s="1"/>
  <c r="AH21" i="150"/>
  <c r="AH33" i="150" s="1"/>
  <c r="AG21" i="150"/>
  <c r="AG33" i="150" s="1"/>
  <c r="AF21" i="150"/>
  <c r="AF33" i="150" s="1"/>
  <c r="AJ20" i="150"/>
  <c r="AJ32" i="150" s="1"/>
  <c r="AI20" i="150"/>
  <c r="AH20" i="150"/>
  <c r="AH32" i="150" s="1"/>
  <c r="AG20" i="150"/>
  <c r="AG32" i="150" s="1"/>
  <c r="AF20" i="150"/>
  <c r="AF32" i="150" s="1"/>
  <c r="AJ19" i="150"/>
  <c r="AJ31" i="150" s="1"/>
  <c r="AI19" i="150"/>
  <c r="AI31" i="150" s="1"/>
  <c r="AH19" i="150"/>
  <c r="AH31" i="150" s="1"/>
  <c r="AG19" i="150"/>
  <c r="AG31" i="150" s="1"/>
  <c r="AF19" i="150"/>
  <c r="AF31" i="150" s="1"/>
  <c r="AE26" i="150"/>
  <c r="AE38" i="150" s="1"/>
  <c r="AD26" i="150"/>
  <c r="AD38" i="150" s="1"/>
  <c r="AC26" i="150"/>
  <c r="AC38" i="150" s="1"/>
  <c r="AB26" i="150"/>
  <c r="AB38" i="150" s="1"/>
  <c r="AA26" i="150"/>
  <c r="AA38" i="150" s="1"/>
  <c r="AE25" i="150"/>
  <c r="AE37" i="150" s="1"/>
  <c r="AD25" i="150"/>
  <c r="AD37" i="150" s="1"/>
  <c r="AC25" i="150"/>
  <c r="AC37" i="150" s="1"/>
  <c r="AB25" i="150"/>
  <c r="AB37" i="150" s="1"/>
  <c r="AA25" i="150"/>
  <c r="AA37" i="150" s="1"/>
  <c r="AE24" i="150"/>
  <c r="AE36" i="150" s="1"/>
  <c r="AD24" i="150"/>
  <c r="AD36" i="150" s="1"/>
  <c r="AC24" i="150"/>
  <c r="AC36" i="150" s="1"/>
  <c r="AB24" i="150"/>
  <c r="AB36" i="150" s="1"/>
  <c r="AA24" i="150"/>
  <c r="AA36" i="150" s="1"/>
  <c r="AE23" i="150"/>
  <c r="AE35" i="150" s="1"/>
  <c r="AD23" i="150"/>
  <c r="AD35" i="150" s="1"/>
  <c r="AC23" i="150"/>
  <c r="AC35" i="150" s="1"/>
  <c r="AB23" i="150"/>
  <c r="AB35" i="150" s="1"/>
  <c r="AA23" i="150"/>
  <c r="AA35" i="150" s="1"/>
  <c r="AE22" i="150"/>
  <c r="AE34" i="150" s="1"/>
  <c r="AD22" i="150"/>
  <c r="AD34" i="150" s="1"/>
  <c r="AC22" i="150"/>
  <c r="AC34" i="150" s="1"/>
  <c r="AB22" i="150"/>
  <c r="AB34" i="150" s="1"/>
  <c r="AA22" i="150"/>
  <c r="AA34" i="150" s="1"/>
  <c r="AE21" i="150"/>
  <c r="AE33" i="150" s="1"/>
  <c r="AD21" i="150"/>
  <c r="AD33" i="150" s="1"/>
  <c r="AC21" i="150"/>
  <c r="AC33" i="150" s="1"/>
  <c r="AB21" i="150"/>
  <c r="AB33" i="150" s="1"/>
  <c r="AA21" i="150"/>
  <c r="AA33" i="150" s="1"/>
  <c r="AE20" i="150"/>
  <c r="AE32" i="150" s="1"/>
  <c r="AD20" i="150"/>
  <c r="AD32" i="150" s="1"/>
  <c r="AC20" i="150"/>
  <c r="AC32" i="150" s="1"/>
  <c r="AB20" i="150"/>
  <c r="AB32" i="150" s="1"/>
  <c r="AA20" i="150"/>
  <c r="AA32" i="150" s="1"/>
  <c r="AE19" i="150"/>
  <c r="AE31" i="150" s="1"/>
  <c r="AD19" i="150"/>
  <c r="AD31" i="150" s="1"/>
  <c r="AC19" i="150"/>
  <c r="AC31" i="150" s="1"/>
  <c r="AB19" i="150"/>
  <c r="AB31" i="150" s="1"/>
  <c r="AA19" i="150"/>
  <c r="V20" i="150"/>
  <c r="V32" i="150" s="1"/>
  <c r="W20" i="150"/>
  <c r="W32" i="150" s="1"/>
  <c r="X20" i="150"/>
  <c r="X32" i="150" s="1"/>
  <c r="Y20" i="150"/>
  <c r="Y32" i="150" s="1"/>
  <c r="Z20" i="150"/>
  <c r="Z32" i="150" s="1"/>
  <c r="V21" i="150"/>
  <c r="V33" i="150" s="1"/>
  <c r="W21" i="150"/>
  <c r="W33" i="150" s="1"/>
  <c r="X21" i="150"/>
  <c r="X33" i="150" s="1"/>
  <c r="Y21" i="150"/>
  <c r="Y33" i="150" s="1"/>
  <c r="Z21" i="150"/>
  <c r="Z33" i="150" s="1"/>
  <c r="V22" i="150"/>
  <c r="V34" i="150" s="1"/>
  <c r="W22" i="150"/>
  <c r="W34" i="150" s="1"/>
  <c r="X22" i="150"/>
  <c r="X34" i="150" s="1"/>
  <c r="Y22" i="150"/>
  <c r="Y34" i="150" s="1"/>
  <c r="Z22" i="150"/>
  <c r="Z34" i="150" s="1"/>
  <c r="V23" i="150"/>
  <c r="V35" i="150" s="1"/>
  <c r="W23" i="150"/>
  <c r="W35" i="150" s="1"/>
  <c r="X23" i="150"/>
  <c r="X35" i="150" s="1"/>
  <c r="Y23" i="150"/>
  <c r="Y35" i="150" s="1"/>
  <c r="Z23" i="150"/>
  <c r="Z35" i="150" s="1"/>
  <c r="V24" i="150"/>
  <c r="V36" i="150" s="1"/>
  <c r="W24" i="150"/>
  <c r="W36" i="150" s="1"/>
  <c r="X24" i="150"/>
  <c r="X36" i="150" s="1"/>
  <c r="Y24" i="150"/>
  <c r="Y36" i="150" s="1"/>
  <c r="Z24" i="150"/>
  <c r="Z36" i="150" s="1"/>
  <c r="V25" i="150"/>
  <c r="V37" i="150" s="1"/>
  <c r="W25" i="150"/>
  <c r="W37" i="150" s="1"/>
  <c r="X25" i="150"/>
  <c r="X37" i="150" s="1"/>
  <c r="Y25" i="150"/>
  <c r="Y37" i="150" s="1"/>
  <c r="Z25" i="150"/>
  <c r="Z37" i="150" s="1"/>
  <c r="V26" i="150"/>
  <c r="V38" i="150" s="1"/>
  <c r="W26" i="150"/>
  <c r="W38" i="150" s="1"/>
  <c r="X26" i="150"/>
  <c r="X38" i="150" s="1"/>
  <c r="Y26" i="150"/>
  <c r="Y38" i="150" s="1"/>
  <c r="Z26" i="150"/>
  <c r="Z38" i="150" s="1"/>
  <c r="W19" i="150"/>
  <c r="W31" i="150" s="1"/>
  <c r="X19" i="150"/>
  <c r="X31" i="150" s="1"/>
  <c r="Y19" i="150"/>
  <c r="Y31" i="150" s="1"/>
  <c r="Z19" i="150"/>
  <c r="Z31" i="150" s="1"/>
  <c r="V19" i="150"/>
  <c r="V31" i="150" s="1"/>
  <c r="P19" i="185"/>
  <c r="C28" i="185" s="1"/>
  <c r="E28" i="185" s="1"/>
  <c r="G28" i="185" s="1"/>
  <c r="I28" i="185" s="1"/>
  <c r="K28" i="185" s="1"/>
  <c r="S13" i="185"/>
  <c r="S12" i="185"/>
  <c r="S11" i="185"/>
  <c r="S9" i="185"/>
  <c r="M4" i="185"/>
  <c r="J2" i="185"/>
  <c r="F41" i="151"/>
  <c r="F39" i="151"/>
  <c r="F37" i="151"/>
  <c r="E83" i="170"/>
  <c r="E82" i="170"/>
  <c r="A47" i="180"/>
  <c r="A46" i="180"/>
  <c r="A45" i="180"/>
  <c r="J2" i="182"/>
  <c r="M4" i="182"/>
  <c r="S9" i="182"/>
  <c r="B49" i="182" s="1"/>
  <c r="S10" i="182"/>
  <c r="D49" i="182" s="1"/>
  <c r="S11" i="182"/>
  <c r="F49" i="182" s="1"/>
  <c r="S12" i="182"/>
  <c r="H49" i="182" s="1"/>
  <c r="S13" i="182"/>
  <c r="J49" i="182" s="1"/>
  <c r="P19" i="182"/>
  <c r="C38" i="182" s="1"/>
  <c r="E38" i="182" s="1"/>
  <c r="G38" i="182" s="1"/>
  <c r="I38" i="182" s="1"/>
  <c r="K38" i="182" s="1"/>
  <c r="B42" i="182"/>
  <c r="D42" i="182"/>
  <c r="F42" i="182"/>
  <c r="H42" i="182"/>
  <c r="J42" i="182"/>
  <c r="Z13" i="180"/>
  <c r="Z11" i="180"/>
  <c r="Z12" i="180"/>
  <c r="AB30" i="180"/>
  <c r="F12" i="154"/>
  <c r="B11" i="99"/>
  <c r="A11" i="180"/>
  <c r="AE5" i="180"/>
  <c r="A12" i="180"/>
  <c r="A13" i="180"/>
  <c r="A14" i="180"/>
  <c r="A15" i="180"/>
  <c r="A16" i="180"/>
  <c r="A33" i="180"/>
  <c r="A34" i="180"/>
  <c r="A35" i="180"/>
  <c r="A36" i="180"/>
  <c r="A37" i="180"/>
  <c r="A58" i="138"/>
  <c r="A82" i="170"/>
  <c r="A83" i="170"/>
  <c r="A84" i="170"/>
  <c r="A81" i="170"/>
  <c r="D51" i="170"/>
  <c r="O69" i="150"/>
  <c r="O70" i="150"/>
  <c r="K37" i="186"/>
  <c r="AY38" i="150"/>
  <c r="AW37" i="150"/>
  <c r="AX35" i="150"/>
  <c r="AV34" i="150"/>
  <c r="AQ37" i="150"/>
  <c r="AP36" i="150"/>
  <c r="AQ33" i="150"/>
  <c r="AP31" i="150"/>
  <c r="AO35" i="150"/>
  <c r="AN32" i="150"/>
  <c r="AF38" i="150"/>
  <c r="AI32" i="150"/>
  <c r="AA31" i="150"/>
  <c r="A3" i="104"/>
  <c r="J43" i="91"/>
  <c r="C8" i="129"/>
  <c r="B4" i="103"/>
  <c r="N30" i="103"/>
  <c r="L30" i="103"/>
  <c r="J30" i="103"/>
  <c r="H30" i="103"/>
  <c r="N29" i="103"/>
  <c r="L29" i="103"/>
  <c r="J29" i="103"/>
  <c r="H29" i="103"/>
  <c r="N28" i="103"/>
  <c r="L28" i="103"/>
  <c r="J28" i="103"/>
  <c r="H28" i="103"/>
  <c r="N27" i="103"/>
  <c r="L27" i="103"/>
  <c r="J27" i="103"/>
  <c r="H27" i="103"/>
  <c r="J26" i="103"/>
  <c r="H26" i="103"/>
  <c r="A3" i="152"/>
  <c r="C191" i="155"/>
  <c r="B5" i="128"/>
  <c r="H37" i="103"/>
  <c r="J39" i="91"/>
  <c r="K26" i="128"/>
  <c r="H38" i="129"/>
  <c r="H28" i="155"/>
  <c r="K16" i="103"/>
  <c r="K79" i="103"/>
  <c r="A125" i="103"/>
  <c r="K91" i="103"/>
  <c r="K90" i="103"/>
  <c r="K89" i="103"/>
  <c r="K84" i="103"/>
  <c r="K83" i="103"/>
  <c r="K80" i="152"/>
  <c r="F27" i="103"/>
  <c r="M53" i="129"/>
  <c r="H53" i="129"/>
  <c r="M52" i="129"/>
  <c r="H52" i="129"/>
  <c r="M49" i="129"/>
  <c r="H49" i="129"/>
  <c r="M48" i="129"/>
  <c r="H48" i="129"/>
  <c r="M43" i="129"/>
  <c r="H43" i="129"/>
  <c r="M42" i="129"/>
  <c r="H42" i="129"/>
  <c r="K82" i="103"/>
  <c r="K114" i="151"/>
  <c r="J65" i="129"/>
  <c r="D157" i="129"/>
  <c r="K88" i="128"/>
  <c r="K85" i="128"/>
  <c r="S148" i="151"/>
  <c r="S147" i="151"/>
  <c r="S145" i="151"/>
  <c r="L148" i="151"/>
  <c r="L147" i="151"/>
  <c r="L146" i="151"/>
  <c r="L145" i="151"/>
  <c r="K123" i="151"/>
  <c r="K111" i="151"/>
  <c r="J43" i="155"/>
  <c r="G216" i="91"/>
  <c r="H216" i="91"/>
  <c r="I216" i="91"/>
  <c r="J216" i="91"/>
  <c r="K216" i="91"/>
  <c r="E216" i="91"/>
  <c r="F216" i="91"/>
  <c r="F70" i="150"/>
  <c r="H36" i="103"/>
  <c r="H35" i="103"/>
  <c r="F32" i="103"/>
  <c r="D105" i="155"/>
  <c r="F43" i="151"/>
  <c r="F35" i="151"/>
  <c r="F33" i="151"/>
  <c r="H48" i="151"/>
  <c r="H47" i="151"/>
  <c r="J288" i="129"/>
  <c r="H201" i="155"/>
  <c r="F201" i="155"/>
  <c r="E80" i="128"/>
  <c r="D65" i="103"/>
  <c r="L202" i="155"/>
  <c r="K202" i="155"/>
  <c r="K201" i="155"/>
  <c r="I201" i="155"/>
  <c r="G201" i="155"/>
  <c r="E201" i="155"/>
  <c r="H49" i="155"/>
  <c r="J42" i="155"/>
  <c r="F24" i="155"/>
  <c r="C19" i="155"/>
  <c r="B49" i="154"/>
  <c r="C4" i="154"/>
  <c r="L101" i="152"/>
  <c r="S100" i="152"/>
  <c r="L100" i="152"/>
  <c r="S99" i="152"/>
  <c r="L99" i="152"/>
  <c r="S98" i="152"/>
  <c r="L98" i="152"/>
  <c r="I89" i="152"/>
  <c r="I88" i="152"/>
  <c r="K83" i="152"/>
  <c r="K81" i="152"/>
  <c r="E74" i="152"/>
  <c r="K17" i="152"/>
  <c r="K16" i="152"/>
  <c r="K15" i="152"/>
  <c r="K10" i="152"/>
  <c r="K9" i="152"/>
  <c r="K8" i="152"/>
  <c r="H7" i="152"/>
  <c r="I134" i="151"/>
  <c r="I133" i="151"/>
  <c r="K122" i="151"/>
  <c r="K121" i="151"/>
  <c r="K115" i="151"/>
  <c r="K117" i="151"/>
  <c r="K112" i="151"/>
  <c r="E75" i="151"/>
  <c r="N29" i="151"/>
  <c r="L29" i="151"/>
  <c r="J29" i="151"/>
  <c r="H29" i="151"/>
  <c r="N28" i="151"/>
  <c r="L28" i="151"/>
  <c r="J28" i="151"/>
  <c r="H28" i="151"/>
  <c r="N27" i="151"/>
  <c r="L27" i="151"/>
  <c r="J27" i="151"/>
  <c r="H27" i="151"/>
  <c r="N26" i="151"/>
  <c r="L26" i="151"/>
  <c r="J26" i="151"/>
  <c r="H26" i="151"/>
  <c r="J25" i="151"/>
  <c r="O20" i="151"/>
  <c r="H18" i="151"/>
  <c r="K17" i="151"/>
  <c r="K16" i="151"/>
  <c r="K10" i="151"/>
  <c r="K9" i="151"/>
  <c r="K8" i="151"/>
  <c r="H54" i="109"/>
  <c r="M52" i="121"/>
  <c r="D38" i="93"/>
  <c r="D37" i="93"/>
  <c r="B36" i="93"/>
  <c r="B35" i="93"/>
  <c r="K39" i="104"/>
  <c r="K37" i="104"/>
  <c r="C212" i="91"/>
  <c r="F21" i="91"/>
  <c r="F20" i="91"/>
  <c r="C16" i="91"/>
  <c r="C8" i="91"/>
  <c r="K130" i="128"/>
  <c r="K128" i="128"/>
  <c r="K86" i="128"/>
  <c r="K84" i="128"/>
  <c r="K28" i="128"/>
  <c r="K27" i="128"/>
  <c r="K23" i="128"/>
  <c r="K22" i="128"/>
  <c r="K21" i="128"/>
  <c r="H20" i="128"/>
  <c r="L289" i="129"/>
  <c r="J289" i="129"/>
  <c r="I289" i="129"/>
  <c r="H289" i="129"/>
  <c r="G289" i="129"/>
  <c r="F289" i="129"/>
  <c r="E289" i="129"/>
  <c r="K288" i="129"/>
  <c r="I288" i="129"/>
  <c r="G288" i="129"/>
  <c r="E288" i="129"/>
  <c r="C277" i="129"/>
  <c r="H71" i="129"/>
  <c r="J63" i="129"/>
  <c r="F34" i="129"/>
  <c r="C27" i="129"/>
  <c r="K129" i="103"/>
  <c r="K127" i="103"/>
  <c r="K80" i="103"/>
  <c r="H34" i="103"/>
  <c r="N21" i="103"/>
  <c r="H19" i="103"/>
  <c r="K18" i="103"/>
  <c r="K17" i="103"/>
  <c r="K13" i="103"/>
  <c r="K12" i="103"/>
  <c r="K11" i="103"/>
  <c r="H10" i="103"/>
  <c r="D274" i="150"/>
  <c r="K85" i="103"/>
  <c r="F72" i="150"/>
  <c r="F69" i="150"/>
  <c r="F30" i="103"/>
  <c r="F28" i="103"/>
  <c r="P35" i="182"/>
  <c r="P30" i="185"/>
  <c r="P30" i="182"/>
  <c r="P36" i="185"/>
  <c r="M35" i="185" s="1"/>
  <c r="P26" i="185"/>
  <c r="P27" i="185" s="1"/>
  <c r="P26" i="182"/>
  <c r="P27" i="182" s="1"/>
  <c r="P31" i="182"/>
  <c r="M30" i="182" s="1"/>
  <c r="P21" i="182"/>
  <c r="C21" i="182" s="1"/>
  <c r="E21" i="182" s="1"/>
  <c r="G21" i="182" s="1"/>
  <c r="I21" i="182" s="1"/>
  <c r="K21" i="182" s="1"/>
  <c r="Q56" i="131"/>
  <c r="K21" i="131" s="1"/>
  <c r="M56" i="131"/>
  <c r="P18" i="131" s="1"/>
  <c r="I56" i="131"/>
  <c r="K17" i="131" s="1"/>
  <c r="E56" i="131"/>
  <c r="K15" i="131" s="1"/>
  <c r="Q54" i="131"/>
  <c r="M54" i="131"/>
  <c r="I54" i="131"/>
  <c r="E54" i="131"/>
  <c r="C48" i="131"/>
  <c r="C47" i="131"/>
  <c r="A46" i="131"/>
  <c r="A45" i="131"/>
  <c r="A44" i="131"/>
  <c r="O41" i="131"/>
  <c r="P43" i="131" s="1"/>
  <c r="P24" i="131"/>
  <c r="P22" i="131"/>
  <c r="O11" i="131"/>
  <c r="F11" i="131"/>
  <c r="U58" i="131" s="1"/>
  <c r="AJ5" i="121"/>
  <c r="I2" i="121" s="1"/>
  <c r="V2" i="121"/>
  <c r="V2" i="109" s="1"/>
  <c r="R11" i="131"/>
  <c r="M32" i="131" s="1"/>
  <c r="P21" i="185"/>
  <c r="C11" i="185" s="1"/>
  <c r="E11" i="185" s="1"/>
  <c r="G11" i="185" s="1"/>
  <c r="I11" i="185" s="1"/>
  <c r="K11" i="185" s="1"/>
  <c r="P20" i="185"/>
  <c r="C36" i="185" s="1"/>
  <c r="E36" i="185" s="1"/>
  <c r="P24" i="185"/>
  <c r="P31" i="185"/>
  <c r="M30" i="185" s="1"/>
  <c r="P20" i="182"/>
  <c r="P35" i="185"/>
  <c r="C48" i="185" l="1"/>
  <c r="E45" i="185"/>
  <c r="K48" i="185"/>
  <c r="C46" i="185"/>
  <c r="I45" i="185"/>
  <c r="E46" i="150"/>
  <c r="C59" i="182"/>
  <c r="E56" i="182"/>
  <c r="C57" i="182"/>
  <c r="I56" i="182"/>
  <c r="K59" i="182"/>
  <c r="B45" i="150"/>
  <c r="C47" i="150"/>
  <c r="K28" i="131"/>
  <c r="J37" i="186"/>
  <c r="AG116" i="187"/>
  <c r="AG80" i="187"/>
  <c r="AG44" i="187"/>
  <c r="T15" i="187" s="1"/>
  <c r="T18" i="187" s="1"/>
  <c r="AG188" i="187"/>
  <c r="AG152" i="187"/>
  <c r="AG152" i="180"/>
  <c r="AG116" i="180"/>
  <c r="AG80" i="180"/>
  <c r="AG188" i="180"/>
  <c r="AG44" i="180"/>
  <c r="O15" i="180" s="1"/>
  <c r="T15" i="180" s="1"/>
  <c r="C42" i="150"/>
  <c r="F43" i="150"/>
  <c r="E45" i="150"/>
  <c r="B47" i="150"/>
  <c r="B43" i="150"/>
  <c r="B42" i="150"/>
  <c r="AB2" i="180"/>
  <c r="AB2" i="187"/>
  <c r="E60" i="182"/>
  <c r="K58" i="182"/>
  <c r="P16" i="131"/>
  <c r="E49" i="185"/>
  <c r="K47" i="185"/>
  <c r="K2" i="182"/>
  <c r="F26" i="180"/>
  <c r="F26" i="187"/>
  <c r="C44" i="150"/>
  <c r="F42" i="150"/>
  <c r="E43" i="150"/>
  <c r="D42" i="150"/>
  <c r="T33" i="180"/>
  <c r="J201" i="155"/>
  <c r="P2" i="121"/>
  <c r="P2" i="109"/>
  <c r="I2" i="109"/>
  <c r="P14" i="131"/>
  <c r="K19" i="131"/>
  <c r="P20" i="131"/>
  <c r="F26" i="103"/>
  <c r="H288" i="129"/>
  <c r="B46" i="150"/>
  <c r="C43" i="150"/>
  <c r="B44" i="150"/>
  <c r="F44" i="150"/>
  <c r="F45" i="150"/>
  <c r="F46" i="150"/>
  <c r="F47" i="150"/>
  <c r="Q16" i="182"/>
  <c r="C35" i="182" s="1"/>
  <c r="I35" i="182" s="1"/>
  <c r="Q16" i="185"/>
  <c r="C34" i="185" s="1"/>
  <c r="E34" i="185" s="1"/>
  <c r="C45" i="150"/>
  <c r="C46" i="150"/>
  <c r="K1" i="186"/>
  <c r="P16" i="185"/>
  <c r="P25" i="185"/>
  <c r="M24" i="185" s="1"/>
  <c r="C12" i="185" s="1"/>
  <c r="E12" i="185" s="1"/>
  <c r="G12" i="185" s="1"/>
  <c r="I12" i="185" s="1"/>
  <c r="K12" i="185" s="1"/>
  <c r="E50" i="150"/>
  <c r="D43" i="150"/>
  <c r="D44" i="150"/>
  <c r="D45" i="150"/>
  <c r="D46" i="150"/>
  <c r="D47" i="150"/>
  <c r="P16" i="182"/>
  <c r="P32" i="185"/>
  <c r="P33" i="185" s="1"/>
  <c r="E42" i="150"/>
  <c r="E47" i="150"/>
  <c r="F288" i="129"/>
  <c r="C49" i="182"/>
  <c r="Z14" i="180"/>
  <c r="H3" i="170"/>
  <c r="P37" i="185"/>
  <c r="P38" i="185" s="1"/>
  <c r="P32" i="182"/>
  <c r="P33" i="182" s="1"/>
  <c r="K2" i="185"/>
  <c r="C18" i="185"/>
  <c r="E18" i="185" s="1"/>
  <c r="C20" i="182"/>
  <c r="E20" i="182" s="1"/>
  <c r="G20" i="182" s="1"/>
  <c r="I20" i="182" s="1"/>
  <c r="K20" i="182" s="1"/>
  <c r="C29" i="182"/>
  <c r="E29" i="182" s="1"/>
  <c r="G29" i="182" s="1"/>
  <c r="I29" i="182" s="1"/>
  <c r="K29" i="182" s="1"/>
  <c r="C47" i="182"/>
  <c r="E47" i="182" s="1"/>
  <c r="G47" i="182" s="1"/>
  <c r="I47" i="182" s="1"/>
  <c r="K47" i="182" s="1"/>
  <c r="C10" i="182"/>
  <c r="E10" i="182" s="1"/>
  <c r="G10" i="182" s="1"/>
  <c r="I10" i="182" s="1"/>
  <c r="K10" i="182" s="1"/>
  <c r="C38" i="185"/>
  <c r="E38" i="185" s="1"/>
  <c r="G38" i="185" s="1"/>
  <c r="I38" i="185" s="1"/>
  <c r="K38" i="185" s="1"/>
  <c r="O5" i="150" a="1"/>
  <c r="Q32" i="150" s="1"/>
  <c r="C36" i="186" s="1"/>
  <c r="C46" i="182"/>
  <c r="C9" i="182"/>
  <c r="G9" i="182" s="1"/>
  <c r="C28" i="182"/>
  <c r="C37" i="182"/>
  <c r="K37" i="182" s="1"/>
  <c r="C19" i="182"/>
  <c r="C30" i="182"/>
  <c r="E30" i="182" s="1"/>
  <c r="G30" i="182" s="1"/>
  <c r="I30" i="182" s="1"/>
  <c r="K30" i="182" s="1"/>
  <c r="E51" i="170"/>
  <c r="P24" i="182"/>
  <c r="C29" i="185"/>
  <c r="E29" i="185" s="1"/>
  <c r="G29" i="185" s="1"/>
  <c r="I29" i="185" s="1"/>
  <c r="K29" i="185" s="1"/>
  <c r="C20" i="185"/>
  <c r="E20" i="185" s="1"/>
  <c r="G20" i="185" s="1"/>
  <c r="I20" i="185" s="1"/>
  <c r="K20" i="185" s="1"/>
  <c r="F29" i="103"/>
  <c r="AC81" i="150"/>
  <c r="C50" i="182"/>
  <c r="E50" i="182" s="1"/>
  <c r="G50" i="182" s="1"/>
  <c r="I50" i="182" s="1"/>
  <c r="K50" i="182" s="1"/>
  <c r="C22" i="182"/>
  <c r="E22" i="182" s="1"/>
  <c r="G22" i="182" s="1"/>
  <c r="I22" i="182" s="1"/>
  <c r="K22" i="182" s="1"/>
  <c r="Z22" i="180"/>
  <c r="V79" i="150"/>
  <c r="C39" i="182"/>
  <c r="E39" i="182" s="1"/>
  <c r="G39" i="182" s="1"/>
  <c r="I39" i="182" s="1"/>
  <c r="K39" i="182" s="1"/>
  <c r="C11" i="182"/>
  <c r="E11" i="182" s="1"/>
  <c r="G11" i="182" s="1"/>
  <c r="I11" i="182" s="1"/>
  <c r="K11" i="182" s="1"/>
  <c r="C40" i="182"/>
  <c r="E40" i="182" s="1"/>
  <c r="G40" i="182" s="1"/>
  <c r="I40" i="182" s="1"/>
  <c r="K40" i="182" s="1"/>
  <c r="C12" i="182"/>
  <c r="E12" i="182" s="1"/>
  <c r="G12" i="182" s="1"/>
  <c r="I12" i="182" s="1"/>
  <c r="K12" i="182" s="1"/>
  <c r="C31" i="182"/>
  <c r="G36" i="185"/>
  <c r="I36" i="185"/>
  <c r="E49" i="182"/>
  <c r="C48" i="182"/>
  <c r="C9" i="185"/>
  <c r="C27" i="185"/>
  <c r="K36" i="185"/>
  <c r="Y81" i="150"/>
  <c r="W80" i="150"/>
  <c r="K54" i="186"/>
  <c r="M134" i="129"/>
  <c r="U81" i="150"/>
  <c r="V81" i="150"/>
  <c r="P37" i="182"/>
  <c r="P38" i="182" s="1"/>
  <c r="C19" i="185"/>
  <c r="E19" i="185" s="1"/>
  <c r="G19" i="185" s="1"/>
  <c r="I19" i="185" s="1"/>
  <c r="K19" i="185" s="1"/>
  <c r="C10" i="185"/>
  <c r="E10" i="185" s="1"/>
  <c r="G10" i="185" s="1"/>
  <c r="I10" i="185" s="1"/>
  <c r="K10" i="185" s="1"/>
  <c r="AA79" i="150"/>
  <c r="AC79" i="150"/>
  <c r="K48" i="186"/>
  <c r="U80" i="150"/>
  <c r="C37" i="185"/>
  <c r="E37" i="185" s="1"/>
  <c r="G37" i="185" s="1"/>
  <c r="I37" i="185" s="1"/>
  <c r="K37" i="185" s="1"/>
  <c r="W79" i="150"/>
  <c r="K50" i="186"/>
  <c r="V80" i="150"/>
  <c r="P36" i="182"/>
  <c r="M35" i="182" s="1"/>
  <c r="A22" i="187" l="1"/>
  <c r="E22" i="187" s="1"/>
  <c r="AB33" i="187"/>
  <c r="R16" i="182"/>
  <c r="C44" i="182"/>
  <c r="K44" i="182"/>
  <c r="I44" i="182"/>
  <c r="G44" i="182"/>
  <c r="P26" i="131"/>
  <c r="P28" i="131" s="1"/>
  <c r="P30" i="131" s="1"/>
  <c r="P32" i="131" s="1"/>
  <c r="P34" i="131" s="1"/>
  <c r="R5" i="150" a="1"/>
  <c r="R8" i="150" s="1"/>
  <c r="C56" i="182"/>
  <c r="C45" i="185"/>
  <c r="Q15" i="182"/>
  <c r="Q15" i="185"/>
  <c r="AB23" i="180"/>
  <c r="AA23" i="180" s="1"/>
  <c r="E21" i="180"/>
  <c r="D8" i="180"/>
  <c r="AC15" i="180" s="1"/>
  <c r="E56" i="170"/>
  <c r="G56" i="170" s="1"/>
  <c r="K4" i="186"/>
  <c r="C26" i="182"/>
  <c r="I26" i="182" s="1"/>
  <c r="C16" i="185"/>
  <c r="G16" i="185" s="1"/>
  <c r="C7" i="185"/>
  <c r="E7" i="185" s="1"/>
  <c r="C25" i="185"/>
  <c r="G25" i="185" s="1"/>
  <c r="G34" i="185"/>
  <c r="R10" i="150" a="1"/>
  <c r="R12" i="150" s="1"/>
  <c r="D12" i="186" s="1"/>
  <c r="R30" i="150" a="1"/>
  <c r="R30" i="150" s="1"/>
  <c r="D34" i="186" s="1"/>
  <c r="R20" i="150" a="1"/>
  <c r="R20" i="150" s="1"/>
  <c r="D22" i="186" s="1"/>
  <c r="R25" i="150" a="1"/>
  <c r="R27" i="150" s="1"/>
  <c r="D30" i="186" s="1"/>
  <c r="R15" i="150" a="1"/>
  <c r="R17" i="150" s="1"/>
  <c r="I34" i="185"/>
  <c r="K34" i="185"/>
  <c r="G35" i="182"/>
  <c r="E35" i="182"/>
  <c r="T38" i="180"/>
  <c r="H41" i="180" s="1"/>
  <c r="C30" i="185"/>
  <c r="E30" i="185" s="1"/>
  <c r="G30" i="185" s="1"/>
  <c r="I30" i="185" s="1"/>
  <c r="K30" i="185" s="1"/>
  <c r="C21" i="185"/>
  <c r="E21" i="185" s="1"/>
  <c r="G21" i="185" s="1"/>
  <c r="I21" i="185" s="1"/>
  <c r="K21" i="185" s="1"/>
  <c r="C39" i="185"/>
  <c r="E39" i="185" s="1"/>
  <c r="G39" i="185" s="1"/>
  <c r="I39" i="185" s="1"/>
  <c r="K39" i="185" s="1"/>
  <c r="K35" i="182"/>
  <c r="E44" i="182"/>
  <c r="C7" i="182"/>
  <c r="C16" i="182"/>
  <c r="I18" i="185"/>
  <c r="K18" i="185"/>
  <c r="G18" i="185"/>
  <c r="G37" i="182"/>
  <c r="P28" i="150"/>
  <c r="Q8" i="150"/>
  <c r="C7" i="186" s="1"/>
  <c r="Q23" i="150"/>
  <c r="D31" i="170" s="1"/>
  <c r="P6" i="150"/>
  <c r="Q18" i="150"/>
  <c r="C19" i="186" s="1"/>
  <c r="P21" i="150"/>
  <c r="P19" i="150"/>
  <c r="Q22" i="150"/>
  <c r="C24" i="186" s="1"/>
  <c r="Q29" i="150"/>
  <c r="Q26" i="150"/>
  <c r="D36" i="170" s="1"/>
  <c r="Q33" i="150"/>
  <c r="D45" i="170" s="1"/>
  <c r="O27" i="150"/>
  <c r="P5" i="150"/>
  <c r="Q28" i="150"/>
  <c r="C31" i="186" s="1"/>
  <c r="O12" i="150"/>
  <c r="O8" i="150"/>
  <c r="O7" i="150"/>
  <c r="Q9" i="150"/>
  <c r="C8" i="186" s="1"/>
  <c r="Q12" i="150"/>
  <c r="D16" i="170" s="1"/>
  <c r="Q21" i="150"/>
  <c r="C23" i="186" s="1"/>
  <c r="O18" i="150"/>
  <c r="Q13" i="150"/>
  <c r="C13" i="186" s="1"/>
  <c r="Q14" i="150"/>
  <c r="C14" i="186" s="1"/>
  <c r="Q10" i="150"/>
  <c r="D14" i="170" s="1"/>
  <c r="O24" i="150"/>
  <c r="O32" i="150"/>
  <c r="O15" i="150"/>
  <c r="O5" i="150"/>
  <c r="P17" i="150"/>
  <c r="P23" i="150"/>
  <c r="O16" i="150"/>
  <c r="P24" i="150"/>
  <c r="P7" i="150"/>
  <c r="P20" i="150"/>
  <c r="O28" i="150"/>
  <c r="O17" i="150"/>
  <c r="P16" i="150"/>
  <c r="P11" i="150"/>
  <c r="O22" i="150"/>
  <c r="P25" i="150"/>
  <c r="O23" i="150"/>
  <c r="O9" i="150"/>
  <c r="O14" i="150"/>
  <c r="P34" i="150"/>
  <c r="O10" i="150"/>
  <c r="P27" i="150"/>
  <c r="P29" i="150"/>
  <c r="P8" i="150"/>
  <c r="P22" i="150"/>
  <c r="P30" i="150"/>
  <c r="O26" i="150"/>
  <c r="O31" i="150"/>
  <c r="P31" i="150"/>
  <c r="P12" i="150"/>
  <c r="O20" i="150"/>
  <c r="P33" i="150"/>
  <c r="O11" i="150"/>
  <c r="O34" i="150"/>
  <c r="O30" i="150"/>
  <c r="P18" i="150"/>
  <c r="O21" i="150"/>
  <c r="O13" i="150"/>
  <c r="O6" i="150"/>
  <c r="O19" i="150"/>
  <c r="O33" i="150"/>
  <c r="Q7" i="150"/>
  <c r="C6" i="186" s="1"/>
  <c r="Q19" i="150"/>
  <c r="D25" i="170" s="1"/>
  <c r="P9" i="150"/>
  <c r="O25" i="150"/>
  <c r="P32" i="150"/>
  <c r="O11" i="182" s="1"/>
  <c r="Q20" i="150"/>
  <c r="D28" i="170" s="1"/>
  <c r="P15" i="150"/>
  <c r="Q15" i="150"/>
  <c r="D21" i="170" s="1"/>
  <c r="Q34" i="150"/>
  <c r="D46" i="170" s="1"/>
  <c r="Q11" i="150"/>
  <c r="D15" i="170" s="1"/>
  <c r="Q30" i="150"/>
  <c r="Q5" i="150"/>
  <c r="C4" i="186" s="1"/>
  <c r="Q24" i="150"/>
  <c r="C26" i="186" s="1"/>
  <c r="P13" i="150"/>
  <c r="O29" i="150"/>
  <c r="P10" i="150"/>
  <c r="Q27" i="150"/>
  <c r="C30" i="186" s="1"/>
  <c r="P14" i="150"/>
  <c r="Q16" i="150"/>
  <c r="C17" i="186" s="1"/>
  <c r="P26" i="150"/>
  <c r="Q17" i="150"/>
  <c r="C18" i="186" s="1"/>
  <c r="Q31" i="150"/>
  <c r="C35" i="186" s="1"/>
  <c r="Q6" i="150"/>
  <c r="D8" i="170" s="1"/>
  <c r="Q25" i="150"/>
  <c r="C28" i="186" s="1"/>
  <c r="I37" i="182"/>
  <c r="E37" i="182"/>
  <c r="I28" i="182"/>
  <c r="G28" i="182"/>
  <c r="K28" i="182"/>
  <c r="E28" i="182"/>
  <c r="P11" i="182"/>
  <c r="D44" i="170"/>
  <c r="P11" i="185"/>
  <c r="H51" i="170"/>
  <c r="F51" i="170"/>
  <c r="G51" i="170"/>
  <c r="K19" i="182"/>
  <c r="G19" i="182"/>
  <c r="E19" i="182"/>
  <c r="I19" i="182"/>
  <c r="I9" i="182"/>
  <c r="K9" i="182"/>
  <c r="E9" i="182"/>
  <c r="G46" i="182"/>
  <c r="K46" i="182"/>
  <c r="I46" i="182"/>
  <c r="E46" i="182"/>
  <c r="E27" i="185"/>
  <c r="I27" i="185"/>
  <c r="K27" i="185"/>
  <c r="G27" i="185"/>
  <c r="K49" i="182"/>
  <c r="G49" i="182"/>
  <c r="I49" i="182"/>
  <c r="G9" i="185"/>
  <c r="K9" i="185"/>
  <c r="I9" i="185"/>
  <c r="E9" i="185"/>
  <c r="E31" i="182"/>
  <c r="E48" i="182"/>
  <c r="G48" i="182" s="1"/>
  <c r="I48" i="182" s="1"/>
  <c r="H22" i="187" l="1"/>
  <c r="R5" i="150"/>
  <c r="R6" i="150"/>
  <c r="R9" i="150"/>
  <c r="R7" i="150"/>
  <c r="E9" i="170" s="1"/>
  <c r="R11" i="150"/>
  <c r="E15" i="170" s="1"/>
  <c r="O44" i="182"/>
  <c r="O42" i="182"/>
  <c r="P42" i="182" s="1"/>
  <c r="O41" i="182"/>
  <c r="P41" i="182" s="1"/>
  <c r="O43" i="182"/>
  <c r="O45" i="182"/>
  <c r="E25" i="185"/>
  <c r="E16" i="185"/>
  <c r="I16" i="185"/>
  <c r="E28" i="170"/>
  <c r="H28" i="170" s="1"/>
  <c r="R22" i="150"/>
  <c r="D24" i="186" s="1"/>
  <c r="R24" i="150"/>
  <c r="D26" i="186" s="1"/>
  <c r="R21" i="150"/>
  <c r="E29" i="170" s="1"/>
  <c r="H29" i="170" s="1"/>
  <c r="Q9" i="185"/>
  <c r="R23" i="150"/>
  <c r="D25" i="186" s="1"/>
  <c r="K26" i="182"/>
  <c r="F56" i="170"/>
  <c r="C24" i="185"/>
  <c r="C15" i="185"/>
  <c r="C6" i="185"/>
  <c r="E16" i="170"/>
  <c r="H16" i="170" s="1"/>
  <c r="R13" i="150"/>
  <c r="E17" i="170" s="1"/>
  <c r="G17" i="170" s="1"/>
  <c r="E42" i="170"/>
  <c r="H42" i="170" s="1"/>
  <c r="R14" i="150"/>
  <c r="D14" i="186" s="1"/>
  <c r="R10" i="150"/>
  <c r="E14" i="170" s="1"/>
  <c r="H14" i="170" s="1"/>
  <c r="R34" i="150"/>
  <c r="D38" i="186" s="1"/>
  <c r="Q9" i="182"/>
  <c r="H56" i="170"/>
  <c r="G7" i="185"/>
  <c r="I7" i="185"/>
  <c r="T11" i="180"/>
  <c r="K7" i="185"/>
  <c r="K16" i="185"/>
  <c r="G26" i="182"/>
  <c r="E26" i="182"/>
  <c r="I25" i="185"/>
  <c r="K25" i="185"/>
  <c r="R29" i="150"/>
  <c r="D32" i="186" s="1"/>
  <c r="E37" i="170"/>
  <c r="H37" i="170" s="1"/>
  <c r="O11" i="185"/>
  <c r="R32" i="150"/>
  <c r="E44" i="170" s="1"/>
  <c r="G44" i="170" s="1"/>
  <c r="R31" i="150"/>
  <c r="D35" i="186" s="1"/>
  <c r="R28" i="150"/>
  <c r="E38" i="170" s="1"/>
  <c r="R25" i="150"/>
  <c r="E35" i="170" s="1"/>
  <c r="H35" i="170" s="1"/>
  <c r="R26" i="150"/>
  <c r="D29" i="186" s="1"/>
  <c r="R33" i="150"/>
  <c r="E45" i="170" s="1"/>
  <c r="H45" i="170" s="1"/>
  <c r="R15" i="150"/>
  <c r="E21" i="170" s="1"/>
  <c r="F21" i="170" s="1"/>
  <c r="D22" i="170"/>
  <c r="R19" i="150"/>
  <c r="R16" i="150"/>
  <c r="R18" i="150"/>
  <c r="E23" i="170"/>
  <c r="D18" i="186"/>
  <c r="P36" i="131"/>
  <c r="P38" i="131" s="1"/>
  <c r="O46" i="131" s="1"/>
  <c r="P9" i="182"/>
  <c r="C33" i="182" s="1"/>
  <c r="C34" i="186"/>
  <c r="K16" i="182"/>
  <c r="I16" i="182"/>
  <c r="G16" i="182"/>
  <c r="E16" i="182"/>
  <c r="C6" i="182"/>
  <c r="C25" i="182"/>
  <c r="K43" i="182"/>
  <c r="E43" i="182"/>
  <c r="C34" i="182"/>
  <c r="I43" i="182"/>
  <c r="C43" i="182"/>
  <c r="C15" i="182"/>
  <c r="G43" i="182"/>
  <c r="D39" i="170"/>
  <c r="C32" i="186"/>
  <c r="G7" i="182"/>
  <c r="K7" i="182"/>
  <c r="E7" i="182"/>
  <c r="I7" i="182"/>
  <c r="C33" i="185"/>
  <c r="P12" i="185"/>
  <c r="I5" i="185" s="1"/>
  <c r="C25" i="186"/>
  <c r="P13" i="182"/>
  <c r="D35" i="170"/>
  <c r="C11" i="186"/>
  <c r="C10" i="186"/>
  <c r="D7" i="170"/>
  <c r="C29" i="186"/>
  <c r="D24" i="170"/>
  <c r="D10" i="170"/>
  <c r="D18" i="170"/>
  <c r="C5" i="186"/>
  <c r="D29" i="170"/>
  <c r="D32" i="170"/>
  <c r="P13" i="185"/>
  <c r="K23" i="185" s="1"/>
  <c r="C16" i="186"/>
  <c r="P12" i="182"/>
  <c r="I42" i="182" s="1"/>
  <c r="D9" i="170"/>
  <c r="C12" i="186"/>
  <c r="C38" i="186"/>
  <c r="C37" i="186"/>
  <c r="P10" i="182"/>
  <c r="E5" i="182" s="1"/>
  <c r="D43" i="170"/>
  <c r="D11" i="170"/>
  <c r="D23" i="170"/>
  <c r="D38" i="170"/>
  <c r="P10" i="185"/>
  <c r="E5" i="185" s="1"/>
  <c r="D30" i="170"/>
  <c r="C20" i="186"/>
  <c r="D17" i="170"/>
  <c r="C22" i="186"/>
  <c r="D37" i="170"/>
  <c r="O12" i="182"/>
  <c r="O12" i="185"/>
  <c r="P9" i="185"/>
  <c r="O9" i="185"/>
  <c r="O9" i="182"/>
  <c r="O13" i="185"/>
  <c r="O13" i="182"/>
  <c r="D42" i="170"/>
  <c r="O10" i="185"/>
  <c r="O10" i="182"/>
  <c r="D11" i="186"/>
  <c r="E7" i="170"/>
  <c r="F7" i="170" s="1"/>
  <c r="D4" i="186"/>
  <c r="E11" i="170"/>
  <c r="D8" i="186"/>
  <c r="E8" i="170"/>
  <c r="D5" i="186"/>
  <c r="E10" i="170"/>
  <c r="D7" i="186"/>
  <c r="G33" i="182"/>
  <c r="G14" i="182"/>
  <c r="G24" i="182"/>
  <c r="G42" i="182"/>
  <c r="G5" i="182"/>
  <c r="G5" i="185"/>
  <c r="G32" i="185"/>
  <c r="G23" i="185"/>
  <c r="G14" i="185"/>
  <c r="G31" i="182"/>
  <c r="K48" i="182"/>
  <c r="D13" i="186" l="1"/>
  <c r="E31" i="170"/>
  <c r="H31" i="170" s="1"/>
  <c r="E30" i="170"/>
  <c r="G30" i="170" s="1"/>
  <c r="F28" i="170"/>
  <c r="E43" i="170"/>
  <c r="F43" i="170" s="1"/>
  <c r="F42" i="170"/>
  <c r="G42" i="170"/>
  <c r="E46" i="170"/>
  <c r="H46" i="170" s="1"/>
  <c r="D6" i="186"/>
  <c r="F14" i="170"/>
  <c r="G28" i="170"/>
  <c r="Q10" i="182"/>
  <c r="Q13" i="185"/>
  <c r="Q13" i="182"/>
  <c r="A26" i="187"/>
  <c r="J26" i="187" s="1"/>
  <c r="A30" i="187" s="1"/>
  <c r="I30" i="187" s="1"/>
  <c r="O29" i="187" s="1"/>
  <c r="A45" i="187" s="1"/>
  <c r="O45" i="187" s="1"/>
  <c r="G29" i="170"/>
  <c r="D23" i="186"/>
  <c r="F29" i="170"/>
  <c r="E39" i="170"/>
  <c r="F39" i="170" s="1"/>
  <c r="F35" i="170"/>
  <c r="E32" i="170"/>
  <c r="G32" i="170" s="1"/>
  <c r="Q12" i="185"/>
  <c r="Q10" i="185"/>
  <c r="F17" i="170"/>
  <c r="H17" i="170"/>
  <c r="E18" i="170"/>
  <c r="F18" i="170" s="1"/>
  <c r="D28" i="186"/>
  <c r="G35" i="170"/>
  <c r="F16" i="170"/>
  <c r="D10" i="186"/>
  <c r="H21" i="170"/>
  <c r="D16" i="186"/>
  <c r="T18" i="180"/>
  <c r="AE6" i="180"/>
  <c r="AE7" i="180" s="1"/>
  <c r="G14" i="170"/>
  <c r="G16" i="170"/>
  <c r="E15" i="185"/>
  <c r="I15" i="185"/>
  <c r="K15" i="185"/>
  <c r="G15" i="185"/>
  <c r="G22" i="185" s="1"/>
  <c r="I51" i="182"/>
  <c r="Q11" i="182"/>
  <c r="H38" i="170"/>
  <c r="G38" i="170"/>
  <c r="F38" i="170"/>
  <c r="D31" i="186"/>
  <c r="C14" i="182"/>
  <c r="C23" i="182" s="1"/>
  <c r="G37" i="170"/>
  <c r="F37" i="170"/>
  <c r="H44" i="170"/>
  <c r="D36" i="186"/>
  <c r="F44" i="170"/>
  <c r="Q11" i="185"/>
  <c r="Q12" i="182"/>
  <c r="E36" i="170"/>
  <c r="F36" i="170" s="1"/>
  <c r="F45" i="170"/>
  <c r="G45" i="170"/>
  <c r="D37" i="186"/>
  <c r="G21" i="170"/>
  <c r="G51" i="182"/>
  <c r="D20" i="186"/>
  <c r="E25" i="170"/>
  <c r="D19" i="186"/>
  <c r="E24" i="170"/>
  <c r="D17" i="186"/>
  <c r="E22" i="170"/>
  <c r="H23" i="170"/>
  <c r="G23" i="170"/>
  <c r="F23" i="170"/>
  <c r="C41" i="182"/>
  <c r="E34" i="182"/>
  <c r="I34" i="182"/>
  <c r="K34" i="182"/>
  <c r="G34" i="182"/>
  <c r="G41" i="182" s="1"/>
  <c r="E15" i="182"/>
  <c r="I15" i="182"/>
  <c r="G15" i="182"/>
  <c r="G23" i="182" s="1"/>
  <c r="K15" i="182"/>
  <c r="G33" i="185"/>
  <c r="G40" i="185" s="1"/>
  <c r="K33" i="185"/>
  <c r="E33" i="185"/>
  <c r="I33" i="185"/>
  <c r="I6" i="182"/>
  <c r="G6" i="182"/>
  <c r="G13" i="182" s="1"/>
  <c r="E6" i="182"/>
  <c r="E13" i="182" s="1"/>
  <c r="K6" i="182"/>
  <c r="C42" i="182"/>
  <c r="C51" i="182" s="1"/>
  <c r="K6" i="185"/>
  <c r="G6" i="185"/>
  <c r="G13" i="185" s="1"/>
  <c r="E6" i="185"/>
  <c r="E13" i="185" s="1"/>
  <c r="I6" i="185"/>
  <c r="I13" i="185" s="1"/>
  <c r="C5" i="182"/>
  <c r="C13" i="182" s="1"/>
  <c r="C24" i="182"/>
  <c r="C32" i="182" s="1"/>
  <c r="G24" i="185"/>
  <c r="G31" i="185" s="1"/>
  <c r="I24" i="185"/>
  <c r="E24" i="185"/>
  <c r="K24" i="185"/>
  <c r="K31" i="185" s="1"/>
  <c r="G25" i="182"/>
  <c r="G32" i="182" s="1"/>
  <c r="K25" i="182"/>
  <c r="I25" i="182"/>
  <c r="E25" i="182"/>
  <c r="I32" i="185"/>
  <c r="K5" i="182"/>
  <c r="K42" i="182"/>
  <c r="K51" i="182" s="1"/>
  <c r="C23" i="185"/>
  <c r="C31" i="185" s="1"/>
  <c r="C32" i="185"/>
  <c r="C40" i="185" s="1"/>
  <c r="I23" i="185"/>
  <c r="K33" i="182"/>
  <c r="I14" i="185"/>
  <c r="I33" i="182"/>
  <c r="K14" i="182"/>
  <c r="K24" i="182"/>
  <c r="I5" i="182"/>
  <c r="G31" i="170"/>
  <c r="F31" i="170"/>
  <c r="C5" i="185"/>
  <c r="C13" i="185" s="1"/>
  <c r="E33" i="182"/>
  <c r="K5" i="185"/>
  <c r="I24" i="182"/>
  <c r="I14" i="182"/>
  <c r="E42" i="182"/>
  <c r="E51" i="182" s="1"/>
  <c r="E14" i="185"/>
  <c r="K32" i="185"/>
  <c r="E14" i="182"/>
  <c r="E24" i="182"/>
  <c r="K14" i="185"/>
  <c r="E23" i="185"/>
  <c r="E32" i="185"/>
  <c r="C14" i="185"/>
  <c r="C22" i="185" s="1"/>
  <c r="F15" i="170"/>
  <c r="H15" i="170"/>
  <c r="G15" i="170"/>
  <c r="F8" i="170"/>
  <c r="H8" i="170"/>
  <c r="G8" i="170"/>
  <c r="H7" i="170"/>
  <c r="G7" i="170"/>
  <c r="G10" i="170"/>
  <c r="F10" i="170"/>
  <c r="H10" i="170"/>
  <c r="F11" i="170"/>
  <c r="H11" i="170"/>
  <c r="G11" i="170"/>
  <c r="F9" i="170"/>
  <c r="G9" i="170"/>
  <c r="H9" i="170"/>
  <c r="I31" i="182"/>
  <c r="F30" i="170" l="1"/>
  <c r="H30" i="170"/>
  <c r="G43" i="170"/>
  <c r="H43" i="170"/>
  <c r="F46" i="170"/>
  <c r="G46" i="170"/>
  <c r="G18" i="170"/>
  <c r="G39" i="170"/>
  <c r="H18" i="170"/>
  <c r="F32" i="170"/>
  <c r="H32" i="170"/>
  <c r="H39" i="170"/>
  <c r="E41" i="182"/>
  <c r="E31" i="185"/>
  <c r="A22" i="180"/>
  <c r="E22" i="180" s="1"/>
  <c r="AB33" i="180"/>
  <c r="H36" i="170"/>
  <c r="G36" i="170"/>
  <c r="E23" i="182"/>
  <c r="K13" i="185"/>
  <c r="I13" i="182"/>
  <c r="I31" i="185"/>
  <c r="E40" i="185"/>
  <c r="I23" i="182"/>
  <c r="K13" i="182"/>
  <c r="E22" i="185"/>
  <c r="K23" i="182"/>
  <c r="I40" i="185"/>
  <c r="E32" i="182"/>
  <c r="G25" i="170"/>
  <c r="F25" i="170"/>
  <c r="H25" i="170"/>
  <c r="G22" i="170"/>
  <c r="H22" i="170"/>
  <c r="F22" i="170"/>
  <c r="I41" i="182"/>
  <c r="K40" i="185"/>
  <c r="G24" i="170"/>
  <c r="F24" i="170"/>
  <c r="H24" i="170"/>
  <c r="I22" i="185"/>
  <c r="K22" i="185"/>
  <c r="K41" i="182"/>
  <c r="K31" i="182"/>
  <c r="K32" i="182" s="1"/>
  <c r="I32" i="182"/>
  <c r="H22" i="180" l="1"/>
  <c r="A26" i="180" s="1"/>
  <c r="J26" i="180" s="1"/>
  <c r="A30" i="180" s="1"/>
  <c r="I30" i="180" s="1"/>
  <c r="N29" i="180" s="1"/>
  <c r="A41" i="180" l="1"/>
  <c r="O41" i="1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田村恵</author>
    <author>管理者</author>
    <author>JCG0017</author>
  </authors>
  <commentList>
    <comment ref="C19" authorId="0" shapeId="0" xr:uid="{22A8C21C-AF3D-2B44-85DE-16ACE5165FED}">
      <text>
        <r>
          <rPr>
            <b/>
            <sz val="9"/>
            <color rgb="FF000000"/>
            <rFont val="ＭＳ Ｐゴシック"/>
            <family val="2"/>
            <charset val="128"/>
          </rPr>
          <t>「東京都指定居宅サービス等の事業の人員、設備及び運営の基準に関する条例」（平成</t>
        </r>
        <r>
          <rPr>
            <b/>
            <sz val="9"/>
            <color rgb="FF000000"/>
            <rFont val="ＭＳ Ｐゴシック"/>
            <family val="2"/>
            <charset val="128"/>
          </rPr>
          <t>24</t>
        </r>
        <r>
          <rPr>
            <b/>
            <sz val="9"/>
            <color rgb="FF000000"/>
            <rFont val="ＭＳ Ｐゴシック"/>
            <family val="2"/>
            <charset val="128"/>
          </rPr>
          <t>年</t>
        </r>
        <r>
          <rPr>
            <b/>
            <sz val="9"/>
            <color rgb="FF000000"/>
            <rFont val="ＭＳ Ｐゴシック"/>
            <family val="2"/>
            <charset val="128"/>
          </rPr>
          <t>10</t>
        </r>
        <r>
          <rPr>
            <b/>
            <sz val="9"/>
            <color rgb="FF000000"/>
            <rFont val="ＭＳ Ｐゴシック"/>
            <family val="2"/>
            <charset val="128"/>
          </rPr>
          <t>月</t>
        </r>
        <r>
          <rPr>
            <b/>
            <sz val="9"/>
            <color rgb="FF000000"/>
            <rFont val="ＭＳ Ｐゴシック"/>
            <family val="2"/>
            <charset val="128"/>
          </rPr>
          <t>11</t>
        </r>
        <r>
          <rPr>
            <b/>
            <sz val="9"/>
            <color rgb="FF000000"/>
            <rFont val="ＭＳ Ｐゴシック"/>
            <family val="2"/>
            <charset val="128"/>
          </rPr>
          <t>日条例第</t>
        </r>
        <r>
          <rPr>
            <b/>
            <sz val="9"/>
            <color rgb="FF000000"/>
            <rFont val="ＭＳ Ｐゴシック"/>
            <family val="2"/>
            <charset val="128"/>
          </rPr>
          <t>111</t>
        </r>
        <r>
          <rPr>
            <b/>
            <sz val="9"/>
            <color rgb="FF000000"/>
            <rFont val="ＭＳ Ｐゴシック"/>
            <family val="2"/>
            <charset val="128"/>
          </rPr>
          <t>号）</t>
        </r>
        <r>
          <rPr>
            <b/>
            <sz val="9"/>
            <color rgb="FF000000"/>
            <rFont val="ＭＳ Ｐゴシック"/>
            <family val="2"/>
            <charset val="128"/>
          </rPr>
          <t xml:space="preserve">
</t>
        </r>
        <r>
          <rPr>
            <b/>
            <sz val="9"/>
            <color rgb="FF000000"/>
            <rFont val="ＭＳ Ｐゴシック"/>
            <family val="2"/>
            <charset val="128"/>
          </rPr>
          <t xml:space="preserve">
</t>
        </r>
        <r>
          <rPr>
            <sz val="9"/>
            <color rgb="FF000000"/>
            <rFont val="ＭＳ Ｐゴシック"/>
            <family val="2"/>
            <charset val="128"/>
          </rPr>
          <t>の形で記載</t>
        </r>
      </text>
    </comment>
    <comment ref="C20" authorId="0" shapeId="0" xr:uid="{9FE36DA9-A7EC-894D-8002-F219944EE5DE}">
      <text>
        <r>
          <rPr>
            <b/>
            <sz val="9"/>
            <color rgb="FF000000"/>
            <rFont val="ＭＳ Ｐゴシック"/>
            <family val="2"/>
            <charset val="128"/>
          </rPr>
          <t>「東京都における指定通所介護事業所等で提供する宿泊サービスの事業の人員、設備及び運営に関する基準」（平成</t>
        </r>
        <r>
          <rPr>
            <b/>
            <sz val="9"/>
            <color rgb="FF000000"/>
            <rFont val="ＭＳ Ｐゴシック"/>
            <family val="2"/>
            <charset val="128"/>
          </rPr>
          <t>23</t>
        </r>
        <r>
          <rPr>
            <b/>
            <sz val="9"/>
            <color rgb="FF000000"/>
            <rFont val="ＭＳ Ｐゴシック"/>
            <family val="2"/>
            <charset val="128"/>
          </rPr>
          <t>年</t>
        </r>
        <r>
          <rPr>
            <b/>
            <sz val="9"/>
            <color rgb="FF000000"/>
            <rFont val="ＭＳ Ｐゴシック"/>
            <family val="2"/>
            <charset val="128"/>
          </rPr>
          <t>4</t>
        </r>
        <r>
          <rPr>
            <b/>
            <sz val="9"/>
            <color rgb="FF000000"/>
            <rFont val="ＭＳ Ｐゴシック"/>
            <family val="2"/>
            <charset val="128"/>
          </rPr>
          <t>月</t>
        </r>
        <r>
          <rPr>
            <b/>
            <sz val="9"/>
            <color rgb="FF000000"/>
            <rFont val="ＭＳ Ｐゴシック"/>
            <family val="2"/>
            <charset val="128"/>
          </rPr>
          <t>28</t>
        </r>
        <r>
          <rPr>
            <b/>
            <sz val="9"/>
            <color rgb="FF000000"/>
            <rFont val="ＭＳ Ｐゴシック"/>
            <family val="2"/>
            <charset val="128"/>
          </rPr>
          <t>日付、</t>
        </r>
        <r>
          <rPr>
            <b/>
            <sz val="9"/>
            <color rgb="FF000000"/>
            <rFont val="ＭＳ Ｐゴシック"/>
            <family val="2"/>
            <charset val="128"/>
          </rPr>
          <t>23</t>
        </r>
        <r>
          <rPr>
            <b/>
            <sz val="9"/>
            <color rgb="FF000000"/>
            <rFont val="ＭＳ Ｐゴシック"/>
            <family val="2"/>
            <charset val="128"/>
          </rPr>
          <t>福保高介第</t>
        </r>
        <r>
          <rPr>
            <b/>
            <sz val="9"/>
            <color rgb="FF000000"/>
            <rFont val="ＭＳ Ｐゴシック"/>
            <family val="2"/>
            <charset val="128"/>
          </rPr>
          <t>203</t>
        </r>
        <r>
          <rPr>
            <b/>
            <sz val="9"/>
            <color rgb="FF000000"/>
            <rFont val="ＭＳ Ｐゴシック"/>
            <family val="2"/>
            <charset val="128"/>
          </rPr>
          <t>号）</t>
        </r>
        <r>
          <rPr>
            <b/>
            <sz val="9"/>
            <color rgb="FF000000"/>
            <rFont val="ＭＳ Ｐゴシック"/>
            <family val="2"/>
            <charset val="128"/>
          </rPr>
          <t xml:space="preserve">
</t>
        </r>
        <r>
          <rPr>
            <b/>
            <sz val="9"/>
            <color rgb="FF000000"/>
            <rFont val="ＭＳ Ｐゴシック"/>
            <family val="2"/>
            <charset val="128"/>
          </rPr>
          <t xml:space="preserve">
</t>
        </r>
        <r>
          <rPr>
            <sz val="9"/>
            <color rgb="FF000000"/>
            <rFont val="ＭＳ Ｐゴシック"/>
            <family val="2"/>
            <charset val="128"/>
          </rPr>
          <t>の形で記載</t>
        </r>
        <r>
          <rPr>
            <sz val="9"/>
            <color rgb="FF000000"/>
            <rFont val="ＭＳ Ｐゴシック"/>
            <family val="2"/>
            <charset val="128"/>
          </rPr>
          <t xml:space="preserve">
</t>
        </r>
      </text>
    </comment>
    <comment ref="D40" authorId="0" shapeId="0" xr:uid="{00000000-0006-0000-0100-000001000000}">
      <text>
        <r>
          <rPr>
            <sz val="9"/>
            <color rgb="FF000000"/>
            <rFont val="メイリオ"/>
            <family val="2"/>
            <charset val="128"/>
          </rPr>
          <t>プルダウンから選択</t>
        </r>
      </text>
    </comment>
    <comment ref="D74" authorId="1" shapeId="0" xr:uid="{00000000-0006-0000-0100-00000A000000}">
      <text>
        <r>
          <rPr>
            <b/>
            <sz val="9"/>
            <color rgb="FF000000"/>
            <rFont val="ＭＳ Ｐゴシック"/>
            <family val="2"/>
            <charset val="128"/>
          </rPr>
          <t>左３文字が参照されている</t>
        </r>
      </text>
    </comment>
    <comment ref="D75" authorId="1" shapeId="0" xr:uid="{00000000-0006-0000-0100-00000B000000}">
      <text>
        <r>
          <rPr>
            <b/>
            <sz val="9"/>
            <color rgb="FF000000"/>
            <rFont val="ＭＳ Ｐゴシック"/>
            <family val="2"/>
            <charset val="128"/>
          </rPr>
          <t>左３文字が参照されている</t>
        </r>
      </text>
    </comment>
    <comment ref="D76" authorId="1" shapeId="0" xr:uid="{00000000-0006-0000-0100-00000C000000}">
      <text>
        <r>
          <rPr>
            <b/>
            <sz val="9"/>
            <color rgb="FF000000"/>
            <rFont val="ＭＳ Ｐゴシック"/>
            <family val="2"/>
            <charset val="128"/>
          </rPr>
          <t>左３文字が参照されている</t>
        </r>
      </text>
    </comment>
    <comment ref="D78" authorId="1" shapeId="0" xr:uid="{00000000-0006-0000-0100-00000D000000}">
      <text>
        <r>
          <rPr>
            <b/>
            <sz val="9"/>
            <color rgb="FF000000"/>
            <rFont val="ＭＳ Ｐゴシック"/>
            <family val="2"/>
            <charset val="128"/>
          </rPr>
          <t>左３文字が参照されている</t>
        </r>
      </text>
    </comment>
    <comment ref="D79" authorId="1" shapeId="0" xr:uid="{00000000-0006-0000-0100-00000E000000}">
      <text>
        <r>
          <rPr>
            <sz val="9"/>
            <color rgb="FF000000"/>
            <rFont val="ＭＳ Ｐゴシック"/>
            <family val="2"/>
            <charset val="128"/>
          </rPr>
          <t>左３文字が参照されている</t>
        </r>
      </text>
    </comment>
    <comment ref="D80" authorId="1" shapeId="0" xr:uid="{00000000-0006-0000-0100-00000F000000}">
      <text>
        <r>
          <rPr>
            <b/>
            <sz val="9"/>
            <color rgb="FF000000"/>
            <rFont val="ＭＳ Ｐゴシック"/>
            <family val="2"/>
            <charset val="128"/>
          </rPr>
          <t>左３文字が参照されている</t>
        </r>
      </text>
    </comment>
    <comment ref="A88" authorId="2" shapeId="0" xr:uid="{00000000-0006-0000-0100-000011000000}">
      <text>
        <r>
          <rPr>
            <sz val="9"/>
            <color rgb="FF000000"/>
            <rFont val="メイリオ"/>
            <family val="2"/>
            <charset val="128"/>
          </rPr>
          <t>保険者等における苦情等担当</t>
        </r>
        <r>
          <rPr>
            <sz val="9"/>
            <color rgb="FF000000"/>
            <rFont val="メイリオ"/>
            <family val="2"/>
            <charset val="128"/>
          </rPr>
          <t xml:space="preserve">
</t>
        </r>
        <r>
          <rPr>
            <sz val="9"/>
            <color rgb="FF000000"/>
            <rFont val="メイリオ"/>
            <family val="2"/>
            <charset val="128"/>
          </rPr>
          <t>窓口を記載記載すること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tamuraman</author>
  </authors>
  <commentList>
    <comment ref="Q8" authorId="0" shapeId="0" xr:uid="{00000000-0006-0000-0C00-000001000000}">
      <text>
        <r>
          <rPr>
            <b/>
            <sz val="9"/>
            <color indexed="81"/>
            <rFont val="ＭＳ Ｐゴシック"/>
            <family val="3"/>
            <charset val="128"/>
          </rPr>
          <t>ここを変更すれば、単位数が変わります。</t>
        </r>
      </text>
    </comment>
  </commentList>
</comments>
</file>

<file path=xl/sharedStrings.xml><?xml version="1.0" encoding="utf-8"?>
<sst xmlns="http://schemas.openxmlformats.org/spreadsheetml/2006/main" count="5805" uniqueCount="2041">
  <si>
    <t>茶話本舗事業所使用帳票一覧</t>
    <rPh sb="0" eb="2">
      <t>サワ</t>
    </rPh>
    <rPh sb="2" eb="4">
      <t>ホンポ</t>
    </rPh>
    <rPh sb="4" eb="7">
      <t>ジギョウショ</t>
    </rPh>
    <rPh sb="7" eb="9">
      <t>シヨウ</t>
    </rPh>
    <rPh sb="9" eb="11">
      <t>チョウヒョウ</t>
    </rPh>
    <rPh sb="11" eb="13">
      <t>イチラン</t>
    </rPh>
    <phoneticPr fontId="16"/>
  </si>
  <si>
    <t>分類</t>
    <rPh sb="0" eb="2">
      <t>ブンルイ</t>
    </rPh>
    <phoneticPr fontId="10"/>
  </si>
  <si>
    <t>帳票名称</t>
    <rPh sb="0" eb="2">
      <t>チョウヒョウ</t>
    </rPh>
    <rPh sb="2" eb="4">
      <t>メイショウ</t>
    </rPh>
    <phoneticPr fontId="10"/>
  </si>
  <si>
    <t>マスター</t>
    <phoneticPr fontId="16"/>
  </si>
  <si>
    <t>帳票一覧</t>
    <rPh sb="0" eb="2">
      <t>チョウヒョウ</t>
    </rPh>
    <rPh sb="2" eb="4">
      <t>イチラン</t>
    </rPh>
    <phoneticPr fontId="16"/>
  </si>
  <si>
    <t>ケアのサイクル</t>
    <phoneticPr fontId="16"/>
  </si>
  <si>
    <t>通所介護　基本情報①</t>
    <rPh sb="0" eb="4">
      <t>ツウショカイゴ</t>
    </rPh>
    <rPh sb="5" eb="7">
      <t>キホン</t>
    </rPh>
    <rPh sb="7" eb="9">
      <t>ジョウホウ</t>
    </rPh>
    <phoneticPr fontId="16"/>
  </si>
  <si>
    <t>【マスター】見本</t>
    <rPh sb="6" eb="8">
      <t>ミホン</t>
    </rPh>
    <phoneticPr fontId="16"/>
  </si>
  <si>
    <t>通所介護　基本情報②</t>
    <rPh sb="0" eb="4">
      <t>ツウショカイゴ</t>
    </rPh>
    <rPh sb="5" eb="7">
      <t>キホン</t>
    </rPh>
    <rPh sb="7" eb="9">
      <t>ジョウホウ</t>
    </rPh>
    <phoneticPr fontId="16"/>
  </si>
  <si>
    <t>【マスター】</t>
    <phoneticPr fontId="16"/>
  </si>
  <si>
    <t>通所介護　アセスメント表①</t>
    <rPh sb="0" eb="4">
      <t>ツウショカイゴ</t>
    </rPh>
    <rPh sb="11" eb="12">
      <t>ヒョウ</t>
    </rPh>
    <phoneticPr fontId="16"/>
  </si>
  <si>
    <t>契約関係</t>
    <rPh sb="0" eb="2">
      <t>ケイヤク</t>
    </rPh>
    <rPh sb="2" eb="4">
      <t>カンケイ</t>
    </rPh>
    <phoneticPr fontId="10"/>
  </si>
  <si>
    <t>通所介護重要事項説明書</t>
    <rPh sb="0" eb="2">
      <t>ツウショ</t>
    </rPh>
    <rPh sb="2" eb="4">
      <t>カイゴ</t>
    </rPh>
    <rPh sb="4" eb="6">
      <t>ジュウヨウ</t>
    </rPh>
    <rPh sb="6" eb="8">
      <t>ジコウ</t>
    </rPh>
    <rPh sb="8" eb="11">
      <t>セツメイショ</t>
    </rPh>
    <phoneticPr fontId="10"/>
  </si>
  <si>
    <t>通所介護　アセスメント表②</t>
    <rPh sb="0" eb="4">
      <t>ツウショカイゴ</t>
    </rPh>
    <rPh sb="11" eb="12">
      <t>ヒョウ</t>
    </rPh>
    <phoneticPr fontId="16"/>
  </si>
  <si>
    <t>通所介護契約書</t>
    <rPh sb="0" eb="2">
      <t>ツウショ</t>
    </rPh>
    <rPh sb="2" eb="4">
      <t>カイゴ</t>
    </rPh>
    <rPh sb="4" eb="7">
      <t>ケイヤクショ</t>
    </rPh>
    <phoneticPr fontId="10"/>
  </si>
  <si>
    <t>通所介護計画書①</t>
    <rPh sb="0" eb="4">
      <t>ツウショカイゴ</t>
    </rPh>
    <rPh sb="4" eb="7">
      <t>ケイカクショ</t>
    </rPh>
    <phoneticPr fontId="16"/>
  </si>
  <si>
    <t>内容説明書（通所介護利用料金目安表）</t>
    <rPh sb="0" eb="2">
      <t>ナイヨウ</t>
    </rPh>
    <rPh sb="2" eb="5">
      <t>セツメイショ</t>
    </rPh>
    <rPh sb="6" eb="8">
      <t>ツウショ</t>
    </rPh>
    <rPh sb="8" eb="10">
      <t>カイゴ</t>
    </rPh>
    <rPh sb="10" eb="12">
      <t>リヨウ</t>
    </rPh>
    <rPh sb="12" eb="14">
      <t>リョウキン</t>
    </rPh>
    <rPh sb="14" eb="16">
      <t>メヤス</t>
    </rPh>
    <rPh sb="16" eb="17">
      <t>ヒョウ</t>
    </rPh>
    <phoneticPr fontId="10"/>
  </si>
  <si>
    <t>通所介護計画書②</t>
    <rPh sb="0" eb="4">
      <t>ツウショカイゴ</t>
    </rPh>
    <rPh sb="4" eb="7">
      <t>ケイカクショ</t>
    </rPh>
    <phoneticPr fontId="16"/>
  </si>
  <si>
    <t>内容説明書（通所介護利用料金目安表）※手書き</t>
    <rPh sb="19" eb="21">
      <t>テガ</t>
    </rPh>
    <phoneticPr fontId="10"/>
  </si>
  <si>
    <t>通所介護計画書③</t>
    <rPh sb="0" eb="4">
      <t>ツウショカイゴ</t>
    </rPh>
    <rPh sb="4" eb="7">
      <t>ケイカクショ</t>
    </rPh>
    <phoneticPr fontId="16"/>
  </si>
  <si>
    <t>介護サポートサービス重要事項説明書</t>
    <rPh sb="0" eb="2">
      <t>カイゴ</t>
    </rPh>
    <rPh sb="10" eb="12">
      <t>ジュウヨウ</t>
    </rPh>
    <rPh sb="12" eb="14">
      <t>ジコウ</t>
    </rPh>
    <rPh sb="14" eb="17">
      <t>セツメイショ</t>
    </rPh>
    <phoneticPr fontId="10"/>
  </si>
  <si>
    <t>通所介護モニタリング評価表</t>
    <rPh sb="0" eb="4">
      <t>ツウショカイゴ</t>
    </rPh>
    <rPh sb="10" eb="12">
      <t>ヒョウカ</t>
    </rPh>
    <rPh sb="12" eb="13">
      <t>ヒョウ</t>
    </rPh>
    <phoneticPr fontId="16"/>
  </si>
  <si>
    <t>介護サポートサービス契約書</t>
    <rPh sb="0" eb="2">
      <t>カイゴ</t>
    </rPh>
    <rPh sb="10" eb="13">
      <t>ケイヤクショ</t>
    </rPh>
    <phoneticPr fontId="10"/>
  </si>
  <si>
    <t>介護サポートサービス計画書①</t>
    <rPh sb="0" eb="2">
      <t>カイゴ</t>
    </rPh>
    <rPh sb="10" eb="13">
      <t>ケイカクショ</t>
    </rPh>
    <phoneticPr fontId="16"/>
  </si>
  <si>
    <t>個人情報等の使用に係る同意書</t>
    <rPh sb="0" eb="2">
      <t>コジン</t>
    </rPh>
    <rPh sb="2" eb="4">
      <t>ジョウホウ</t>
    </rPh>
    <rPh sb="4" eb="5">
      <t>トウ</t>
    </rPh>
    <rPh sb="6" eb="8">
      <t>シヨウ</t>
    </rPh>
    <rPh sb="9" eb="10">
      <t>カカ</t>
    </rPh>
    <rPh sb="11" eb="14">
      <t>ドウイショ</t>
    </rPh>
    <phoneticPr fontId="10"/>
  </si>
  <si>
    <t>介護サポートサービス計画書②</t>
    <rPh sb="0" eb="2">
      <t>カイゴ</t>
    </rPh>
    <rPh sb="10" eb="13">
      <t>ケイカクショ</t>
    </rPh>
    <phoneticPr fontId="16"/>
  </si>
  <si>
    <t>委任状</t>
    <rPh sb="0" eb="3">
      <t>イニンジョウ</t>
    </rPh>
    <phoneticPr fontId="10"/>
  </si>
  <si>
    <t>介護サポートサービスモニタリング評価表</t>
    <rPh sb="0" eb="2">
      <t>カイゴ</t>
    </rPh>
    <rPh sb="16" eb="18">
      <t>ヒョウカ</t>
    </rPh>
    <rPh sb="18" eb="19">
      <t>ヒョウ</t>
    </rPh>
    <phoneticPr fontId="16"/>
  </si>
  <si>
    <t>緊急時連絡カード</t>
    <rPh sb="0" eb="3">
      <t>キンキュウジ</t>
    </rPh>
    <rPh sb="3" eb="5">
      <t>レンラク</t>
    </rPh>
    <phoneticPr fontId="16"/>
  </si>
  <si>
    <t>通所介護計画の交付書兼受領書</t>
    <phoneticPr fontId="16"/>
  </si>
  <si>
    <t>掲示物</t>
    <rPh sb="0" eb="3">
      <t>ケイジブツ</t>
    </rPh>
    <phoneticPr fontId="10"/>
  </si>
  <si>
    <t>通所介護重要事項説明書（掲示用）</t>
    <rPh sb="0" eb="4">
      <t>ツウショカイゴ</t>
    </rPh>
    <rPh sb="4" eb="6">
      <t>ジュウヨウ</t>
    </rPh>
    <rPh sb="6" eb="8">
      <t>ジコウ</t>
    </rPh>
    <rPh sb="8" eb="11">
      <t>セツメイショ</t>
    </rPh>
    <rPh sb="12" eb="15">
      <t>ケイジヨウ</t>
    </rPh>
    <phoneticPr fontId="10"/>
  </si>
  <si>
    <t>個別機能訓練関係</t>
    <rPh sb="0" eb="2">
      <t>コベツ</t>
    </rPh>
    <rPh sb="2" eb="4">
      <t>キノウ</t>
    </rPh>
    <rPh sb="4" eb="6">
      <t>クンレン</t>
    </rPh>
    <rPh sb="6" eb="8">
      <t>カンケイ</t>
    </rPh>
    <phoneticPr fontId="16"/>
  </si>
  <si>
    <t>興味・関心チェックシート</t>
    <phoneticPr fontId="16"/>
  </si>
  <si>
    <t>通所介護　運営規程</t>
    <rPh sb="0" eb="2">
      <t>ツウショ</t>
    </rPh>
    <rPh sb="2" eb="4">
      <t>カイゴ</t>
    </rPh>
    <rPh sb="5" eb="7">
      <t>ウンエイ</t>
    </rPh>
    <rPh sb="7" eb="9">
      <t>キテイ</t>
    </rPh>
    <phoneticPr fontId="10"/>
  </si>
  <si>
    <t>居宅訪問チェックシート</t>
    <phoneticPr fontId="16"/>
  </si>
  <si>
    <t>介護サポートサービス重要事項説明書（掲示用）</t>
    <rPh sb="0" eb="2">
      <t>カイゴ</t>
    </rPh>
    <rPh sb="10" eb="12">
      <t>ジュウヨウ</t>
    </rPh>
    <rPh sb="12" eb="14">
      <t>ジコウ</t>
    </rPh>
    <rPh sb="14" eb="17">
      <t>セツメイショ</t>
    </rPh>
    <phoneticPr fontId="10"/>
  </si>
  <si>
    <t>【個別機能訓練計画書】加算Ⅰ・Ⅱ</t>
    <phoneticPr fontId="16"/>
  </si>
  <si>
    <t>介護サポートサービス　運営規程</t>
    <rPh sb="0" eb="2">
      <t>カイゴ</t>
    </rPh>
    <rPh sb="11" eb="13">
      <t>ウンエイ</t>
    </rPh>
    <rPh sb="13" eb="15">
      <t>キテイ</t>
    </rPh>
    <phoneticPr fontId="10"/>
  </si>
  <si>
    <t>【個別機能訓練実施記録】加算Ⅰ・Ⅱ</t>
    <phoneticPr fontId="16"/>
  </si>
  <si>
    <t>個人情報に関する基本方針</t>
    <rPh sb="0" eb="2">
      <t>コジン</t>
    </rPh>
    <rPh sb="2" eb="4">
      <t>ジョウホウ</t>
    </rPh>
    <rPh sb="5" eb="6">
      <t>カン</t>
    </rPh>
    <rPh sb="8" eb="10">
      <t>キホン</t>
    </rPh>
    <rPh sb="10" eb="12">
      <t>ホウシン</t>
    </rPh>
    <phoneticPr fontId="10"/>
  </si>
  <si>
    <t>【個別機能訓練計画書】加算Ⅰ</t>
    <phoneticPr fontId="16"/>
  </si>
  <si>
    <t>営業ツール</t>
    <rPh sb="0" eb="2">
      <t>エイギョウ</t>
    </rPh>
    <phoneticPr fontId="10"/>
  </si>
  <si>
    <t>15の取り組み</t>
    <rPh sb="3" eb="4">
      <t>ト</t>
    </rPh>
    <rPh sb="5" eb="6">
      <t>ク</t>
    </rPh>
    <phoneticPr fontId="16"/>
  </si>
  <si>
    <t>【個別機能訓練実施記録】加算Ⅰ</t>
    <phoneticPr fontId="16"/>
  </si>
  <si>
    <t>利用相談受付票</t>
    <rPh sb="0" eb="2">
      <t>リヨウ</t>
    </rPh>
    <rPh sb="2" eb="4">
      <t>ソウダン</t>
    </rPh>
    <rPh sb="4" eb="6">
      <t>ウケツケ</t>
    </rPh>
    <rPh sb="6" eb="7">
      <t>ヒョウ</t>
    </rPh>
    <phoneticPr fontId="10"/>
  </si>
  <si>
    <t>【個別機能訓練計画書】加算Ⅱ</t>
    <phoneticPr fontId="16"/>
  </si>
  <si>
    <t>現場帳票（利用者）</t>
    <rPh sb="0" eb="2">
      <t>ゲンバ</t>
    </rPh>
    <rPh sb="2" eb="4">
      <t>チョウヒョウ</t>
    </rPh>
    <rPh sb="5" eb="7">
      <t>リヨウ</t>
    </rPh>
    <rPh sb="7" eb="8">
      <t>シャ</t>
    </rPh>
    <phoneticPr fontId="11"/>
  </si>
  <si>
    <t>サービス担当者会議記録用紙</t>
    <rPh sb="4" eb="7">
      <t>タントウシャ</t>
    </rPh>
    <rPh sb="7" eb="9">
      <t>カイギ</t>
    </rPh>
    <rPh sb="9" eb="11">
      <t>キロク</t>
    </rPh>
    <rPh sb="11" eb="13">
      <t>ヨウシ</t>
    </rPh>
    <phoneticPr fontId="10"/>
  </si>
  <si>
    <t>【個別機能訓練実施記録】加算Ⅱ</t>
    <phoneticPr fontId="16"/>
  </si>
  <si>
    <t>ケアカンファレンス記録用紙</t>
    <rPh sb="9" eb="11">
      <t>キロク</t>
    </rPh>
    <rPh sb="11" eb="13">
      <t>ヨウシ</t>
    </rPh>
    <phoneticPr fontId="10"/>
  </si>
  <si>
    <t>受入報告書</t>
    <rPh sb="0" eb="1">
      <t>ウ</t>
    </rPh>
    <rPh sb="1" eb="2">
      <t>イ</t>
    </rPh>
    <rPh sb="2" eb="5">
      <t>ホウコクショ</t>
    </rPh>
    <phoneticPr fontId="10"/>
  </si>
  <si>
    <t>介護経過表</t>
    <rPh sb="0" eb="2">
      <t>カイゴ</t>
    </rPh>
    <rPh sb="2" eb="4">
      <t>ケイカ</t>
    </rPh>
    <rPh sb="4" eb="5">
      <t>ヒョウ</t>
    </rPh>
    <phoneticPr fontId="10"/>
  </si>
  <si>
    <t>介護経過表（サポート）</t>
    <rPh sb="0" eb="2">
      <t>カイゴ</t>
    </rPh>
    <rPh sb="2" eb="4">
      <t>ケイカ</t>
    </rPh>
    <rPh sb="4" eb="5">
      <t>ヒョウ</t>
    </rPh>
    <phoneticPr fontId="10"/>
  </si>
  <si>
    <t>連絡帳</t>
    <rPh sb="0" eb="3">
      <t>レンラクチョウ</t>
    </rPh>
    <phoneticPr fontId="10"/>
  </si>
  <si>
    <t>ヒヤリハット報告書</t>
    <rPh sb="6" eb="9">
      <t>ホウコクショ</t>
    </rPh>
    <phoneticPr fontId="10"/>
  </si>
  <si>
    <t>事故報告書</t>
    <rPh sb="0" eb="2">
      <t>ジコ</t>
    </rPh>
    <rPh sb="2" eb="5">
      <t>ホウコクショ</t>
    </rPh>
    <phoneticPr fontId="10"/>
  </si>
  <si>
    <t>苦情相談報告書</t>
    <rPh sb="0" eb="2">
      <t>クジョウ</t>
    </rPh>
    <rPh sb="2" eb="4">
      <t>ソウダン</t>
    </rPh>
    <rPh sb="4" eb="7">
      <t>ホウコクショ</t>
    </rPh>
    <phoneticPr fontId="10"/>
  </si>
  <si>
    <t>現場帳票（職員）</t>
    <rPh sb="0" eb="2">
      <t>ゲンバ</t>
    </rPh>
    <rPh sb="2" eb="4">
      <t>チョウヒョウ</t>
    </rPh>
    <rPh sb="5" eb="7">
      <t>ショクイン</t>
    </rPh>
    <phoneticPr fontId="11"/>
  </si>
  <si>
    <t>職員会議議事録</t>
  </si>
  <si>
    <t>研修議事録</t>
    <rPh sb="0" eb="2">
      <t>ケンシュウ</t>
    </rPh>
    <rPh sb="2" eb="5">
      <t>ギジロク</t>
    </rPh>
    <phoneticPr fontId="10"/>
  </si>
  <si>
    <t>研修報告書</t>
    <rPh sb="0" eb="2">
      <t>ケンシュウ</t>
    </rPh>
    <rPh sb="2" eb="5">
      <t>ホウコクショ</t>
    </rPh>
    <phoneticPr fontId="10"/>
  </si>
  <si>
    <t>行事実施計画書</t>
    <rPh sb="0" eb="2">
      <t>ギョウジ</t>
    </rPh>
    <rPh sb="2" eb="4">
      <t>ジッシ</t>
    </rPh>
    <rPh sb="4" eb="7">
      <t>ケイカクショ</t>
    </rPh>
    <phoneticPr fontId="10"/>
  </si>
  <si>
    <t>行事実施記録書</t>
    <rPh sb="0" eb="2">
      <t>ギョウジ</t>
    </rPh>
    <rPh sb="2" eb="4">
      <t>ジッシ</t>
    </rPh>
    <rPh sb="4" eb="6">
      <t>キロク</t>
    </rPh>
    <rPh sb="6" eb="7">
      <t>ショ</t>
    </rPh>
    <phoneticPr fontId="10"/>
  </si>
  <si>
    <t>太枠内の入力・選択をしてください。</t>
    <rPh sb="0" eb="2">
      <t>フトワク</t>
    </rPh>
    <rPh sb="2" eb="3">
      <t>ナイ</t>
    </rPh>
    <rPh sb="4" eb="6">
      <t>ニュウリョク</t>
    </rPh>
    <rPh sb="7" eb="9">
      <t>センタク</t>
    </rPh>
    <phoneticPr fontId="16"/>
  </si>
  <si>
    <t>重要事項説明書　日付</t>
    <rPh sb="0" eb="2">
      <t>ジュウヨウ</t>
    </rPh>
    <rPh sb="2" eb="4">
      <t>ジコウ</t>
    </rPh>
    <rPh sb="4" eb="7">
      <t>セツメイショ</t>
    </rPh>
    <rPh sb="8" eb="10">
      <t>ヒヅケ</t>
    </rPh>
    <phoneticPr fontId="16"/>
  </si>
  <si>
    <t>西暦</t>
    <rPh sb="0" eb="2">
      <t>セイレキ</t>
    </rPh>
    <phoneticPr fontId="16"/>
  </si>
  <si>
    <t>年</t>
    <rPh sb="0" eb="1">
      <t>ネン</t>
    </rPh>
    <phoneticPr fontId="16"/>
  </si>
  <si>
    <t>月</t>
    <rPh sb="0" eb="1">
      <t>ガツ</t>
    </rPh>
    <phoneticPr fontId="16"/>
  </si>
  <si>
    <t>日現在</t>
    <rPh sb="0" eb="1">
      <t>ニチ</t>
    </rPh>
    <rPh sb="1" eb="3">
      <t>ゲンザイ</t>
    </rPh>
    <phoneticPr fontId="16"/>
  </si>
  <si>
    <t>年号（和暦）</t>
    <rPh sb="0" eb="2">
      <t>ネンゴウ</t>
    </rPh>
    <rPh sb="3" eb="5">
      <t>ワレキ</t>
    </rPh>
    <phoneticPr fontId="16"/>
  </si>
  <si>
    <t>＜重要事項説明書用＞</t>
    <rPh sb="1" eb="3">
      <t>ジュウヨウ</t>
    </rPh>
    <rPh sb="3" eb="5">
      <t>ジコウ</t>
    </rPh>
    <rPh sb="5" eb="8">
      <t>セツメイショ</t>
    </rPh>
    <rPh sb="8" eb="9">
      <t>ヨウ</t>
    </rPh>
    <phoneticPr fontId="16"/>
  </si>
  <si>
    <t>昭和</t>
    <rPh sb="0" eb="2">
      <t>ショウワ</t>
    </rPh>
    <phoneticPr fontId="16"/>
  </si>
  <si>
    <t>事業所名（フリガナ）</t>
    <rPh sb="0" eb="3">
      <t>ジギョウショ</t>
    </rPh>
    <rPh sb="3" eb="4">
      <t>メイ</t>
    </rPh>
    <phoneticPr fontId="16"/>
  </si>
  <si>
    <t>平成</t>
    <rPh sb="0" eb="2">
      <t>ヘイセイ</t>
    </rPh>
    <phoneticPr fontId="16"/>
  </si>
  <si>
    <t>○</t>
    <phoneticPr fontId="16"/>
  </si>
  <si>
    <t>有</t>
    <rPh sb="0" eb="1">
      <t>ア</t>
    </rPh>
    <phoneticPr fontId="16"/>
  </si>
  <si>
    <t>月曜日～日曜日（祝日を含む）</t>
    <rPh sb="0" eb="3">
      <t>ゲツヨウビ</t>
    </rPh>
    <rPh sb="4" eb="7">
      <t>ニチヨウビ</t>
    </rPh>
    <rPh sb="8" eb="10">
      <t>シュクジツ</t>
    </rPh>
    <rPh sb="11" eb="12">
      <t>フク</t>
    </rPh>
    <phoneticPr fontId="16"/>
  </si>
  <si>
    <t>事業所名</t>
    <rPh sb="0" eb="3">
      <t>ジギョウショ</t>
    </rPh>
    <rPh sb="3" eb="4">
      <t>メイ</t>
    </rPh>
    <phoneticPr fontId="16"/>
  </si>
  <si>
    <t>令和</t>
    <rPh sb="0" eb="2">
      <t>レイワ</t>
    </rPh>
    <phoneticPr fontId="16"/>
  </si>
  <si>
    <t>無</t>
    <rPh sb="0" eb="1">
      <t>ナシ</t>
    </rPh>
    <phoneticPr fontId="16"/>
  </si>
  <si>
    <t>月曜日～土曜日</t>
    <rPh sb="0" eb="3">
      <t>ゲツヨウビ</t>
    </rPh>
    <rPh sb="4" eb="7">
      <t>ドヨウビ</t>
    </rPh>
    <phoneticPr fontId="16"/>
  </si>
  <si>
    <r>
      <t>事業所住所</t>
    </r>
    <r>
      <rPr>
        <sz val="8"/>
        <rFont val="メイリオ"/>
        <family val="3"/>
        <charset val="128"/>
      </rPr>
      <t>※マンション名等がある場合は2段目を使用</t>
    </r>
    <rPh sb="0" eb="3">
      <t>ジギョウショ</t>
    </rPh>
    <rPh sb="3" eb="5">
      <t>ジュウショ</t>
    </rPh>
    <rPh sb="11" eb="12">
      <t>メイ</t>
    </rPh>
    <rPh sb="12" eb="13">
      <t>トウ</t>
    </rPh>
    <rPh sb="16" eb="18">
      <t>バアイ</t>
    </rPh>
    <rPh sb="20" eb="22">
      <t>ダンメ</t>
    </rPh>
    <rPh sb="23" eb="25">
      <t>シヨウ</t>
    </rPh>
    <phoneticPr fontId="16"/>
  </si>
  <si>
    <t>-</t>
    <phoneticPr fontId="16"/>
  </si>
  <si>
    <t>月曜日～金曜日</t>
    <rPh sb="0" eb="3">
      <t>ゲツヨウビ</t>
    </rPh>
    <rPh sb="4" eb="7">
      <t>キンヨウビ</t>
    </rPh>
    <phoneticPr fontId="16"/>
  </si>
  <si>
    <t>月曜日～金曜日（祝日を除く）</t>
    <rPh sb="0" eb="3">
      <t>ゲツヨウビ</t>
    </rPh>
    <rPh sb="4" eb="7">
      <t>キンヨウビ</t>
    </rPh>
    <rPh sb="8" eb="10">
      <t>シュクジツ</t>
    </rPh>
    <rPh sb="11" eb="12">
      <t>ノゾ</t>
    </rPh>
    <phoneticPr fontId="16"/>
  </si>
  <si>
    <t>事業所電話番号</t>
    <rPh sb="0" eb="2">
      <t>ジギョウ</t>
    </rPh>
    <rPh sb="2" eb="3">
      <t>ショ</t>
    </rPh>
    <rPh sb="3" eb="5">
      <t>デンワ</t>
    </rPh>
    <rPh sb="5" eb="7">
      <t>バンゴウ</t>
    </rPh>
    <phoneticPr fontId="16"/>
  </si>
  <si>
    <t>事業所FAX</t>
    <rPh sb="0" eb="2">
      <t>ジギョウ</t>
    </rPh>
    <rPh sb="2" eb="3">
      <t>ショ</t>
    </rPh>
    <phoneticPr fontId="16"/>
  </si>
  <si>
    <t>平日（土・日・祝以外）</t>
    <rPh sb="0" eb="2">
      <t>ヘイジツ</t>
    </rPh>
    <rPh sb="3" eb="4">
      <t>ド</t>
    </rPh>
    <rPh sb="5" eb="6">
      <t>ニチ</t>
    </rPh>
    <rPh sb="7" eb="8">
      <t>シュク</t>
    </rPh>
    <rPh sb="8" eb="10">
      <t>イガイ</t>
    </rPh>
    <phoneticPr fontId="16"/>
  </si>
  <si>
    <t>事業所番号</t>
    <rPh sb="0" eb="3">
      <t>ジギョウショ</t>
    </rPh>
    <rPh sb="3" eb="5">
      <t>バンゴウ</t>
    </rPh>
    <phoneticPr fontId="16"/>
  </si>
  <si>
    <t>事業所開設年月日</t>
    <rPh sb="0" eb="3">
      <t>ジギョウショ</t>
    </rPh>
    <rPh sb="3" eb="5">
      <t>カイセツ</t>
    </rPh>
    <rPh sb="5" eb="8">
      <t>ネンガッピ</t>
    </rPh>
    <phoneticPr fontId="16"/>
  </si>
  <si>
    <t>日</t>
    <rPh sb="0" eb="1">
      <t>ニチ</t>
    </rPh>
    <phoneticPr fontId="16"/>
  </si>
  <si>
    <t>事業所営業時間</t>
    <rPh sb="0" eb="2">
      <t>ジギョウ</t>
    </rPh>
    <rPh sb="2" eb="3">
      <t>ショ</t>
    </rPh>
    <rPh sb="3" eb="5">
      <t>エイギョウ</t>
    </rPh>
    <rPh sb="5" eb="7">
      <t>ジカン</t>
    </rPh>
    <phoneticPr fontId="16"/>
  </si>
  <si>
    <t>～</t>
    <phoneticPr fontId="16"/>
  </si>
  <si>
    <t>サービス提供時間</t>
    <rPh sb="4" eb="6">
      <t>テイキョウ</t>
    </rPh>
    <rPh sb="6" eb="8">
      <t>ジカン</t>
    </rPh>
    <phoneticPr fontId="16"/>
  </si>
  <si>
    <t>送迎対応時間</t>
    <rPh sb="0" eb="2">
      <t>ソウゲイ</t>
    </rPh>
    <rPh sb="2" eb="4">
      <t>タイオウ</t>
    </rPh>
    <rPh sb="4" eb="6">
      <t>ジカン</t>
    </rPh>
    <phoneticPr fontId="16"/>
  </si>
  <si>
    <t>夜間サポートサービス提供時間</t>
    <rPh sb="0" eb="2">
      <t>ヤカン</t>
    </rPh>
    <rPh sb="10" eb="12">
      <t>テイキョウ</t>
    </rPh>
    <rPh sb="12" eb="14">
      <t>ジカン</t>
    </rPh>
    <phoneticPr fontId="16"/>
  </si>
  <si>
    <t>事業所営業日</t>
    <rPh sb="0" eb="2">
      <t>ジギョウ</t>
    </rPh>
    <rPh sb="2" eb="3">
      <t>ショ</t>
    </rPh>
    <rPh sb="3" eb="6">
      <t>エイギョウビ</t>
    </rPh>
    <phoneticPr fontId="16"/>
  </si>
  <si>
    <t>月</t>
    <rPh sb="0" eb="1">
      <t>ゲツ</t>
    </rPh>
    <phoneticPr fontId="16"/>
  </si>
  <si>
    <t>火</t>
    <rPh sb="0" eb="1">
      <t>カ</t>
    </rPh>
    <phoneticPr fontId="16"/>
  </si>
  <si>
    <t>水</t>
    <rPh sb="0" eb="1">
      <t>スイ</t>
    </rPh>
    <phoneticPr fontId="16"/>
  </si>
  <si>
    <t>木</t>
    <rPh sb="0" eb="1">
      <t>モク</t>
    </rPh>
    <phoneticPr fontId="16"/>
  </si>
  <si>
    <t>金</t>
    <rPh sb="0" eb="1">
      <t>キン</t>
    </rPh>
    <phoneticPr fontId="16"/>
  </si>
  <si>
    <t>土</t>
    <rPh sb="0" eb="1">
      <t>ド</t>
    </rPh>
    <phoneticPr fontId="16"/>
  </si>
  <si>
    <t>祝</t>
    <rPh sb="0" eb="1">
      <t>シュク</t>
    </rPh>
    <phoneticPr fontId="16"/>
  </si>
  <si>
    <t>営業日</t>
    <rPh sb="0" eb="3">
      <t>エイギョウビ</t>
    </rPh>
    <phoneticPr fontId="16"/>
  </si>
  <si>
    <t>3時間以上4時間未満</t>
    <rPh sb="1" eb="5">
      <t>ジカンイジョウ</t>
    </rPh>
    <rPh sb="6" eb="8">
      <t>ジカン</t>
    </rPh>
    <rPh sb="8" eb="10">
      <t>ミマン</t>
    </rPh>
    <phoneticPr fontId="16"/>
  </si>
  <si>
    <t>4時間以上5時間未満</t>
    <rPh sb="1" eb="5">
      <t>ジカンイジョウ</t>
    </rPh>
    <rPh sb="6" eb="8">
      <t>ジカン</t>
    </rPh>
    <rPh sb="8" eb="10">
      <t>ミマン</t>
    </rPh>
    <phoneticPr fontId="16"/>
  </si>
  <si>
    <t>5時間以上6時間未満</t>
    <rPh sb="1" eb="5">
      <t>ジカンイジョウ</t>
    </rPh>
    <rPh sb="6" eb="8">
      <t>ジカン</t>
    </rPh>
    <rPh sb="8" eb="10">
      <t>ミマン</t>
    </rPh>
    <phoneticPr fontId="16"/>
  </si>
  <si>
    <t>6時間以上7時間未満</t>
    <rPh sb="1" eb="5">
      <t>ジカンイジョウ</t>
    </rPh>
    <rPh sb="6" eb="8">
      <t>ジカン</t>
    </rPh>
    <rPh sb="8" eb="10">
      <t>ミマン</t>
    </rPh>
    <phoneticPr fontId="16"/>
  </si>
  <si>
    <t>7時間以上8時間未満</t>
    <rPh sb="1" eb="5">
      <t>ジカンイジョウ</t>
    </rPh>
    <rPh sb="6" eb="8">
      <t>ジカン</t>
    </rPh>
    <rPh sb="8" eb="10">
      <t>ミマン</t>
    </rPh>
    <phoneticPr fontId="16"/>
  </si>
  <si>
    <t>8時間以上9時間未満</t>
    <rPh sb="1" eb="5">
      <t>ジカンイジョウ</t>
    </rPh>
    <rPh sb="6" eb="8">
      <t>ジカン</t>
    </rPh>
    <rPh sb="8" eb="10">
      <t>ミマン</t>
    </rPh>
    <phoneticPr fontId="16"/>
  </si>
  <si>
    <t>事業所　実施地域</t>
    <rPh sb="0" eb="2">
      <t>ジギョウ</t>
    </rPh>
    <rPh sb="2" eb="3">
      <t>ショ</t>
    </rPh>
    <rPh sb="4" eb="6">
      <t>ジッシ</t>
    </rPh>
    <rPh sb="6" eb="8">
      <t>チイキ</t>
    </rPh>
    <phoneticPr fontId="16"/>
  </si>
  <si>
    <t>要介護1</t>
  </si>
  <si>
    <t>要介護2</t>
  </si>
  <si>
    <t>要介護3</t>
  </si>
  <si>
    <t>要介護4</t>
  </si>
  <si>
    <t>要介護5</t>
  </si>
  <si>
    <t>事業所利用定員</t>
    <rPh sb="0" eb="2">
      <t>ジギョウ</t>
    </rPh>
    <rPh sb="2" eb="3">
      <t>ショ</t>
    </rPh>
    <rPh sb="3" eb="5">
      <t>リヨウ</t>
    </rPh>
    <rPh sb="5" eb="7">
      <t>テイイン</t>
    </rPh>
    <phoneticPr fontId="16"/>
  </si>
  <si>
    <t>名</t>
    <rPh sb="0" eb="1">
      <t>メイ</t>
    </rPh>
    <phoneticPr fontId="16"/>
  </si>
  <si>
    <t>夜間帯利用定員</t>
    <rPh sb="0" eb="2">
      <t>ヤカン</t>
    </rPh>
    <rPh sb="2" eb="3">
      <t>タイ</t>
    </rPh>
    <rPh sb="3" eb="5">
      <t>リヨウ</t>
    </rPh>
    <rPh sb="5" eb="7">
      <t>テイイン</t>
    </rPh>
    <phoneticPr fontId="16"/>
  </si>
  <si>
    <t>指定権者運営基準名</t>
    <rPh sb="0" eb="2">
      <t>シテイ</t>
    </rPh>
    <rPh sb="2" eb="3">
      <t>ケン</t>
    </rPh>
    <rPh sb="3" eb="4">
      <t>シャ</t>
    </rPh>
    <rPh sb="4" eb="6">
      <t>ウンエイ</t>
    </rPh>
    <rPh sb="6" eb="8">
      <t>キジュン</t>
    </rPh>
    <rPh sb="8" eb="9">
      <t>メイ</t>
    </rPh>
    <phoneticPr fontId="16"/>
  </si>
  <si>
    <t>1級地</t>
    <rPh sb="1" eb="2">
      <t>キュウ</t>
    </rPh>
    <rPh sb="2" eb="3">
      <t>チ</t>
    </rPh>
    <phoneticPr fontId="16"/>
  </si>
  <si>
    <t>指定権者宿泊デイ基準名</t>
    <rPh sb="0" eb="2">
      <t>シテイ</t>
    </rPh>
    <rPh sb="2" eb="3">
      <t>ケン</t>
    </rPh>
    <rPh sb="3" eb="4">
      <t>シャ</t>
    </rPh>
    <rPh sb="4" eb="6">
      <t>シュクハク</t>
    </rPh>
    <rPh sb="8" eb="10">
      <t>キジュン</t>
    </rPh>
    <rPh sb="10" eb="11">
      <t>メイ</t>
    </rPh>
    <phoneticPr fontId="16"/>
  </si>
  <si>
    <t>2級地</t>
    <rPh sb="1" eb="2">
      <t>キュウ</t>
    </rPh>
    <rPh sb="2" eb="3">
      <t>チ</t>
    </rPh>
    <phoneticPr fontId="16"/>
  </si>
  <si>
    <t>管理者名</t>
    <rPh sb="0" eb="2">
      <t>カンリ</t>
    </rPh>
    <rPh sb="2" eb="3">
      <t>シャ</t>
    </rPh>
    <rPh sb="3" eb="4">
      <t>メイ</t>
    </rPh>
    <phoneticPr fontId="16"/>
  </si>
  <si>
    <t>3級地</t>
    <rPh sb="1" eb="2">
      <t>キュウ</t>
    </rPh>
    <rPh sb="2" eb="3">
      <t>チ</t>
    </rPh>
    <phoneticPr fontId="16"/>
  </si>
  <si>
    <t>法人名</t>
    <rPh sb="0" eb="2">
      <t>ホウジン</t>
    </rPh>
    <rPh sb="2" eb="3">
      <t>メイ</t>
    </rPh>
    <phoneticPr fontId="16"/>
  </si>
  <si>
    <t>4級地</t>
    <rPh sb="1" eb="2">
      <t>キュウ</t>
    </rPh>
    <rPh sb="2" eb="3">
      <t>チ</t>
    </rPh>
    <phoneticPr fontId="16"/>
  </si>
  <si>
    <r>
      <t>法人住所</t>
    </r>
    <r>
      <rPr>
        <sz val="8"/>
        <rFont val="メイリオ"/>
        <family val="3"/>
        <charset val="128"/>
      </rPr>
      <t>※マンション名等がある場合は2段目を使用</t>
    </r>
    <rPh sb="0" eb="2">
      <t>ホウジン</t>
    </rPh>
    <rPh sb="2" eb="4">
      <t>ジュウショ</t>
    </rPh>
    <rPh sb="10" eb="11">
      <t>メイ</t>
    </rPh>
    <rPh sb="11" eb="12">
      <t>トウ</t>
    </rPh>
    <rPh sb="15" eb="17">
      <t>バアイ</t>
    </rPh>
    <rPh sb="19" eb="21">
      <t>ダンメ</t>
    </rPh>
    <rPh sb="22" eb="24">
      <t>シヨウ</t>
    </rPh>
    <phoneticPr fontId="16"/>
  </si>
  <si>
    <t>5級地</t>
    <rPh sb="1" eb="2">
      <t>キュウ</t>
    </rPh>
    <rPh sb="2" eb="3">
      <t>チ</t>
    </rPh>
    <phoneticPr fontId="16"/>
  </si>
  <si>
    <t>6級地</t>
    <rPh sb="1" eb="2">
      <t>キュウ</t>
    </rPh>
    <rPh sb="2" eb="3">
      <t>チ</t>
    </rPh>
    <phoneticPr fontId="16"/>
  </si>
  <si>
    <t>法人電話番号</t>
    <rPh sb="0" eb="2">
      <t>ホウジン</t>
    </rPh>
    <rPh sb="2" eb="4">
      <t>デンワ</t>
    </rPh>
    <rPh sb="4" eb="6">
      <t>バンゴウ</t>
    </rPh>
    <phoneticPr fontId="16"/>
  </si>
  <si>
    <t>法人FAX</t>
    <rPh sb="0" eb="2">
      <t>ホウジン</t>
    </rPh>
    <phoneticPr fontId="16"/>
  </si>
  <si>
    <t>7級地</t>
    <rPh sb="1" eb="2">
      <t>キュウ</t>
    </rPh>
    <rPh sb="2" eb="3">
      <t>チ</t>
    </rPh>
    <phoneticPr fontId="16"/>
  </si>
  <si>
    <t>法人代表者　役職</t>
    <rPh sb="0" eb="2">
      <t>ホウジン</t>
    </rPh>
    <rPh sb="2" eb="5">
      <t>ダイヒョウシャ</t>
    </rPh>
    <rPh sb="6" eb="8">
      <t>ヤクショク</t>
    </rPh>
    <phoneticPr fontId="16"/>
  </si>
  <si>
    <t>氏名</t>
    <rPh sb="0" eb="2">
      <t>シメイ</t>
    </rPh>
    <phoneticPr fontId="16"/>
  </si>
  <si>
    <t>その他</t>
    <rPh sb="2" eb="3">
      <t>タ</t>
    </rPh>
    <phoneticPr fontId="16"/>
  </si>
  <si>
    <t>第三者評価の実施</t>
    <phoneticPr fontId="16"/>
  </si>
  <si>
    <t>評価機関名</t>
    <rPh sb="0" eb="2">
      <t>ヒョウカ</t>
    </rPh>
    <rPh sb="2" eb="4">
      <t>キカン</t>
    </rPh>
    <rPh sb="4" eb="5">
      <t>メイ</t>
    </rPh>
    <phoneticPr fontId="16"/>
  </si>
  <si>
    <t>評価実施年月日</t>
    <rPh sb="0" eb="2">
      <t>ヒョウカ</t>
    </rPh>
    <rPh sb="2" eb="4">
      <t>ジッシ</t>
    </rPh>
    <rPh sb="4" eb="7">
      <t>ネンガッピ</t>
    </rPh>
    <phoneticPr fontId="16"/>
  </si>
  <si>
    <t>評価結果の開示</t>
    <rPh sb="0" eb="2">
      <t>ヒョウカ</t>
    </rPh>
    <rPh sb="2" eb="4">
      <t>ケッカ</t>
    </rPh>
    <rPh sb="5" eb="7">
      <t>カイジ</t>
    </rPh>
    <phoneticPr fontId="16"/>
  </si>
  <si>
    <t>開示方法</t>
    <rPh sb="0" eb="2">
      <t>カイジ</t>
    </rPh>
    <rPh sb="2" eb="4">
      <t>ホウホウ</t>
    </rPh>
    <phoneticPr fontId="16"/>
  </si>
  <si>
    <t>従業者の職種</t>
  </si>
  <si>
    <t>人数</t>
  </si>
  <si>
    <t>区分※延べ人数</t>
    <rPh sb="0" eb="2">
      <t>クブン</t>
    </rPh>
    <rPh sb="3" eb="4">
      <t>ノ</t>
    </rPh>
    <rPh sb="5" eb="7">
      <t>ニンズウ</t>
    </rPh>
    <phoneticPr fontId="16"/>
  </si>
  <si>
    <t>（人）</t>
  </si>
  <si>
    <t>常勤専従(人)</t>
    <rPh sb="2" eb="4">
      <t>センジュウ</t>
    </rPh>
    <phoneticPr fontId="12"/>
  </si>
  <si>
    <t>常勤兼務(人)</t>
    <rPh sb="2" eb="4">
      <t>ケンム</t>
    </rPh>
    <phoneticPr fontId="12"/>
  </si>
  <si>
    <t>非常勤専従(人)</t>
    <rPh sb="0" eb="3">
      <t>ヒジョウキン</t>
    </rPh>
    <rPh sb="3" eb="5">
      <t>センジュウ</t>
    </rPh>
    <phoneticPr fontId="12"/>
  </si>
  <si>
    <t>非常勤兼務(人)</t>
    <rPh sb="3" eb="5">
      <t>ケンム</t>
    </rPh>
    <phoneticPr fontId="12"/>
  </si>
  <si>
    <t>管理者</t>
  </si>
  <si>
    <t>生活相談員</t>
  </si>
  <si>
    <t>介護職員</t>
  </si>
  <si>
    <t>機能訓練指導員</t>
  </si>
  <si>
    <t>看護職員</t>
    <rPh sb="0" eb="2">
      <t>カンゴ</t>
    </rPh>
    <rPh sb="2" eb="4">
      <t>ショクイン</t>
    </rPh>
    <phoneticPr fontId="16"/>
  </si>
  <si>
    <t>兼務用職種</t>
    <rPh sb="0" eb="2">
      <t>ケンム</t>
    </rPh>
    <rPh sb="2" eb="3">
      <t>ヨウ</t>
    </rPh>
    <rPh sb="3" eb="5">
      <t>ショクシュ</t>
    </rPh>
    <phoneticPr fontId="16"/>
  </si>
  <si>
    <t>管理者の兼務状況</t>
    <rPh sb="0" eb="3">
      <t>カンリシャ</t>
    </rPh>
    <rPh sb="4" eb="6">
      <t>ケンム</t>
    </rPh>
    <rPh sb="6" eb="8">
      <t>ジョウキョウ</t>
    </rPh>
    <phoneticPr fontId="12"/>
  </si>
  <si>
    <t>機能訓練指導員</t>
    <rPh sb="0" eb="2">
      <t>キノウ</t>
    </rPh>
    <rPh sb="2" eb="4">
      <t>クンレン</t>
    </rPh>
    <rPh sb="4" eb="7">
      <t>シドウイン</t>
    </rPh>
    <phoneticPr fontId="16"/>
  </si>
  <si>
    <t>管理者</t>
    <rPh sb="0" eb="2">
      <t>カンリ</t>
    </rPh>
    <rPh sb="2" eb="3">
      <t>シャ</t>
    </rPh>
    <phoneticPr fontId="16"/>
  </si>
  <si>
    <t>生活相談員</t>
    <rPh sb="0" eb="2">
      <t>セイカツ</t>
    </rPh>
    <rPh sb="2" eb="5">
      <t>ソウダンイン</t>
    </rPh>
    <phoneticPr fontId="16"/>
  </si>
  <si>
    <t>介護職員</t>
    <rPh sb="0" eb="2">
      <t>カイゴ</t>
    </rPh>
    <rPh sb="2" eb="4">
      <t>ショクイン</t>
    </rPh>
    <phoneticPr fontId="16"/>
  </si>
  <si>
    <t>VLOOKUP用→</t>
    <rPh sb="7" eb="8">
      <t>ヨウ</t>
    </rPh>
    <phoneticPr fontId="16"/>
  </si>
  <si>
    <t>地域</t>
    <rPh sb="0" eb="2">
      <t>チイキ</t>
    </rPh>
    <phoneticPr fontId="12"/>
  </si>
  <si>
    <t>地域区分</t>
    <rPh sb="0" eb="2">
      <t>チイキ</t>
    </rPh>
    <rPh sb="2" eb="4">
      <t>クブン</t>
    </rPh>
    <phoneticPr fontId="12"/>
  </si>
  <si>
    <t>保険外1.2</t>
    <rPh sb="0" eb="2">
      <t>ホケン</t>
    </rPh>
    <rPh sb="2" eb="3">
      <t>ガイ</t>
    </rPh>
    <phoneticPr fontId="16"/>
  </si>
  <si>
    <t>介護度</t>
    <rPh sb="0" eb="2">
      <t>カイゴ</t>
    </rPh>
    <rPh sb="2" eb="3">
      <t>ド</t>
    </rPh>
    <phoneticPr fontId="12"/>
  </si>
  <si>
    <t>保険外3.4.5</t>
    <rPh sb="0" eb="2">
      <t>ホケン</t>
    </rPh>
    <rPh sb="2" eb="3">
      <t>ガイ</t>
    </rPh>
    <phoneticPr fontId="16"/>
  </si>
  <si>
    <t>種　　　類</t>
  </si>
  <si>
    <t>送迎減算</t>
  </si>
  <si>
    <t>認知症加算</t>
    <rPh sb="0" eb="1">
      <t>シノブ</t>
    </rPh>
    <rPh sb="1" eb="2">
      <t>チ</t>
    </rPh>
    <rPh sb="2" eb="3">
      <t>ショウ</t>
    </rPh>
    <rPh sb="3" eb="4">
      <t>カ</t>
    </rPh>
    <rPh sb="4" eb="5">
      <t>サン</t>
    </rPh>
    <phoneticPr fontId="16"/>
  </si>
  <si>
    <t>若年性認知症利用者受入加算</t>
    <phoneticPr fontId="12"/>
  </si>
  <si>
    <t>中重度者ケア体制加算</t>
    <rPh sb="0" eb="1">
      <t>チュウ</t>
    </rPh>
    <rPh sb="1" eb="3">
      <t>ジュウド</t>
    </rPh>
    <rPh sb="3" eb="4">
      <t>シャ</t>
    </rPh>
    <rPh sb="6" eb="7">
      <t>カラダ</t>
    </rPh>
    <rPh sb="7" eb="8">
      <t>セイ</t>
    </rPh>
    <rPh sb="8" eb="9">
      <t>カ</t>
    </rPh>
    <rPh sb="9" eb="10">
      <t>サン</t>
    </rPh>
    <phoneticPr fontId="16"/>
  </si>
  <si>
    <t>個別機能訓練加算（Ⅰ）</t>
    <rPh sb="0" eb="1">
      <t>コ</t>
    </rPh>
    <rPh sb="1" eb="2">
      <t>ベツ</t>
    </rPh>
    <rPh sb="2" eb="3">
      <t>キ</t>
    </rPh>
    <rPh sb="3" eb="4">
      <t>ノウ</t>
    </rPh>
    <rPh sb="4" eb="5">
      <t>クン</t>
    </rPh>
    <rPh sb="5" eb="6">
      <t>ネリ</t>
    </rPh>
    <rPh sb="6" eb="7">
      <t>カ</t>
    </rPh>
    <rPh sb="7" eb="8">
      <t>カゾ</t>
    </rPh>
    <phoneticPr fontId="12"/>
  </si>
  <si>
    <t>個別機能訓練加算（Ⅱ）</t>
    <rPh sb="0" eb="1">
      <t>コ</t>
    </rPh>
    <rPh sb="1" eb="2">
      <t>ベツ</t>
    </rPh>
    <rPh sb="2" eb="3">
      <t>キ</t>
    </rPh>
    <rPh sb="3" eb="4">
      <t>ノウ</t>
    </rPh>
    <rPh sb="4" eb="5">
      <t>クン</t>
    </rPh>
    <rPh sb="5" eb="6">
      <t>ネリ</t>
    </rPh>
    <rPh sb="6" eb="7">
      <t>カ</t>
    </rPh>
    <rPh sb="7" eb="8">
      <t>カゾ</t>
    </rPh>
    <phoneticPr fontId="12"/>
  </si>
  <si>
    <t>サービス提供体制強化加算（Ⅰ）イ</t>
    <phoneticPr fontId="16"/>
  </si>
  <si>
    <t>サービス提供体制強化加算（Ⅰ）ロ</t>
    <phoneticPr fontId="16"/>
  </si>
  <si>
    <t>サービス提供体制強化加算（Ⅱ）</t>
    <phoneticPr fontId="16"/>
  </si>
  <si>
    <t>栄養改善加算</t>
    <rPh sb="0" eb="1">
      <t>エイ</t>
    </rPh>
    <rPh sb="1" eb="2">
      <t>マモル</t>
    </rPh>
    <rPh sb="2" eb="3">
      <t>カイ</t>
    </rPh>
    <rPh sb="3" eb="4">
      <t>ゼン</t>
    </rPh>
    <rPh sb="4" eb="5">
      <t>カ</t>
    </rPh>
    <rPh sb="5" eb="6">
      <t>サン</t>
    </rPh>
    <phoneticPr fontId="12"/>
  </si>
  <si>
    <t>ＡＤＬ維持等加算（Ⅰ）</t>
    <phoneticPr fontId="16"/>
  </si>
  <si>
    <t>ＡＤＬ維持等加算（Ⅱ）</t>
    <phoneticPr fontId="16"/>
  </si>
  <si>
    <t>生活機能向上連携加算</t>
    <rPh sb="0" eb="2">
      <t>セイカツ</t>
    </rPh>
    <rPh sb="2" eb="4">
      <t>キノウ</t>
    </rPh>
    <rPh sb="4" eb="6">
      <t>コウジョウ</t>
    </rPh>
    <rPh sb="6" eb="8">
      <t>レンケイ</t>
    </rPh>
    <rPh sb="8" eb="10">
      <t>カサン</t>
    </rPh>
    <phoneticPr fontId="16"/>
  </si>
  <si>
    <t>延長加算</t>
    <rPh sb="0" eb="1">
      <t>ノベ</t>
    </rPh>
    <rPh sb="1" eb="2">
      <t>ナガ</t>
    </rPh>
    <rPh sb="2" eb="3">
      <t>カ</t>
    </rPh>
    <rPh sb="3" eb="4">
      <t>サン</t>
    </rPh>
    <phoneticPr fontId="16"/>
  </si>
  <si>
    <t>3時間以上4時間未満</t>
    <phoneticPr fontId="12"/>
  </si>
  <si>
    <t>夜間</t>
    <rPh sb="0" eb="2">
      <t>ヤカン</t>
    </rPh>
    <phoneticPr fontId="16"/>
  </si>
  <si>
    <t>4時間以上5時間未満</t>
    <phoneticPr fontId="16"/>
  </si>
  <si>
    <t>時間外</t>
    <rPh sb="0" eb="3">
      <t>ジカンガイ</t>
    </rPh>
    <phoneticPr fontId="16"/>
  </si>
  <si>
    <t>5時間以上6時間未満</t>
    <rPh sb="1" eb="3">
      <t>ジカン</t>
    </rPh>
    <rPh sb="3" eb="5">
      <t>イジョウ</t>
    </rPh>
    <rPh sb="6" eb="8">
      <t>ジカン</t>
    </rPh>
    <rPh sb="8" eb="10">
      <t>ミマン</t>
    </rPh>
    <phoneticPr fontId="12"/>
  </si>
  <si>
    <t>朝食</t>
    <rPh sb="0" eb="2">
      <t>チョウショク</t>
    </rPh>
    <phoneticPr fontId="16"/>
  </si>
  <si>
    <t>6時間以上7時間未満</t>
    <rPh sb="1" eb="3">
      <t>ジカン</t>
    </rPh>
    <rPh sb="3" eb="5">
      <t>イジョウ</t>
    </rPh>
    <rPh sb="6" eb="8">
      <t>ジカン</t>
    </rPh>
    <rPh sb="8" eb="10">
      <t>ミマン</t>
    </rPh>
    <phoneticPr fontId="12"/>
  </si>
  <si>
    <t>保険外昼食</t>
    <rPh sb="0" eb="2">
      <t>ホケン</t>
    </rPh>
    <rPh sb="2" eb="3">
      <t>ガイ</t>
    </rPh>
    <rPh sb="3" eb="5">
      <t>チュウショク</t>
    </rPh>
    <phoneticPr fontId="16"/>
  </si>
  <si>
    <t>7時間以上8時間未満</t>
    <rPh sb="1" eb="3">
      <t>ジカン</t>
    </rPh>
    <rPh sb="3" eb="5">
      <t>イジョウ</t>
    </rPh>
    <rPh sb="6" eb="8">
      <t>ジカン</t>
    </rPh>
    <rPh sb="8" eb="10">
      <t>ミマン</t>
    </rPh>
    <phoneticPr fontId="12"/>
  </si>
  <si>
    <t>夕食</t>
    <rPh sb="0" eb="2">
      <t>ユウショク</t>
    </rPh>
    <phoneticPr fontId="16"/>
  </si>
  <si>
    <t>8時間以上9時間未満</t>
    <rPh sb="1" eb="3">
      <t>ジカン</t>
    </rPh>
    <rPh sb="3" eb="5">
      <t>イジョウ</t>
    </rPh>
    <rPh sb="6" eb="8">
      <t>ジカン</t>
    </rPh>
    <rPh sb="8" eb="10">
      <t>ミマン</t>
    </rPh>
    <phoneticPr fontId="12"/>
  </si>
  <si>
    <t>おむつ・リハパン</t>
    <phoneticPr fontId="16"/>
  </si>
  <si>
    <t>パッド</t>
    <phoneticPr fontId="16"/>
  </si>
  <si>
    <t>加算体制</t>
    <rPh sb="0" eb="2">
      <t>カサン</t>
    </rPh>
    <rPh sb="2" eb="4">
      <t>タイセイ</t>
    </rPh>
    <phoneticPr fontId="14"/>
  </si>
  <si>
    <t>単位数</t>
    <rPh sb="0" eb="3">
      <t>タンイスウ</t>
    </rPh>
    <phoneticPr fontId="14"/>
  </si>
  <si>
    <t>利用料</t>
    <rPh sb="0" eb="3">
      <t>リヨウリョウ</t>
    </rPh>
    <phoneticPr fontId="14"/>
  </si>
  <si>
    <t>付き添い</t>
    <rPh sb="0" eb="1">
      <t>ツ</t>
    </rPh>
    <rPh sb="2" eb="3">
      <t>ソ</t>
    </rPh>
    <phoneticPr fontId="16"/>
  </si>
  <si>
    <t>ここで個別機能訓練加算を取得しているか判定（生活機能向上連携加算が200単位なのか100単位なのかを算出）</t>
    <rPh sb="3" eb="11">
      <t>コベツキノウクンレンカサン</t>
    </rPh>
    <rPh sb="12" eb="14">
      <t>シュトク</t>
    </rPh>
    <rPh sb="19" eb="21">
      <t>ハンテイ</t>
    </rPh>
    <rPh sb="36" eb="38">
      <t>タンイ</t>
    </rPh>
    <rPh sb="44" eb="46">
      <t>タンイ</t>
    </rPh>
    <rPh sb="50" eb="52">
      <t>サンシュツ</t>
    </rPh>
    <phoneticPr fontId="16"/>
  </si>
  <si>
    <t>若年性認知症利用者受入加算</t>
  </si>
  <si>
    <t>送迎減算</t>
    <rPh sb="0" eb="2">
      <t>ソウゲイ</t>
    </rPh>
    <rPh sb="2" eb="4">
      <t>ゲンサン</t>
    </rPh>
    <phoneticPr fontId="16"/>
  </si>
  <si>
    <t>↓</t>
    <phoneticPr fontId="16"/>
  </si>
  <si>
    <t>（Ⅰ）</t>
    <phoneticPr fontId="16"/>
  </si>
  <si>
    <t>機能訓練指導員が個別機能訓練計画に基づき、計画的に行った個別機能訓練について算定することができます。
利用者が選択した項目ごとにグループに分かれて活動することで、心身の状況に応じた機能訓練が適切に提供されることが要件となります。</t>
    <phoneticPr fontId="16"/>
  </si>
  <si>
    <t>サービス提供体制強化加算（Ⅰ）イ</t>
  </si>
  <si>
    <t>サービス提供体制強化加算（Ⅰ）ロ</t>
  </si>
  <si>
    <t>サービス提供体制強化加算（Ⅱ）</t>
  </si>
  <si>
    <t>ＡＤＬ維持等加算（Ⅰ）</t>
  </si>
  <si>
    <t>ＡＤＬ維持等加算（Ⅱ）</t>
  </si>
  <si>
    <t>（Ⅱ）</t>
    <phoneticPr fontId="16"/>
  </si>
  <si>
    <t>機能訓練指導員が個別機能訓練計画に基づき、計画的に行った個別機能訓練について算定することができます。
ただし、機能訓練指導員から直接訓練の提供を受けた利用者のみが当該加算の算定対象となります。</t>
    <phoneticPr fontId="16"/>
  </si>
  <si>
    <t>（Ⅰ）イ</t>
    <phoneticPr fontId="16"/>
  </si>
  <si>
    <t>（Ⅰ）ロ</t>
    <phoneticPr fontId="16"/>
  </si>
  <si>
    <t>生活保護</t>
    <rPh sb="0" eb="2">
      <t>セイカツ</t>
    </rPh>
    <rPh sb="2" eb="4">
      <t>ホゴ</t>
    </rPh>
    <phoneticPr fontId="12"/>
  </si>
  <si>
    <t>1割負担</t>
    <rPh sb="1" eb="2">
      <t>ワリ</t>
    </rPh>
    <rPh sb="2" eb="4">
      <t>フタン</t>
    </rPh>
    <phoneticPr fontId="12"/>
  </si>
  <si>
    <t>2割負担</t>
    <rPh sb="1" eb="2">
      <t>ワリ</t>
    </rPh>
    <rPh sb="2" eb="4">
      <t>フタン</t>
    </rPh>
    <phoneticPr fontId="12"/>
  </si>
  <si>
    <t>介護職員処遇改善加算（Ⅰ）</t>
    <rPh sb="0" eb="1">
      <t>カイ</t>
    </rPh>
    <rPh sb="1" eb="2">
      <t>マモル</t>
    </rPh>
    <rPh sb="2" eb="3">
      <t>ショク</t>
    </rPh>
    <rPh sb="3" eb="4">
      <t>イン</t>
    </rPh>
    <phoneticPr fontId="12"/>
  </si>
  <si>
    <t>処遇改善加算Ⅰ</t>
    <rPh sb="0" eb="2">
      <t>ショグウ</t>
    </rPh>
    <rPh sb="2" eb="4">
      <t>カイゼン</t>
    </rPh>
    <rPh sb="4" eb="6">
      <t>カサン</t>
    </rPh>
    <phoneticPr fontId="12"/>
  </si>
  <si>
    <t>昼食</t>
    <rPh sb="0" eb="2">
      <t>チュウショク</t>
    </rPh>
    <phoneticPr fontId="16"/>
  </si>
  <si>
    <t>保険外1・2</t>
    <rPh sb="0" eb="2">
      <t>ホケン</t>
    </rPh>
    <rPh sb="2" eb="3">
      <t>ガイ</t>
    </rPh>
    <phoneticPr fontId="16"/>
  </si>
  <si>
    <t>保険外3・4・5</t>
    <rPh sb="0" eb="2">
      <t>ホケン</t>
    </rPh>
    <rPh sb="2" eb="3">
      <t>ガイ</t>
    </rPh>
    <phoneticPr fontId="16"/>
  </si>
  <si>
    <t>介護職員処遇改善加算（Ⅱ）</t>
    <rPh sb="0" eb="1">
      <t>カイ</t>
    </rPh>
    <rPh sb="1" eb="2">
      <t>マモル</t>
    </rPh>
    <rPh sb="2" eb="3">
      <t>ショク</t>
    </rPh>
    <rPh sb="3" eb="4">
      <t>イン</t>
    </rPh>
    <phoneticPr fontId="12"/>
  </si>
  <si>
    <t>処遇改善加算Ⅱ</t>
    <rPh sb="0" eb="2">
      <t>ショグウ</t>
    </rPh>
    <rPh sb="2" eb="4">
      <t>カイゼン</t>
    </rPh>
    <rPh sb="4" eb="6">
      <t>カサン</t>
    </rPh>
    <phoneticPr fontId="12"/>
  </si>
  <si>
    <t>1,200</t>
    <phoneticPr fontId="16"/>
  </si>
  <si>
    <t>2,750</t>
    <phoneticPr fontId="16"/>
  </si>
  <si>
    <t>3,250</t>
    <phoneticPr fontId="16"/>
  </si>
  <si>
    <t>1,300</t>
    <phoneticPr fontId="16"/>
  </si>
  <si>
    <t>1,250</t>
    <phoneticPr fontId="16"/>
  </si>
  <si>
    <t>2,850</t>
    <phoneticPr fontId="16"/>
  </si>
  <si>
    <t>3,350</t>
    <phoneticPr fontId="16"/>
  </si>
  <si>
    <t>1,350</t>
    <phoneticPr fontId="16"/>
  </si>
  <si>
    <t>2,900</t>
    <phoneticPr fontId="16"/>
  </si>
  <si>
    <t>3,400</t>
    <phoneticPr fontId="16"/>
  </si>
  <si>
    <t>1,400</t>
    <phoneticPr fontId="16"/>
  </si>
  <si>
    <t>介護職員処遇改善加算（Ⅲ）</t>
    <rPh sb="0" eb="1">
      <t>カイ</t>
    </rPh>
    <rPh sb="1" eb="2">
      <t>マモル</t>
    </rPh>
    <rPh sb="2" eb="3">
      <t>ショク</t>
    </rPh>
    <rPh sb="3" eb="4">
      <t>イン</t>
    </rPh>
    <phoneticPr fontId="12"/>
  </si>
  <si>
    <t>処遇改善加算Ⅲ</t>
    <rPh sb="0" eb="2">
      <t>ショグウ</t>
    </rPh>
    <rPh sb="2" eb="4">
      <t>カイゼン</t>
    </rPh>
    <rPh sb="4" eb="6">
      <t>カサン</t>
    </rPh>
    <phoneticPr fontId="12"/>
  </si>
  <si>
    <t>1,150</t>
    <phoneticPr fontId="16"/>
  </si>
  <si>
    <t>2,700</t>
    <phoneticPr fontId="16"/>
  </si>
  <si>
    <t>3,200</t>
    <phoneticPr fontId="16"/>
  </si>
  <si>
    <t>2,800</t>
    <phoneticPr fontId="16"/>
  </si>
  <si>
    <t>3,300</t>
    <phoneticPr fontId="16"/>
  </si>
  <si>
    <t>1,100</t>
    <phoneticPr fontId="16"/>
  </si>
  <si>
    <t>2,650</t>
    <phoneticPr fontId="16"/>
  </si>
  <si>
    <t>3,150</t>
    <phoneticPr fontId="16"/>
  </si>
  <si>
    <t>1,050</t>
    <phoneticPr fontId="16"/>
  </si>
  <si>
    <t>2,600</t>
    <phoneticPr fontId="16"/>
  </si>
  <si>
    <t>3,100</t>
    <phoneticPr fontId="16"/>
  </si>
  <si>
    <t>中山間地域等に居住する者へのサービス提供加算</t>
    <phoneticPr fontId="16"/>
  </si>
  <si>
    <t>基本単位数×５／１００</t>
    <rPh sb="0" eb="2">
      <t>キホン</t>
    </rPh>
    <rPh sb="2" eb="5">
      <t>タンイスウ</t>
    </rPh>
    <phoneticPr fontId="16"/>
  </si>
  <si>
    <t>（１ヶ月の利用合計単位数）×　地域単価</t>
    <phoneticPr fontId="16"/>
  </si>
  <si>
    <t>1,000</t>
    <phoneticPr fontId="16"/>
  </si>
  <si>
    <t>2,550</t>
    <phoneticPr fontId="16"/>
  </si>
  <si>
    <t>3,050</t>
    <phoneticPr fontId="16"/>
  </si>
  <si>
    <t>2,500</t>
    <phoneticPr fontId="16"/>
  </si>
  <si>
    <t>3,000</t>
    <phoneticPr fontId="16"/>
  </si>
  <si>
    <t>2,400</t>
    <phoneticPr fontId="16"/>
  </si>
  <si>
    <t>意見箱設置場所</t>
    <rPh sb="0" eb="2">
      <t>イケン</t>
    </rPh>
    <rPh sb="2" eb="3">
      <t>バコ</t>
    </rPh>
    <rPh sb="3" eb="5">
      <t>セッチ</t>
    </rPh>
    <rPh sb="5" eb="7">
      <t>バショ</t>
    </rPh>
    <phoneticPr fontId="16"/>
  </si>
  <si>
    <t>玄関</t>
    <rPh sb="0" eb="2">
      <t>ゲンカン</t>
    </rPh>
    <phoneticPr fontId="16"/>
  </si>
  <si>
    <t>原則、玄関としてください</t>
    <rPh sb="0" eb="2">
      <t>ゲンソク</t>
    </rPh>
    <rPh sb="3" eb="5">
      <t>ゲンカン</t>
    </rPh>
    <phoneticPr fontId="16"/>
  </si>
  <si>
    <t>保険外1.2</t>
  </si>
  <si>
    <t>保険外3.4.5</t>
  </si>
  <si>
    <t>夜間</t>
  </si>
  <si>
    <t>時間外</t>
  </si>
  <si>
    <t>朝食</t>
  </si>
  <si>
    <t>保険外昼食</t>
  </si>
  <si>
    <t>夕食</t>
  </si>
  <si>
    <t>おむつ</t>
  </si>
  <si>
    <t>付き添い</t>
  </si>
  <si>
    <t>パット</t>
    <phoneticPr fontId="16"/>
  </si>
  <si>
    <t>利用料等のお支払方法</t>
    <phoneticPr fontId="16"/>
  </si>
  <si>
    <t>口座振替・振込・現金支払</t>
  </si>
  <si>
    <t>※利用者が選択できるよう設定すること</t>
    <rPh sb="5" eb="7">
      <t>センタク</t>
    </rPh>
    <rPh sb="12" eb="14">
      <t>セッテイ</t>
    </rPh>
    <phoneticPr fontId="16"/>
  </si>
  <si>
    <t>D75のプルダウン用リスト</t>
    <rPh sb="9" eb="10">
      <t>ヨウ</t>
    </rPh>
    <phoneticPr fontId="16"/>
  </si>
  <si>
    <t>生活保護</t>
    <rPh sb="0" eb="2">
      <t>セイカツ</t>
    </rPh>
    <rPh sb="2" eb="4">
      <t>ホゴ</t>
    </rPh>
    <phoneticPr fontId="16"/>
  </si>
  <si>
    <t>口座振替</t>
    <phoneticPr fontId="16"/>
  </si>
  <si>
    <t>1割負担</t>
    <rPh sb="1" eb="2">
      <t>ワリ</t>
    </rPh>
    <rPh sb="2" eb="4">
      <t>フタン</t>
    </rPh>
    <phoneticPr fontId="16"/>
  </si>
  <si>
    <t>住所</t>
    <rPh sb="0" eb="2">
      <t>ジュウショ</t>
    </rPh>
    <phoneticPr fontId="16"/>
  </si>
  <si>
    <t>振込</t>
    <rPh sb="0" eb="2">
      <t>フリコミ</t>
    </rPh>
    <phoneticPr fontId="16"/>
  </si>
  <si>
    <t>2割負担</t>
    <rPh sb="1" eb="2">
      <t>ワリ</t>
    </rPh>
    <rPh sb="2" eb="4">
      <t>フタン</t>
    </rPh>
    <phoneticPr fontId="16"/>
  </si>
  <si>
    <t>電話</t>
    <rPh sb="0" eb="2">
      <t>デンワ</t>
    </rPh>
    <phoneticPr fontId="16"/>
  </si>
  <si>
    <t>相談窓口受付時間</t>
    <rPh sb="0" eb="2">
      <t>ソウダン</t>
    </rPh>
    <rPh sb="2" eb="4">
      <t>マドグチ</t>
    </rPh>
    <rPh sb="4" eb="6">
      <t>ウケツケ</t>
    </rPh>
    <rPh sb="6" eb="8">
      <t>ジカン</t>
    </rPh>
    <phoneticPr fontId="16"/>
  </si>
  <si>
    <t>現金支払</t>
    <rPh sb="0" eb="2">
      <t>ゲンキン</t>
    </rPh>
    <rPh sb="2" eb="4">
      <t>シハライ</t>
    </rPh>
    <phoneticPr fontId="16"/>
  </si>
  <si>
    <t>口座振替・振込</t>
    <rPh sb="5" eb="7">
      <t>フリコミ</t>
    </rPh>
    <phoneticPr fontId="16"/>
  </si>
  <si>
    <t>口座振替・現金支払</t>
    <rPh sb="5" eb="7">
      <t>ゲンキン</t>
    </rPh>
    <rPh sb="7" eb="9">
      <t>シハライ</t>
    </rPh>
    <phoneticPr fontId="16"/>
  </si>
  <si>
    <t>国保連相談窓口</t>
    <rPh sb="0" eb="3">
      <t>コクホレン</t>
    </rPh>
    <rPh sb="3" eb="5">
      <t>ソウダン</t>
    </rPh>
    <rPh sb="5" eb="7">
      <t>マドグチ</t>
    </rPh>
    <phoneticPr fontId="16"/>
  </si>
  <si>
    <t>口座振替・振込・現金支払</t>
    <rPh sb="5" eb="7">
      <t>フリコミ</t>
    </rPh>
    <rPh sb="8" eb="10">
      <t>ゲンキン</t>
    </rPh>
    <rPh sb="10" eb="12">
      <t>シハライ</t>
    </rPh>
    <phoneticPr fontId="16"/>
  </si>
  <si>
    <t>設備名称</t>
  </si>
  <si>
    <t>個数等</t>
  </si>
  <si>
    <t>スプリンクラー</t>
  </si>
  <si>
    <t>防火扉・ｼｬｯﾀｰ</t>
    <phoneticPr fontId="12"/>
  </si>
  <si>
    <t>避難階段</t>
  </si>
  <si>
    <t>屋内消火器</t>
  </si>
  <si>
    <t>自動火災報知機</t>
  </si>
  <si>
    <t>ガス漏れ探知機</t>
  </si>
  <si>
    <t>誘導灯</t>
  </si>
  <si>
    <t>加入損害保険会社名</t>
    <phoneticPr fontId="16"/>
  </si>
  <si>
    <t>加入損害保険名</t>
    <phoneticPr fontId="16"/>
  </si>
  <si>
    <t>附則</t>
    <rPh sb="0" eb="2">
      <t>フソク</t>
    </rPh>
    <phoneticPr fontId="16"/>
  </si>
  <si>
    <t>開設日（施行日）</t>
    <rPh sb="0" eb="3">
      <t>カイセツビ</t>
    </rPh>
    <rPh sb="4" eb="6">
      <t>セコウ</t>
    </rPh>
    <rPh sb="6" eb="7">
      <t>ビ</t>
    </rPh>
    <phoneticPr fontId="16"/>
  </si>
  <si>
    <t>※過去に運営規程を変更した日付を履歴として記載してください。（下が新しい日付になる）</t>
    <rPh sb="1" eb="3">
      <t>カコ</t>
    </rPh>
    <rPh sb="4" eb="6">
      <t>ウンエイ</t>
    </rPh>
    <rPh sb="6" eb="8">
      <t>キテイ</t>
    </rPh>
    <rPh sb="9" eb="11">
      <t>ヘンコウ</t>
    </rPh>
    <rPh sb="13" eb="15">
      <t>ヒヅケ</t>
    </rPh>
    <rPh sb="16" eb="18">
      <t>リレキ</t>
    </rPh>
    <rPh sb="21" eb="23">
      <t>キサイ</t>
    </rPh>
    <rPh sb="31" eb="32">
      <t>シタ</t>
    </rPh>
    <rPh sb="33" eb="34">
      <t>アタラ</t>
    </rPh>
    <rPh sb="36" eb="38">
      <t>ヒヅケ</t>
    </rPh>
    <phoneticPr fontId="16"/>
  </si>
  <si>
    <t>改訂日</t>
    <rPh sb="0" eb="2">
      <t>カイテイ</t>
    </rPh>
    <rPh sb="2" eb="3">
      <t>ビ</t>
    </rPh>
    <phoneticPr fontId="16"/>
  </si>
  <si>
    <t>★事前に把握されている場合ご利用ください★</t>
    <rPh sb="1" eb="3">
      <t>ジゼン</t>
    </rPh>
    <rPh sb="4" eb="6">
      <t>ハアク</t>
    </rPh>
    <rPh sb="11" eb="13">
      <t>バアイ</t>
    </rPh>
    <rPh sb="14" eb="16">
      <t>リヨウ</t>
    </rPh>
    <phoneticPr fontId="16"/>
  </si>
  <si>
    <t>利用者氏名</t>
    <rPh sb="3" eb="5">
      <t>シメイ</t>
    </rPh>
    <phoneticPr fontId="16"/>
  </si>
  <si>
    <t>利用者住所</t>
    <rPh sb="3" eb="5">
      <t>ジュウショ</t>
    </rPh>
    <phoneticPr fontId="16"/>
  </si>
  <si>
    <t>長い場合は必ず２段に分けてください</t>
    <rPh sb="0" eb="1">
      <t>ナガ</t>
    </rPh>
    <rPh sb="2" eb="4">
      <t>バアイ</t>
    </rPh>
    <rPh sb="5" eb="6">
      <t>カナラ</t>
    </rPh>
    <rPh sb="8" eb="9">
      <t>ダン</t>
    </rPh>
    <rPh sb="10" eb="11">
      <t>ワ</t>
    </rPh>
    <phoneticPr fontId="16"/>
  </si>
  <si>
    <t>代理人住所</t>
    <rPh sb="0" eb="3">
      <t>ダイリニン</t>
    </rPh>
    <rPh sb="3" eb="5">
      <t>ジュウショ</t>
    </rPh>
    <phoneticPr fontId="16"/>
  </si>
  <si>
    <t>身元引受人住所</t>
    <rPh sb="0" eb="2">
      <t>ミモト</t>
    </rPh>
    <rPh sb="2" eb="4">
      <t>ヒキウケ</t>
    </rPh>
    <rPh sb="4" eb="5">
      <t>ニン</t>
    </rPh>
    <rPh sb="5" eb="7">
      <t>ジュウショ</t>
    </rPh>
    <phoneticPr fontId="16"/>
  </si>
  <si>
    <t>（地域密着型通所介護）</t>
    <rPh sb="6" eb="7">
      <t>ツウ</t>
    </rPh>
    <rPh sb="7" eb="8">
      <t>ショ</t>
    </rPh>
    <rPh sb="8" eb="9">
      <t>カイ</t>
    </rPh>
    <rPh sb="9" eb="10">
      <t>マモル</t>
    </rPh>
    <phoneticPr fontId="16"/>
  </si>
  <si>
    <t>地域密着型通所介護重要事項説明書</t>
  </si>
  <si>
    <t>１　地域密着型通所介護事業者（法人）の概要</t>
  </si>
  <si>
    <t>名称・法人種別</t>
    <rPh sb="0" eb="2">
      <t>メイショウ</t>
    </rPh>
    <rPh sb="3" eb="5">
      <t>ホウジン</t>
    </rPh>
    <rPh sb="5" eb="7">
      <t>シュベツ</t>
    </rPh>
    <phoneticPr fontId="16"/>
  </si>
  <si>
    <t>・営利法人</t>
    <rPh sb="1" eb="3">
      <t>エイリ</t>
    </rPh>
    <rPh sb="3" eb="5">
      <t>ホウジン</t>
    </rPh>
    <phoneticPr fontId="16"/>
  </si>
  <si>
    <t>代 表 者 名</t>
    <rPh sb="0" eb="1">
      <t>ダイ</t>
    </rPh>
    <rPh sb="2" eb="3">
      <t>ヒョウ</t>
    </rPh>
    <rPh sb="4" eb="5">
      <t>シャ</t>
    </rPh>
    <rPh sb="6" eb="7">
      <t>メイ</t>
    </rPh>
    <phoneticPr fontId="16"/>
  </si>
  <si>
    <t>所在地・連絡先</t>
    <rPh sb="0" eb="3">
      <t>ショザイチ</t>
    </rPh>
    <rPh sb="4" eb="7">
      <t>レンラクサキ</t>
    </rPh>
    <phoneticPr fontId="16"/>
  </si>
  <si>
    <t>（住  所）</t>
    <rPh sb="1" eb="2">
      <t>ジュウ</t>
    </rPh>
    <rPh sb="4" eb="5">
      <t>ショ</t>
    </rPh>
    <phoneticPr fontId="16"/>
  </si>
  <si>
    <t>（電  話）</t>
    <rPh sb="1" eb="2">
      <t>デン</t>
    </rPh>
    <rPh sb="4" eb="5">
      <t>ハナシ</t>
    </rPh>
    <phoneticPr fontId="16"/>
  </si>
  <si>
    <t>（ＦＡＸ）</t>
    <phoneticPr fontId="16"/>
  </si>
  <si>
    <t>２　事業所の概要</t>
    <phoneticPr fontId="16"/>
  </si>
  <si>
    <t>　（１）　</t>
    <phoneticPr fontId="16"/>
  </si>
  <si>
    <t>事業所名称及び事業所番号</t>
    <phoneticPr fontId="16"/>
  </si>
  <si>
    <t>管理者の氏名</t>
    <rPh sb="0" eb="2">
      <t>カンリ</t>
    </rPh>
    <rPh sb="2" eb="3">
      <t>シャ</t>
    </rPh>
    <rPh sb="4" eb="6">
      <t>シメイ</t>
    </rPh>
    <phoneticPr fontId="16"/>
  </si>
  <si>
    <t>利用定員</t>
    <rPh sb="0" eb="2">
      <t>リヨウ</t>
    </rPh>
    <rPh sb="2" eb="4">
      <t>テイイン</t>
    </rPh>
    <phoneticPr fontId="16"/>
  </si>
  <si>
    <t>地 域 密 着 型 通 所 介 護（</t>
    <rPh sb="10" eb="11">
      <t>ツウ</t>
    </rPh>
    <rPh sb="12" eb="13">
      <t>ショ</t>
    </rPh>
    <rPh sb="14" eb="15">
      <t>カイ</t>
    </rPh>
    <rPh sb="16" eb="17">
      <t>マモル</t>
    </rPh>
    <phoneticPr fontId="16"/>
  </si>
  <si>
    <t>名　）</t>
    <rPh sb="0" eb="1">
      <t>メイ</t>
    </rPh>
    <phoneticPr fontId="16"/>
  </si>
  <si>
    <t>　（２）　</t>
    <phoneticPr fontId="16"/>
  </si>
  <si>
    <t>事業所の職員体制</t>
    <phoneticPr fontId="16"/>
  </si>
  <si>
    <t>区分</t>
    <rPh sb="0" eb="2">
      <t>クブン</t>
    </rPh>
    <phoneticPr fontId="16"/>
  </si>
  <si>
    <t>職務の内容</t>
    <rPh sb="0" eb="2">
      <t>ショクム</t>
    </rPh>
    <rPh sb="3" eb="5">
      <t>ナイヨウ</t>
    </rPh>
    <phoneticPr fontId="16"/>
  </si>
  <si>
    <t>常勤専従</t>
    <rPh sb="0" eb="2">
      <t>ジョウキン</t>
    </rPh>
    <rPh sb="2" eb="4">
      <t>センジュウ</t>
    </rPh>
    <phoneticPr fontId="16"/>
  </si>
  <si>
    <t>常勤兼務</t>
    <rPh sb="0" eb="2">
      <t>ジョウキン</t>
    </rPh>
    <rPh sb="2" eb="4">
      <t>ケンム</t>
    </rPh>
    <phoneticPr fontId="16"/>
  </si>
  <si>
    <t>非常勤専従</t>
    <rPh sb="0" eb="1">
      <t>ヒ</t>
    </rPh>
    <rPh sb="1" eb="3">
      <t>ジョウキン</t>
    </rPh>
    <rPh sb="3" eb="5">
      <t>センジュウ</t>
    </rPh>
    <phoneticPr fontId="16"/>
  </si>
  <si>
    <t>非常勤兼務</t>
    <rPh sb="0" eb="1">
      <t>ヒ</t>
    </rPh>
    <rPh sb="1" eb="3">
      <t>ジョウキン</t>
    </rPh>
    <rPh sb="3" eb="5">
      <t>ケンム</t>
    </rPh>
    <phoneticPr fontId="16"/>
  </si>
  <si>
    <t>管　理　者</t>
    <phoneticPr fontId="16"/>
  </si>
  <si>
    <t>事業所の管理</t>
    <rPh sb="0" eb="2">
      <t>ジギョウ</t>
    </rPh>
    <rPh sb="2" eb="3">
      <t>ショ</t>
    </rPh>
    <rPh sb="4" eb="6">
      <t>カンリ</t>
    </rPh>
    <phoneticPr fontId="16"/>
  </si>
  <si>
    <t>相談・生活指導等</t>
    <rPh sb="0" eb="2">
      <t>ソウダン</t>
    </rPh>
    <rPh sb="3" eb="5">
      <t>セイカツ</t>
    </rPh>
    <rPh sb="5" eb="7">
      <t>シドウ</t>
    </rPh>
    <rPh sb="7" eb="8">
      <t>トウ</t>
    </rPh>
    <phoneticPr fontId="16"/>
  </si>
  <si>
    <t>介 護 職 員</t>
    <phoneticPr fontId="16"/>
  </si>
  <si>
    <t>介護全般</t>
    <rPh sb="0" eb="2">
      <t>カイゴ</t>
    </rPh>
    <rPh sb="2" eb="4">
      <t>ゼンパン</t>
    </rPh>
    <phoneticPr fontId="16"/>
  </si>
  <si>
    <t>機能回復訓練等</t>
    <rPh sb="0" eb="2">
      <t>キノウ</t>
    </rPh>
    <rPh sb="2" eb="4">
      <t>カイフク</t>
    </rPh>
    <rPh sb="4" eb="6">
      <t>クンレン</t>
    </rPh>
    <rPh sb="6" eb="7">
      <t>トウ</t>
    </rPh>
    <phoneticPr fontId="16"/>
  </si>
  <si>
    <t>健康管理・その他介護業務等</t>
    <rPh sb="0" eb="2">
      <t>ケンコウ</t>
    </rPh>
    <rPh sb="2" eb="4">
      <t>カンリ</t>
    </rPh>
    <rPh sb="7" eb="8">
      <t>タ</t>
    </rPh>
    <rPh sb="8" eb="10">
      <t>カイゴ</t>
    </rPh>
    <rPh sb="10" eb="12">
      <t>ギョウム</t>
    </rPh>
    <rPh sb="12" eb="13">
      <t>トウ</t>
    </rPh>
    <phoneticPr fontId="16"/>
  </si>
  <si>
    <t>　（３）　</t>
    <phoneticPr fontId="16"/>
  </si>
  <si>
    <t>職員の勤務体制</t>
    <phoneticPr fontId="16"/>
  </si>
  <si>
    <t>従業者の職種</t>
    <rPh sb="0" eb="3">
      <t>ジュウギョウシャ</t>
    </rPh>
    <rPh sb="4" eb="6">
      <t>ショクシュ</t>
    </rPh>
    <phoneticPr fontId="16"/>
  </si>
  <si>
    <t>勤　務　体　制</t>
    <rPh sb="0" eb="1">
      <t>キン</t>
    </rPh>
    <rPh sb="2" eb="3">
      <t>ツトム</t>
    </rPh>
    <rPh sb="4" eb="5">
      <t>カラダ</t>
    </rPh>
    <rPh sb="6" eb="7">
      <t>セイ</t>
    </rPh>
    <phoneticPr fontId="16"/>
  </si>
  <si>
    <t>休　暇</t>
    <rPh sb="0" eb="1">
      <t>キュウ</t>
    </rPh>
    <rPh sb="2" eb="3">
      <t>ヒマ</t>
    </rPh>
    <phoneticPr fontId="16"/>
  </si>
  <si>
    <t>サービス提供時間内に常勤で勤務</t>
    <rPh sb="4" eb="6">
      <t>テイキョウ</t>
    </rPh>
    <rPh sb="6" eb="8">
      <t>ジカン</t>
    </rPh>
    <rPh sb="8" eb="9">
      <t>ナイ</t>
    </rPh>
    <rPh sb="10" eb="12">
      <t>ジョウキン</t>
    </rPh>
    <rPh sb="13" eb="15">
      <t>キンム</t>
    </rPh>
    <phoneticPr fontId="16"/>
  </si>
  <si>
    <t>ローテーション
による</t>
    <phoneticPr fontId="16"/>
  </si>
  <si>
    <t>サービス提供時間と同時間数勤務</t>
    <rPh sb="4" eb="6">
      <t>テイキョウ</t>
    </rPh>
    <rPh sb="6" eb="8">
      <t>ジカン</t>
    </rPh>
    <rPh sb="9" eb="10">
      <t>ドウ</t>
    </rPh>
    <rPh sb="10" eb="12">
      <t>ジカン</t>
    </rPh>
    <rPh sb="12" eb="13">
      <t>スウ</t>
    </rPh>
    <rPh sb="13" eb="15">
      <t>キンム</t>
    </rPh>
    <phoneticPr fontId="16"/>
  </si>
  <si>
    <t>サービス提供時間内に勤務</t>
    <rPh sb="4" eb="6">
      <t>テイキョウ</t>
    </rPh>
    <rPh sb="6" eb="8">
      <t>ジカン</t>
    </rPh>
    <rPh sb="8" eb="9">
      <t>ナイ</t>
    </rPh>
    <rPh sb="10" eb="12">
      <t>キンム</t>
    </rPh>
    <phoneticPr fontId="16"/>
  </si>
  <si>
    <t>　（４）　</t>
    <phoneticPr fontId="16"/>
  </si>
  <si>
    <t>事業の実施地域</t>
    <phoneticPr fontId="16"/>
  </si>
  <si>
    <t>事業の実施地域</t>
    <rPh sb="0" eb="2">
      <t>ジギョウ</t>
    </rPh>
    <rPh sb="3" eb="5">
      <t>ジッシ</t>
    </rPh>
    <rPh sb="5" eb="7">
      <t>チイキ</t>
    </rPh>
    <phoneticPr fontId="16"/>
  </si>
  <si>
    <t>　（５）　</t>
    <phoneticPr fontId="16"/>
  </si>
  <si>
    <t>営業日</t>
    <phoneticPr fontId="16"/>
  </si>
  <si>
    <t>営　業　日</t>
    <rPh sb="0" eb="1">
      <t>エイ</t>
    </rPh>
    <rPh sb="2" eb="3">
      <t>ギョウ</t>
    </rPh>
    <rPh sb="4" eb="5">
      <t>ニチ</t>
    </rPh>
    <phoneticPr fontId="16"/>
  </si>
  <si>
    <t>マスターにて変更</t>
    <rPh sb="6" eb="8">
      <t>ヘンコウ</t>
    </rPh>
    <phoneticPr fontId="16"/>
  </si>
  <si>
    <t>営 業 時 間</t>
    <rPh sb="0" eb="1">
      <t>エイ</t>
    </rPh>
    <rPh sb="2" eb="3">
      <t>ギョウ</t>
    </rPh>
    <rPh sb="4" eb="5">
      <t>ジ</t>
    </rPh>
    <rPh sb="6" eb="7">
      <t>アイダ</t>
    </rPh>
    <phoneticPr fontId="16"/>
  </si>
  <si>
    <t>３　サービスの内容及び費用</t>
    <phoneticPr fontId="16"/>
  </si>
  <si>
    <t>介護保険給付対象サービス</t>
    <phoneticPr fontId="16"/>
  </si>
  <si>
    <t>ア　サービス内容</t>
    <phoneticPr fontId="16"/>
  </si>
  <si>
    <t>種　類</t>
    <rPh sb="0" eb="1">
      <t>シュ</t>
    </rPh>
    <rPh sb="2" eb="3">
      <t>ルイ</t>
    </rPh>
    <phoneticPr fontId="16"/>
  </si>
  <si>
    <t>内　　　　　容</t>
    <rPh sb="0" eb="1">
      <t>ウチ</t>
    </rPh>
    <rPh sb="6" eb="7">
      <t>カタチ</t>
    </rPh>
    <phoneticPr fontId="16"/>
  </si>
  <si>
    <t>食事</t>
    <rPh sb="0" eb="2">
      <t>ショクジ</t>
    </rPh>
    <phoneticPr fontId="16"/>
  </si>
  <si>
    <t>延長加算算定時</t>
    <rPh sb="0" eb="2">
      <t>エンチョウ</t>
    </rPh>
    <rPh sb="2" eb="4">
      <t>カサン</t>
    </rPh>
    <rPh sb="4" eb="6">
      <t>サンテイ</t>
    </rPh>
    <rPh sb="6" eb="7">
      <t>ジ</t>
    </rPh>
    <phoneticPr fontId="16"/>
  </si>
  <si>
    <t>食事（昼食及び延長加算算定時の朝食、夕食）を提供します。</t>
    <phoneticPr fontId="16"/>
  </si>
  <si>
    <t>延長加算未算定時</t>
    <rPh sb="0" eb="2">
      <t>エンチョウ</t>
    </rPh>
    <rPh sb="2" eb="4">
      <t>カサン</t>
    </rPh>
    <rPh sb="4" eb="5">
      <t>ミ</t>
    </rPh>
    <rPh sb="5" eb="7">
      <t>サンテイ</t>
    </rPh>
    <rPh sb="7" eb="8">
      <t>ジ</t>
    </rPh>
    <phoneticPr fontId="16"/>
  </si>
  <si>
    <t>食事（昼食）を提供します。</t>
    <phoneticPr fontId="16"/>
  </si>
  <si>
    <t>入浴</t>
    <rPh sb="0" eb="2">
      <t>ニュウヨク</t>
    </rPh>
    <phoneticPr fontId="16"/>
  </si>
  <si>
    <t>個人浴槽です。</t>
    <phoneticPr fontId="16"/>
  </si>
  <si>
    <t>介助が必要な方には職員が個別対応します。</t>
    <rPh sb="12" eb="14">
      <t>コベツ</t>
    </rPh>
    <phoneticPr fontId="16"/>
  </si>
  <si>
    <t>排泄</t>
    <rPh sb="0" eb="2">
      <t>ハイセツ</t>
    </rPh>
    <phoneticPr fontId="16"/>
  </si>
  <si>
    <t>利用者の状況に応じて適切な排泄介助を行うと共に、排泄の自立についても適切な援助を行います。</t>
  </si>
  <si>
    <t>機能訓練</t>
    <rPh sb="0" eb="2">
      <t>キノウ</t>
    </rPh>
    <rPh sb="2" eb="4">
      <t>クンレン</t>
    </rPh>
    <phoneticPr fontId="16"/>
  </si>
  <si>
    <t>利用者の状況に適した機能訓練を行い、身体機能の低下を防止するよう努めます。</t>
  </si>
  <si>
    <t>生活指導</t>
    <rPh sb="0" eb="2">
      <t>セイカツ</t>
    </rPh>
    <rPh sb="2" eb="4">
      <t>シドウ</t>
    </rPh>
    <phoneticPr fontId="16"/>
  </si>
  <si>
    <t>利用者の生活面での指導・援助を行います。</t>
  </si>
  <si>
    <t>各種レクリエーションや健康体操等を実施します。</t>
    <phoneticPr fontId="16"/>
  </si>
  <si>
    <t>健康チェック</t>
    <rPh sb="0" eb="2">
      <t>ケンコウ</t>
    </rPh>
    <phoneticPr fontId="16"/>
  </si>
  <si>
    <t>血圧測定等利用者の全身状態の把握を行います。</t>
  </si>
  <si>
    <t>相談及び援助</t>
    <rPh sb="0" eb="2">
      <t>ソウダン</t>
    </rPh>
    <rPh sb="2" eb="3">
      <t>オヨ</t>
    </rPh>
    <rPh sb="4" eb="6">
      <t>エンジョ</t>
    </rPh>
    <phoneticPr fontId="16"/>
  </si>
  <si>
    <t>利用者及び家族からの各種ご相談について問題解決に向けて援助いたします。</t>
    <rPh sb="3" eb="4">
      <t>オヨ</t>
    </rPh>
    <rPh sb="27" eb="29">
      <t>エンジョ</t>
    </rPh>
    <phoneticPr fontId="16"/>
  </si>
  <si>
    <t>送迎</t>
    <rPh sb="0" eb="2">
      <t>ソウゲイ</t>
    </rPh>
    <phoneticPr fontId="16"/>
  </si>
  <si>
    <t>自宅から施設内までの送迎を行います。但し、ご希望があれば、利用者家族が行なうことも可能です。</t>
  </si>
  <si>
    <t>イ　費用</t>
    <phoneticPr fontId="16"/>
  </si>
  <si>
    <t>介護保険の適用がある場合は、負担割合証及び料金表別表の通りの負担額となります。</t>
    <rPh sb="14" eb="16">
      <t>フタン</t>
    </rPh>
    <rPh sb="16" eb="18">
      <t>ワリアイ</t>
    </rPh>
    <rPh sb="18" eb="19">
      <t>ショウ</t>
    </rPh>
    <rPh sb="19" eb="20">
      <t>オヨ</t>
    </rPh>
    <phoneticPr fontId="16"/>
  </si>
  <si>
    <t>　利用料等のお支払い方法については</t>
    <phoneticPr fontId="16"/>
  </si>
  <si>
    <t>となります。</t>
    <phoneticPr fontId="16"/>
  </si>
  <si>
    <t>　その他のお支払い方法についてはご相談ください。</t>
    <phoneticPr fontId="16"/>
  </si>
  <si>
    <t>４　事業所の特色等</t>
    <phoneticPr fontId="16"/>
  </si>
  <si>
    <t>　（１）　事業の目的</t>
    <phoneticPr fontId="16"/>
  </si>
  <si>
    <t>笑顔を絶やさず、地域とのかかわりに感謝し、失敗を恐れず、挑む心を忘れず、ともに働く仲間と助け合い、ご利用者・ご家族の人生の一部になる重みを感じ、行動は自信を持って、個々の感情を大切にし、あきらめることなく関わり続ける。
私たちは住み慣れた地域に絆を創造していきます。</t>
    <phoneticPr fontId="16"/>
  </si>
  <si>
    <t>　（２）　運営方針</t>
    <phoneticPr fontId="16"/>
  </si>
  <si>
    <t>①</t>
    <phoneticPr fontId="16"/>
  </si>
  <si>
    <t>わたしたちは、ご利用者を尊敬し、その命を守り、責任を持って介護を行ないます。</t>
    <phoneticPr fontId="16"/>
  </si>
  <si>
    <t>②</t>
    <phoneticPr fontId="16"/>
  </si>
  <si>
    <t>わたしたちは、一人ひとりに「目配り・気配り・心配り」ができる個別ケアに真正面から取り組んでいます。</t>
    <phoneticPr fontId="16"/>
  </si>
  <si>
    <t>③</t>
    <phoneticPr fontId="16"/>
  </si>
  <si>
    <t>わたしたちは、住み慣れた地域社会の中で、尊厳を保ちながら「自分が自分らしくありのまま」に生活できるようにお手伝いします。</t>
    <phoneticPr fontId="16"/>
  </si>
  <si>
    <t>④</t>
    <phoneticPr fontId="16"/>
  </si>
  <si>
    <t>わたしたち職員全員が「介護職人」だと自負し、より質と満足度が高いケアを目指して取り組んでいます。</t>
    <phoneticPr fontId="16"/>
  </si>
  <si>
    <t>⑤</t>
    <phoneticPr fontId="16"/>
  </si>
  <si>
    <t>わたしたちは、「必要な時」に「必要な量」の介護サービスを「必要な地域」で提供し、在宅生活をサポートします。</t>
    <phoneticPr fontId="16"/>
  </si>
  <si>
    <t>⑥</t>
    <phoneticPr fontId="16"/>
  </si>
  <si>
    <t>わたしたちは、誰もが安心して生活できる地域社会づくりに、草の根から貢献します。</t>
    <phoneticPr fontId="16"/>
  </si>
  <si>
    <t>　（３）　その他</t>
    <phoneticPr fontId="16"/>
  </si>
  <si>
    <t>事　　項</t>
    <rPh sb="0" eb="1">
      <t>コト</t>
    </rPh>
    <rPh sb="3" eb="4">
      <t>コウ</t>
    </rPh>
    <phoneticPr fontId="16"/>
  </si>
  <si>
    <t>地域密着型
通所介護計画の
作成及び事後評価</t>
    <rPh sb="0" eb="5">
      <t>チイキミッチャクガタ</t>
    </rPh>
    <rPh sb="10" eb="12">
      <t>ケイカク</t>
    </rPh>
    <rPh sb="14" eb="16">
      <t>サクセイ</t>
    </rPh>
    <rPh sb="16" eb="17">
      <t>オヨ</t>
    </rPh>
    <rPh sb="18" eb="20">
      <t>ジゴ</t>
    </rPh>
    <rPh sb="20" eb="22">
      <t>ヒョウカ</t>
    </rPh>
    <phoneticPr fontId="16"/>
  </si>
  <si>
    <t>当事業所の管理者が、利用者の直面している課題等を評価し、利用者の希望を踏まえて、地域密着型通所介護計画を作成します。
また、サービス提供の目標の達成状況等を評価し、その結果を書面（通所介護モニタリング表）に記載して、利用者に説明の上、交付します。</t>
    <rPh sb="40" eb="45">
      <t>チイキミッチャクガタ</t>
    </rPh>
    <rPh sb="100" eb="101">
      <t>ヒョウ</t>
    </rPh>
    <phoneticPr fontId="16"/>
  </si>
  <si>
    <t>記録の整備及び保管</t>
    <rPh sb="0" eb="2">
      <t>キロク</t>
    </rPh>
    <rPh sb="3" eb="5">
      <t>セイビ</t>
    </rPh>
    <rPh sb="5" eb="6">
      <t>オヨ</t>
    </rPh>
    <rPh sb="7" eb="9">
      <t>ホカン</t>
    </rPh>
    <phoneticPr fontId="16"/>
  </si>
  <si>
    <t>　事業者は、利用者に対する地域密着型通所介護サービスの実施状況等に関する記録を整備し、その完結の日から５年間保存しなければなりません。</t>
    <rPh sb="1" eb="3">
      <t>ジギョウ</t>
    </rPh>
    <rPh sb="3" eb="4">
      <t>モノ</t>
    </rPh>
    <rPh sb="6" eb="8">
      <t>リヨウ</t>
    </rPh>
    <rPh sb="8" eb="9">
      <t>シャ</t>
    </rPh>
    <phoneticPr fontId="16"/>
  </si>
  <si>
    <t>従業員研修</t>
    <rPh sb="0" eb="3">
      <t>ジュウギョウイン</t>
    </rPh>
    <rPh sb="3" eb="5">
      <t>ケンシュウ</t>
    </rPh>
    <phoneticPr fontId="16"/>
  </si>
  <si>
    <t>採用時研修</t>
    <rPh sb="0" eb="3">
      <t>サイヨウジ</t>
    </rPh>
    <rPh sb="3" eb="5">
      <t>ケンシュウ</t>
    </rPh>
    <phoneticPr fontId="16"/>
  </si>
  <si>
    <t>採用後１ヶ月以内</t>
    <rPh sb="0" eb="3">
      <t>サイヨウゴ</t>
    </rPh>
    <rPh sb="5" eb="6">
      <t>ゲツ</t>
    </rPh>
    <rPh sb="6" eb="8">
      <t>イナイ</t>
    </rPh>
    <phoneticPr fontId="16"/>
  </si>
  <si>
    <t>全体研修</t>
    <rPh sb="0" eb="2">
      <t>ゼンタイ</t>
    </rPh>
    <rPh sb="2" eb="4">
      <t>ケンシュウ</t>
    </rPh>
    <phoneticPr fontId="16"/>
  </si>
  <si>
    <t>年２回以上</t>
    <rPh sb="0" eb="1">
      <t>ネン</t>
    </rPh>
    <rPh sb="2" eb="3">
      <t>カイ</t>
    </rPh>
    <rPh sb="3" eb="5">
      <t>イジョウ</t>
    </rPh>
    <phoneticPr fontId="16"/>
  </si>
  <si>
    <t>事業所内研修</t>
    <rPh sb="0" eb="3">
      <t>ジギョウショ</t>
    </rPh>
    <rPh sb="3" eb="4">
      <t>ナイ</t>
    </rPh>
    <rPh sb="4" eb="6">
      <t>ケンシュウ</t>
    </rPh>
    <phoneticPr fontId="16"/>
  </si>
  <si>
    <t>年１２回</t>
    <rPh sb="0" eb="1">
      <t>ネン</t>
    </rPh>
    <rPh sb="3" eb="4">
      <t>カイ</t>
    </rPh>
    <phoneticPr fontId="16"/>
  </si>
  <si>
    <t>５　サービス内容に関する苦情等相談窓口</t>
    <phoneticPr fontId="16"/>
  </si>
  <si>
    <t>当事業所
お 客 様
相談窓口</t>
    <rPh sb="0" eb="1">
      <t>トウ</t>
    </rPh>
    <rPh sb="1" eb="4">
      <t>ジギョウショ</t>
    </rPh>
    <rPh sb="7" eb="8">
      <t>キャク</t>
    </rPh>
    <rPh sb="9" eb="10">
      <t>サマ</t>
    </rPh>
    <rPh sb="11" eb="13">
      <t>ソウダン</t>
    </rPh>
    <rPh sb="13" eb="15">
      <t>マドグチ</t>
    </rPh>
    <phoneticPr fontId="16"/>
  </si>
  <si>
    <t>窓 口 責 任 者</t>
    <phoneticPr fontId="12"/>
  </si>
  <si>
    <t>ご 利 用 時 間</t>
    <phoneticPr fontId="12"/>
  </si>
  <si>
    <t>ご利用方法・</t>
    <phoneticPr fontId="12"/>
  </si>
  <si>
    <t>面接</t>
    <rPh sb="0" eb="2">
      <t>メンセツ</t>
    </rPh>
    <phoneticPr fontId="16"/>
  </si>
  <si>
    <t>（当事業所相談室）</t>
    <phoneticPr fontId="16"/>
  </si>
  <si>
    <t>意見箱</t>
    <rPh sb="0" eb="2">
      <t>イケン</t>
    </rPh>
    <rPh sb="2" eb="3">
      <t>バコ</t>
    </rPh>
    <phoneticPr fontId="16"/>
  </si>
  <si>
    <t>□</t>
    <phoneticPr fontId="16"/>
  </si>
  <si>
    <t>住　　所</t>
    <rPh sb="0" eb="1">
      <t>ジュウ</t>
    </rPh>
    <rPh sb="3" eb="4">
      <t>ショ</t>
    </rPh>
    <phoneticPr fontId="16"/>
  </si>
  <si>
    <t>電　　話</t>
    <rPh sb="0" eb="1">
      <t>デン</t>
    </rPh>
    <rPh sb="3" eb="4">
      <t>ハナシ</t>
    </rPh>
    <phoneticPr fontId="16"/>
  </si>
  <si>
    <t>相談窓口</t>
    <rPh sb="0" eb="2">
      <t>ソウダン</t>
    </rPh>
    <rPh sb="2" eb="4">
      <t>マドグチ</t>
    </rPh>
    <phoneticPr fontId="16"/>
  </si>
  <si>
    <t>国 保 連
相談窓口</t>
    <rPh sb="0" eb="1">
      <t>クニ</t>
    </rPh>
    <rPh sb="2" eb="3">
      <t>ホ</t>
    </rPh>
    <rPh sb="4" eb="5">
      <t>レン</t>
    </rPh>
    <rPh sb="6" eb="8">
      <t>ソウダン</t>
    </rPh>
    <rPh sb="8" eb="10">
      <t>マドグチ</t>
    </rPh>
    <phoneticPr fontId="16"/>
  </si>
  <si>
    <t>６　事故発生時における対応方法</t>
    <phoneticPr fontId="16"/>
  </si>
  <si>
    <t>　事業者は、地域密着型通所介護サービスの提供にあたって、事故が発生した場合には、速やかに利用者家族に連絡を行うとともに、利用者に対して応急措置、医療機関への搬送等必要な措置を講じます。発生した事故は記録に残し、内容によっては基準に基づき、指定権者、居宅介護支援事業所への報告を行います。</t>
    <rPh sb="99" eb="101">
      <t>キロク</t>
    </rPh>
    <rPh sb="102" eb="103">
      <t>ノコ</t>
    </rPh>
    <phoneticPr fontId="16"/>
  </si>
  <si>
    <t>　また、賠償すべき事故が発生した場合に備え、損害保険に加入し速やかにその対応を行います。但し、事業者に故意、過失がない場合はこの限りではありません。当該事故発生につき利用者に重過失がある場合は、損害賠償の額を減額することができます。</t>
  </si>
  <si>
    <t>・加入損害保険会社名：</t>
    <phoneticPr fontId="12"/>
  </si>
  <si>
    <t>・加入損害保険名　　：</t>
    <phoneticPr fontId="12"/>
  </si>
  <si>
    <t>７　緊急時等における対応方法</t>
    <phoneticPr fontId="16"/>
  </si>
  <si>
    <t>　サービス提供中に病状の急変などがあった場合は、救急隊及び契約後に記入いただく「緊急事態に対応するための連絡カード」に記載のある利用者の主治医、緊急事態連絡先、介護支援専門員等へ連絡をします。</t>
  </si>
  <si>
    <t>８　非常災害時の対策</t>
    <phoneticPr fontId="16"/>
  </si>
  <si>
    <t>非常時の対応</t>
    <rPh sb="0" eb="2">
      <t>ヒジョウ</t>
    </rPh>
    <rPh sb="2" eb="3">
      <t>ジ</t>
    </rPh>
    <rPh sb="4" eb="6">
      <t>タイオウ</t>
    </rPh>
    <phoneticPr fontId="16"/>
  </si>
  <si>
    <t>別途定める災害非常時マニュアルに則り対応を行います。</t>
    <rPh sb="16" eb="17">
      <t>ノット</t>
    </rPh>
    <phoneticPr fontId="16"/>
  </si>
  <si>
    <t>防 災 訓 練
及　　び
防 災 設 備</t>
    <rPh sb="0" eb="1">
      <t>ボウ</t>
    </rPh>
    <rPh sb="2" eb="3">
      <t>サイ</t>
    </rPh>
    <rPh sb="4" eb="5">
      <t>クン</t>
    </rPh>
    <rPh sb="6" eb="7">
      <t>レン</t>
    </rPh>
    <rPh sb="8" eb="9">
      <t>オヨ</t>
    </rPh>
    <rPh sb="13" eb="14">
      <t>ボウ</t>
    </rPh>
    <rPh sb="15" eb="16">
      <t>サイ</t>
    </rPh>
    <rPh sb="17" eb="18">
      <t>セツ</t>
    </rPh>
    <rPh sb="19" eb="20">
      <t>ビ</t>
    </rPh>
    <phoneticPr fontId="16"/>
  </si>
  <si>
    <t>別途定める消防計画に則り、年２回総合訓練を行います。</t>
    <rPh sb="10" eb="11">
      <t>ノット</t>
    </rPh>
    <phoneticPr fontId="16"/>
  </si>
  <si>
    <t>防火扉・シャッター</t>
    <phoneticPr fontId="12"/>
  </si>
  <si>
    <t>自動火災報知設備</t>
    <rPh sb="6" eb="8">
      <t>セツビ</t>
    </rPh>
    <phoneticPr fontId="16"/>
  </si>
  <si>
    <t>カーテン、布団等は防炎性能のあるものを使用しています。</t>
    <phoneticPr fontId="12"/>
  </si>
  <si>
    <t>９　高齢者虐待防止について</t>
    <phoneticPr fontId="16"/>
  </si>
  <si>
    <t>　事業者は、利用者等の人権の擁護・虐待の防止のために、次に掲げるとおり必要な措置を講じます。</t>
  </si>
  <si>
    <t>　（１）</t>
    <phoneticPr fontId="16"/>
  </si>
  <si>
    <t>研修等を通じて、従業者の人権意識の向上や知識、技術の向上に努めます。</t>
    <phoneticPr fontId="16"/>
  </si>
  <si>
    <t>　（２）</t>
    <phoneticPr fontId="16"/>
  </si>
  <si>
    <t>個別支援計画の作成など適切な支援の実施に努めます。</t>
    <phoneticPr fontId="16"/>
  </si>
  <si>
    <t>　（３）</t>
    <phoneticPr fontId="16"/>
  </si>
  <si>
    <t>従業者が支援にあたっての悩みや苦労を相談できる体制を整えるほか、従業者が利用者等の権利擁護に取り組める環境の整備に努めます。</t>
    <phoneticPr fontId="16"/>
  </si>
  <si>
    <t>１０　身体的拘束等について</t>
    <rPh sb="5" eb="6">
      <t>テキ</t>
    </rPh>
    <rPh sb="8" eb="9">
      <t>トウ</t>
    </rPh>
    <phoneticPr fontId="16"/>
  </si>
  <si>
    <t>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0" eb="21">
      <t>トウ</t>
    </rPh>
    <phoneticPr fontId="16"/>
  </si>
  <si>
    <t>前項但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します。</t>
    <phoneticPr fontId="16"/>
  </si>
  <si>
    <t>１１　サービス利用に当たっての留意事項</t>
    <phoneticPr fontId="16"/>
  </si>
  <si>
    <t>サービス利用の際には、介護保険被保険者証を提示してください。</t>
    <phoneticPr fontId="16"/>
  </si>
  <si>
    <t>施設内の設備や器具は、本来の用法に従ってご利用ください。これに反したご利用により破損等が生じた場合、弁償していただく場合があります。</t>
    <phoneticPr fontId="16"/>
  </si>
  <si>
    <t>決められた場所以外での喫煙はご遠慮ください。</t>
    <phoneticPr fontId="16"/>
  </si>
  <si>
    <t>他の利用者の迷惑になる行為はご遠慮ください。</t>
  </si>
  <si>
    <t>金品の持ち込みは、ご遠慮ください。</t>
    <rPh sb="3" eb="4">
      <t>モ</t>
    </rPh>
    <rPh sb="5" eb="6">
      <t>コ</t>
    </rPh>
    <rPh sb="10" eb="12">
      <t>エンリョ</t>
    </rPh>
    <phoneticPr fontId="16"/>
  </si>
  <si>
    <t>施設内での他の利用者に対する執拗な宗教活動及び政治活動はご遠慮ください。</t>
  </si>
  <si>
    <t>指定居宅介護支援事業者と居宅サービス計画の作成又は変更に関し、サービスを利用させることの対償として、金品その他の財産上の利益を収受しません。</t>
    <phoneticPr fontId="16"/>
  </si>
  <si>
    <t>１２　秘密保持等の体制及び個人情報に関する基本方針</t>
    <phoneticPr fontId="16"/>
  </si>
  <si>
    <t>秘密保持等の体制</t>
    <phoneticPr fontId="16"/>
  </si>
  <si>
    <t>事業者及びその従業者は、正当な理由なく、その業務上知り得た利用者又は、利用者の家族の秘密を漏らしません。</t>
    <phoneticPr fontId="16"/>
  </si>
  <si>
    <t>事業者は、従業者であった者が、正当な理由なく、業務上知り得た利用者、又は利用者の家族の秘密を漏らすことがないよう、必要な措置を講じます。</t>
    <phoneticPr fontId="16"/>
  </si>
  <si>
    <t>事業者は、指定居宅介護支援事業者等との連携において、利用者の個人の情報を用いる場合は利用者の同意を、利用者の家族の個人情報を用いる場合は当該家族の同意をあらかじめ文書により得ることとします。</t>
    <phoneticPr fontId="16"/>
  </si>
  <si>
    <t>個人情報に関する基本方針</t>
    <phoneticPr fontId="16"/>
  </si>
  <si>
    <t>　事業者は、保有する利用者等の個人情報に関し、適正かつ適切な取扱いをするとともに、広く社会からの信頼を得る為に以下のルール及び体制を確立し、個人情報に関連する法令、その他関係法令及び厚生労働省のガイダンス（以下、「個人情報に関連する法令等」という。）を遵守し、個人情報の保護を図ります。</t>
    <rPh sb="103" eb="105">
      <t>イカ</t>
    </rPh>
    <rPh sb="116" eb="118">
      <t>ホウレイ</t>
    </rPh>
    <rPh sb="118" eb="119">
      <t>トウ</t>
    </rPh>
    <phoneticPr fontId="16"/>
  </si>
  <si>
    <t>個人情報の適切な取得・管理・利用・開示・委託</t>
    <phoneticPr fontId="16"/>
  </si>
  <si>
    <t>　個人情報の取得にあたり、利用目的を明示した上で、必要な範囲の情報を取得し、利用目的を通知または公表し、その範囲内で利用することとします。</t>
    <phoneticPr fontId="16"/>
  </si>
  <si>
    <t>　個人情報の取得・利用・第三者提供にあたり、本人の同意を得ることとします。</t>
    <phoneticPr fontId="16"/>
  </si>
  <si>
    <t>　事業者が委託をする医療・介護関係事業者は、業務の委託にあたり、個人情報に関連する法令等の趣旨を理解し、それに沿った対応を行う事業者を選定し、かつ個人情報に関わる契約を締結した上で情報提供し、委託先への適切な監督をすることとします。</t>
    <phoneticPr fontId="16"/>
  </si>
  <si>
    <t>　（４）</t>
    <phoneticPr fontId="16"/>
  </si>
  <si>
    <t>個人情報の安全性確保の措置</t>
    <phoneticPr fontId="16"/>
  </si>
  <si>
    <t>　事業者は、個人情報保護の取組みを全役職員等に周知徹底させるために、個人情報に関する規則類を整備し、必要な教育を継続的に行うこと。</t>
    <phoneticPr fontId="16"/>
  </si>
  <si>
    <t>　個人情報への不正アクセス、個人情報の漏洩、滅失、または棄損の予防及び訂正のため、事業所内において規則類を整備し安全対策に努めることとします。</t>
    <phoneticPr fontId="16"/>
  </si>
  <si>
    <t>　（５）</t>
    <phoneticPr fontId="16"/>
  </si>
  <si>
    <t>個人情報の開示・訂正・更新・利用停止・削除・第三者提供の停止等への対応</t>
    <phoneticPr fontId="16"/>
  </si>
  <si>
    <t>　事業者は、本人が自己の個人情報について、開示・訂正・更新・利用停止・削除・第三者提供の停止等の申し出がある場合には、速やかに対応することとします。</t>
    <phoneticPr fontId="16"/>
  </si>
  <si>
    <t>　（６）</t>
    <phoneticPr fontId="16"/>
  </si>
  <si>
    <t>苦情の対応</t>
    <phoneticPr fontId="16"/>
  </si>
  <si>
    <t>　事業者は、個人情報取扱に関する苦情に対し、適切かつ迅速に対応することとします。</t>
    <phoneticPr fontId="16"/>
  </si>
  <si>
    <t>　（７）</t>
    <phoneticPr fontId="16"/>
  </si>
  <si>
    <t>個人情報の利用目的</t>
    <phoneticPr fontId="16"/>
  </si>
  <si>
    <t>　事業者が利用者及び、利用者の家族の個人情報を利用する目的は以下の通りとします。</t>
  </si>
  <si>
    <t>通所介護計画作成にあたり、ケアカンファレンス、職員会議等の実施のため</t>
    <phoneticPr fontId="16"/>
  </si>
  <si>
    <t>指定居宅介護支援事業者、医療機関、介護サービス事業者、福祉事業者等との連携（サービス担当者会議）、照会への回答のため</t>
  </si>
  <si>
    <t>利用の有無、利用時の様子に関する利用者の家族等への心身状況説明のため</t>
  </si>
  <si>
    <t>介護事故、緊急時等の対応及び報告のため</t>
  </si>
  <si>
    <t>介護保険事務（請求処理、会計処理等）</t>
  </si>
  <si>
    <t>損害賠償保険等に関わる保険会社等への相談または届出等</t>
  </si>
  <si>
    <t>⑦</t>
    <phoneticPr fontId="16"/>
  </si>
  <si>
    <t>行政等外部監査機関、評価機関等への情報提供</t>
    <phoneticPr fontId="16"/>
  </si>
  <si>
    <t>⑧</t>
    <phoneticPr fontId="16"/>
  </si>
  <si>
    <t>上記各号に関わらず、緊急を要する時の連絡等の場合</t>
  </si>
  <si>
    <t>事業所は、その運営について、暴力団員の支配を受けません。</t>
  </si>
  <si>
    <t>（以下、余白。）</t>
    <rPh sb="1" eb="3">
      <t>イカ</t>
    </rPh>
    <rPh sb="4" eb="6">
      <t>ヨハク</t>
    </rPh>
    <phoneticPr fontId="16"/>
  </si>
  <si>
    <t>　　　　　　</t>
    <phoneticPr fontId="16"/>
  </si>
  <si>
    <t>事業者　</t>
    <phoneticPr fontId="16"/>
  </si>
  <si>
    <t>住　　所</t>
    <rPh sb="0" eb="1">
      <t>ジュウ</t>
    </rPh>
    <rPh sb="3" eb="4">
      <t>ショ</t>
    </rPh>
    <phoneticPr fontId="12"/>
  </si>
  <si>
    <t>事業者名</t>
    <rPh sb="0" eb="3">
      <t>ジギョウシャ</t>
    </rPh>
    <rPh sb="3" eb="4">
      <t>メイ</t>
    </rPh>
    <phoneticPr fontId="12"/>
  </si>
  <si>
    <t>代表者名</t>
    <rPh sb="0" eb="3">
      <t>ダイヒョウシャ</t>
    </rPh>
    <rPh sb="3" eb="4">
      <t>メイ</t>
    </rPh>
    <phoneticPr fontId="12"/>
  </si>
  <si>
    <t>㊞</t>
    <phoneticPr fontId="16"/>
  </si>
  <si>
    <t>説明者</t>
    <rPh sb="0" eb="3">
      <t>セツメイシャ</t>
    </rPh>
    <phoneticPr fontId="16"/>
  </si>
  <si>
    <t>説明者名</t>
    <rPh sb="0" eb="3">
      <t>セツメイシャ</t>
    </rPh>
    <rPh sb="3" eb="4">
      <t>メイ</t>
    </rPh>
    <phoneticPr fontId="16"/>
  </si>
  <si>
    <t>利用者　</t>
  </si>
  <si>
    <t>氏　　名</t>
    <rPh sb="0" eb="1">
      <t>シ</t>
    </rPh>
    <rPh sb="3" eb="4">
      <t>メイ</t>
    </rPh>
    <phoneticPr fontId="16"/>
  </si>
  <si>
    <t>代理人</t>
    <phoneticPr fontId="16"/>
  </si>
  <si>
    <t>（又は、家族代表）</t>
  </si>
  <si>
    <t>（続柄：</t>
    <rPh sb="1" eb="3">
      <t>ツヅキガラ</t>
    </rPh>
    <phoneticPr fontId="16"/>
  </si>
  <si>
    <t>）</t>
    <phoneticPr fontId="16"/>
  </si>
  <si>
    <t>※下記の金額表記は、右記地域単価を乗じたものである。</t>
    <phoneticPr fontId="16"/>
  </si>
  <si>
    <t>地域単価</t>
    <rPh sb="0" eb="2">
      <t>チイキ</t>
    </rPh>
    <rPh sb="2" eb="4">
      <t>タンカ</t>
    </rPh>
    <phoneticPr fontId="12"/>
  </si>
  <si>
    <t>（地域密着型通所介護）</t>
    <phoneticPr fontId="16"/>
  </si>
  <si>
    <t>３時間以上４時間未満</t>
    <rPh sb="1" eb="3">
      <t>ジカン</t>
    </rPh>
    <rPh sb="3" eb="5">
      <t>イジョウ</t>
    </rPh>
    <rPh sb="6" eb="8">
      <t>ジカン</t>
    </rPh>
    <rPh sb="8" eb="10">
      <t>ミマン</t>
    </rPh>
    <phoneticPr fontId="16"/>
  </si>
  <si>
    <t>単位数</t>
    <rPh sb="0" eb="3">
      <t>タンイスウ</t>
    </rPh>
    <phoneticPr fontId="16"/>
  </si>
  <si>
    <t>利用料金</t>
    <rPh sb="0" eb="2">
      <t>リヨウ</t>
    </rPh>
    <rPh sb="2" eb="4">
      <t>リョウキン</t>
    </rPh>
    <phoneticPr fontId="16"/>
  </si>
  <si>
    <t>１割</t>
    <rPh sb="1" eb="2">
      <t>ワ</t>
    </rPh>
    <phoneticPr fontId="16"/>
  </si>
  <si>
    <t>２割</t>
    <rPh sb="1" eb="2">
      <t>ワリ</t>
    </rPh>
    <phoneticPr fontId="16"/>
  </si>
  <si>
    <t>３割</t>
    <rPh sb="1" eb="2">
      <t>ワリ</t>
    </rPh>
    <phoneticPr fontId="16"/>
  </si>
  <si>
    <t>要介護１</t>
    <rPh sb="0" eb="1">
      <t>ヨウ</t>
    </rPh>
    <rPh sb="1" eb="3">
      <t>カイゴ</t>
    </rPh>
    <phoneticPr fontId="16"/>
  </si>
  <si>
    <t>要介護２</t>
    <rPh sb="0" eb="1">
      <t>ヨウ</t>
    </rPh>
    <rPh sb="1" eb="3">
      <t>カイゴ</t>
    </rPh>
    <phoneticPr fontId="16"/>
  </si>
  <si>
    <t>要介護３</t>
    <rPh sb="0" eb="1">
      <t>ヨウ</t>
    </rPh>
    <rPh sb="1" eb="3">
      <t>カイゴ</t>
    </rPh>
    <phoneticPr fontId="16"/>
  </si>
  <si>
    <t>要介護４</t>
    <rPh sb="0" eb="1">
      <t>ヨウ</t>
    </rPh>
    <rPh sb="1" eb="3">
      <t>カイゴ</t>
    </rPh>
    <phoneticPr fontId="16"/>
  </si>
  <si>
    <t>要介護５</t>
    <rPh sb="0" eb="1">
      <t>ヨウ</t>
    </rPh>
    <rPh sb="1" eb="3">
      <t>カイゴ</t>
    </rPh>
    <phoneticPr fontId="16"/>
  </si>
  <si>
    <t>４時間以上５時間未満</t>
    <rPh sb="1" eb="3">
      <t>ジカン</t>
    </rPh>
    <rPh sb="3" eb="5">
      <t>イジョウ</t>
    </rPh>
    <rPh sb="6" eb="8">
      <t>ジカン</t>
    </rPh>
    <rPh sb="8" eb="10">
      <t>ミマン</t>
    </rPh>
    <phoneticPr fontId="16"/>
  </si>
  <si>
    <t>５時間以上６時間未満</t>
    <rPh sb="1" eb="3">
      <t>ジカン</t>
    </rPh>
    <rPh sb="3" eb="5">
      <t>イジョウ</t>
    </rPh>
    <rPh sb="6" eb="8">
      <t>ジカン</t>
    </rPh>
    <rPh sb="8" eb="10">
      <t>ミマン</t>
    </rPh>
    <phoneticPr fontId="16"/>
  </si>
  <si>
    <t>６時間以上７時間未満</t>
    <rPh sb="1" eb="3">
      <t>ジカン</t>
    </rPh>
    <rPh sb="3" eb="5">
      <t>イジョウ</t>
    </rPh>
    <rPh sb="6" eb="8">
      <t>ジカン</t>
    </rPh>
    <rPh sb="8" eb="10">
      <t>ミマン</t>
    </rPh>
    <phoneticPr fontId="16"/>
  </si>
  <si>
    <t>７時間以上８時間未満</t>
    <rPh sb="1" eb="3">
      <t>ジカン</t>
    </rPh>
    <rPh sb="3" eb="5">
      <t>イジョウ</t>
    </rPh>
    <rPh sb="6" eb="8">
      <t>ジカン</t>
    </rPh>
    <rPh sb="8" eb="10">
      <t>ミマン</t>
    </rPh>
    <phoneticPr fontId="16"/>
  </si>
  <si>
    <t>８時間以上９時間未満</t>
    <rPh sb="1" eb="3">
      <t>ジカン</t>
    </rPh>
    <rPh sb="3" eb="5">
      <t>イジョウ</t>
    </rPh>
    <rPh sb="6" eb="8">
      <t>ジカン</t>
    </rPh>
    <rPh sb="8" eb="10">
      <t>ミマン</t>
    </rPh>
    <phoneticPr fontId="16"/>
  </si>
  <si>
    <t>○減算</t>
    <phoneticPr fontId="16"/>
  </si>
  <si>
    <t>送迎減算（片道）</t>
    <rPh sb="5" eb="6">
      <t>カタ</t>
    </rPh>
    <rPh sb="6" eb="7">
      <t>ミチ</t>
    </rPh>
    <phoneticPr fontId="16"/>
  </si>
  <si>
    <t>○加算</t>
    <phoneticPr fontId="16"/>
  </si>
  <si>
    <t>体制</t>
    <rPh sb="0" eb="2">
      <t>タイセイ</t>
    </rPh>
    <phoneticPr fontId="16"/>
  </si>
  <si>
    <t>種　　　類</t>
    <phoneticPr fontId="16"/>
  </si>
  <si>
    <t>体制</t>
    <phoneticPr fontId="16"/>
  </si>
  <si>
    <t>利用料金</t>
    <phoneticPr fontId="16"/>
  </si>
  <si>
    <t>左の単位数×地域単価</t>
    <rPh sb="0" eb="1">
      <t>ヒダリ</t>
    </rPh>
    <rPh sb="2" eb="5">
      <t>タンイスウ</t>
    </rPh>
    <rPh sb="6" eb="8">
      <t>チイキ</t>
    </rPh>
    <rPh sb="8" eb="10">
      <t>タンカ</t>
    </rPh>
    <phoneticPr fontId="16"/>
  </si>
  <si>
    <t>基本単位数×5／100</t>
    <phoneticPr fontId="16"/>
  </si>
  <si>
    <t>・</t>
    <phoneticPr fontId="16"/>
  </si>
  <si>
    <t>上記料金算定の基本となる時間は、実際にサービス提供に要した時間ではなく、利用者の居宅サービス計画に定められたサービスにかかる標準的な時間を基準とします。</t>
    <phoneticPr fontId="16"/>
  </si>
  <si>
    <t>介護保険での給付の範囲を超えたサービス利用の利用料金は、事業者が別に設定し、全額が利用者の自己負担となりますのでご相談ください。</t>
    <phoneticPr fontId="16"/>
  </si>
  <si>
    <t>介護保険適用の場合でも、保険料の滞納等により、事業者に直接介護保険給付が行われない場合があります。</t>
    <phoneticPr fontId="16"/>
  </si>
  <si>
    <t>その場合、利用者は料金表の利用料金全額をお支払いください。利用料のお支払いと引き換えにサービス提供証明書と領収証を発行します。発行されたサービス提供証明書と領収書を保険者介護保険窓口に持参すると、必要な手続きを行った後に法定の介護給付費分が返還されます。</t>
    <rPh sb="98" eb="100">
      <t>ヒツヨウ</t>
    </rPh>
    <rPh sb="101" eb="103">
      <t>テツヅ</t>
    </rPh>
    <rPh sb="105" eb="106">
      <t>オコナ</t>
    </rPh>
    <rPh sb="108" eb="109">
      <t>アト</t>
    </rPh>
    <phoneticPr fontId="16"/>
  </si>
  <si>
    <t>2014.10.16　「必要な手続きを行った後に」追記</t>
    <rPh sb="12" eb="14">
      <t>ヒツヨウ</t>
    </rPh>
    <rPh sb="15" eb="17">
      <t>テツヅ</t>
    </rPh>
    <rPh sb="19" eb="20">
      <t>オコナ</t>
    </rPh>
    <rPh sb="22" eb="23">
      <t>アト</t>
    </rPh>
    <rPh sb="25" eb="27">
      <t>ツイキ</t>
    </rPh>
    <phoneticPr fontId="16"/>
  </si>
  <si>
    <t>【利用料金の計算方法】</t>
    <rPh sb="1" eb="3">
      <t>リヨウ</t>
    </rPh>
    <rPh sb="3" eb="5">
      <t>リョウキン</t>
    </rPh>
    <rPh sb="6" eb="8">
      <t>ケイサン</t>
    </rPh>
    <rPh sb="8" eb="10">
      <t>ホウホウ</t>
    </rPh>
    <phoneticPr fontId="15"/>
  </si>
  <si>
    <t>　上記計算方法により、算出された金額から法定の介護給付費を引いた金額が自己負担となります。</t>
    <rPh sb="1" eb="3">
      <t>ジョウキ</t>
    </rPh>
    <rPh sb="3" eb="5">
      <t>ケイサン</t>
    </rPh>
    <rPh sb="5" eb="7">
      <t>ホウホウ</t>
    </rPh>
    <rPh sb="11" eb="13">
      <t>サンシュツ</t>
    </rPh>
    <rPh sb="16" eb="18">
      <t>キンガク</t>
    </rPh>
    <rPh sb="20" eb="22">
      <t>ホウテイ</t>
    </rPh>
    <rPh sb="23" eb="25">
      <t>カイゴ</t>
    </rPh>
    <rPh sb="25" eb="27">
      <t>キュウフ</t>
    </rPh>
    <rPh sb="27" eb="28">
      <t>ヒ</t>
    </rPh>
    <rPh sb="29" eb="30">
      <t>ヒ</t>
    </rPh>
    <rPh sb="32" eb="34">
      <t>キンガク</t>
    </rPh>
    <rPh sb="35" eb="37">
      <t>ジコ</t>
    </rPh>
    <rPh sb="37" eb="39">
      <t>フタン</t>
    </rPh>
    <phoneticPr fontId="15"/>
  </si>
  <si>
    <t>介護保険給付対象外サービス</t>
    <phoneticPr fontId="16"/>
  </si>
  <si>
    <t>食費</t>
    <phoneticPr fontId="16"/>
  </si>
  <si>
    <t>延長加算算定時は、右記文言が入る</t>
    <rPh sb="0" eb="2">
      <t>エンチョウ</t>
    </rPh>
    <rPh sb="2" eb="4">
      <t>カサン</t>
    </rPh>
    <rPh sb="4" eb="6">
      <t>サンテイ</t>
    </rPh>
    <rPh sb="6" eb="7">
      <t>ジ</t>
    </rPh>
    <rPh sb="9" eb="11">
      <t>ウキ</t>
    </rPh>
    <rPh sb="11" eb="13">
      <t>モンゴン</t>
    </rPh>
    <rPh sb="14" eb="15">
      <t>ハイ</t>
    </rPh>
    <phoneticPr fontId="16"/>
  </si>
  <si>
    <t>→</t>
    <phoneticPr fontId="16"/>
  </si>
  <si>
    <t>おむつ代</t>
    <phoneticPr fontId="16"/>
  </si>
  <si>
    <t>　おむつ等を使用される方は、以下の通り料金がかかります。</t>
    <rPh sb="4" eb="5">
      <t>ナド</t>
    </rPh>
    <rPh sb="14" eb="16">
      <t>イカ</t>
    </rPh>
    <rPh sb="17" eb="18">
      <t>トオ</t>
    </rPh>
    <rPh sb="19" eb="21">
      <t>リョウキン</t>
    </rPh>
    <phoneticPr fontId="16"/>
  </si>
  <si>
    <t>　おむつ・リハビリパンツ</t>
    <phoneticPr fontId="16"/>
  </si>
  <si>
    <t>　パッド</t>
  </si>
  <si>
    <t>その他の費用</t>
    <phoneticPr fontId="16"/>
  </si>
  <si>
    <t>　地域密着型通所介護サービスの中で提供される便宜のうち、利用者の希望により通常のサービス提供の範囲を超える保険外の費用は、サービス提供の範囲を超えた時点から利用者の負担となります。</t>
    <rPh sb="74" eb="76">
      <t>ジテン</t>
    </rPh>
    <phoneticPr fontId="16"/>
  </si>
  <si>
    <t>キャンセル料</t>
    <phoneticPr fontId="16"/>
  </si>
  <si>
    <t>　正当な理由がある場合に限り、無料です。</t>
    <rPh sb="1" eb="3">
      <t>セイトウ</t>
    </rPh>
    <rPh sb="4" eb="6">
      <t>リユウ</t>
    </rPh>
    <rPh sb="9" eb="11">
      <t>バアイ</t>
    </rPh>
    <rPh sb="12" eb="13">
      <t>カギ</t>
    </rPh>
    <rPh sb="15" eb="17">
      <t>ムリョウ</t>
    </rPh>
    <phoneticPr fontId="16"/>
  </si>
  <si>
    <t>2014.10.16　「正当な理由がある場合に限り、」追加</t>
    <rPh sb="12" eb="14">
      <t>セイトウ</t>
    </rPh>
    <rPh sb="15" eb="17">
      <t>リユウ</t>
    </rPh>
    <rPh sb="20" eb="22">
      <t>バアイ</t>
    </rPh>
    <rPh sb="23" eb="24">
      <t>カギ</t>
    </rPh>
    <rPh sb="27" eb="29">
      <t>ツイカ</t>
    </rPh>
    <phoneticPr fontId="16"/>
  </si>
  <si>
    <t>【加算等の概要】</t>
    <rPh sb="1" eb="3">
      <t>カサン</t>
    </rPh>
    <rPh sb="3" eb="4">
      <t>トウ</t>
    </rPh>
    <rPh sb="5" eb="7">
      <t>ガイヨウ</t>
    </rPh>
    <phoneticPr fontId="15"/>
  </si>
  <si>
    <t>○減算</t>
    <rPh sb="1" eb="2">
      <t>ゲン</t>
    </rPh>
    <phoneticPr fontId="16"/>
  </si>
  <si>
    <t>送迎を実施していない場合(利用者が自ら通う場合、家族が送迎を行う場合等の事業所が送迎を実施していない場合)に減算の対象となります。</t>
  </si>
  <si>
    <t>入浴中の利用者の観察を含む、介助を行う場合に算定されます。観察とは、利用者の自立支援や日常生活動作能力などの向上のための見守り的な援助であり、極力利用者自身の力で入浴できるように、必要に応じて介助、転倒予防のための声がけ、気分の確認などを行います。結果として、身体に直接接触する介助を行わなかった場合でも、加算の対象になります。</t>
  </si>
  <si>
    <t>若年性認知症患者やその家族を支援するため、本人や家族の希望を組み込んだ介護サービスが提供します。若年性認知症患者一人ひとりの状態に応じたサービスや環境を整え個別の担当者を設けることで加算の対象になります。</t>
    <rPh sb="78" eb="80">
      <t>コベツ</t>
    </rPh>
    <rPh sb="81" eb="83">
      <t>タントウ</t>
    </rPh>
    <rPh sb="83" eb="84">
      <t>シャ</t>
    </rPh>
    <rPh sb="85" eb="86">
      <t>モウ</t>
    </rPh>
    <rPh sb="91" eb="93">
      <t>カサン</t>
    </rPh>
    <rPh sb="94" eb="96">
      <t>タイショウ</t>
    </rPh>
    <phoneticPr fontId="16"/>
  </si>
  <si>
    <t>介護職員の総数のうち、介護福祉士の占める割合が１００分の５０以上である場合に加算の対象となります。</t>
    <phoneticPr fontId="16"/>
  </si>
  <si>
    <t>言語聴覚士、歯科衛生士又は看護職員を配置し、利用者の口腔機能を利用開始時に把握し、職員が共同して、利用者ごとの口腔機能改善管理指導計画の作成・記録・評価を行った場合に、１月に２回を限度として加算の対象となります。</t>
    <rPh sb="0" eb="5">
      <t>ゲンゴチョウカクシ</t>
    </rPh>
    <rPh sb="6" eb="8">
      <t>シカ</t>
    </rPh>
    <rPh sb="8" eb="11">
      <t>エイセイシ</t>
    </rPh>
    <rPh sb="11" eb="12">
      <t>マタ</t>
    </rPh>
    <rPh sb="13" eb="15">
      <t>カンゴ</t>
    </rPh>
    <rPh sb="15" eb="17">
      <t>ショクイン</t>
    </rPh>
    <rPh sb="18" eb="20">
      <t>ハイチ</t>
    </rPh>
    <rPh sb="26" eb="28">
      <t>コウクウ</t>
    </rPh>
    <rPh sb="28" eb="30">
      <t>キノウ</t>
    </rPh>
    <rPh sb="31" eb="33">
      <t>リヨウ</t>
    </rPh>
    <rPh sb="33" eb="35">
      <t>カイシ</t>
    </rPh>
    <rPh sb="35" eb="36">
      <t>ジ</t>
    </rPh>
    <rPh sb="37" eb="39">
      <t>ハアク</t>
    </rPh>
    <rPh sb="41" eb="43">
      <t>ショクイン</t>
    </rPh>
    <rPh sb="44" eb="46">
      <t>キョウドウ</t>
    </rPh>
    <rPh sb="55" eb="57">
      <t>コウクウ</t>
    </rPh>
    <rPh sb="57" eb="59">
      <t>キノウ</t>
    </rPh>
    <rPh sb="59" eb="61">
      <t>カイゼン</t>
    </rPh>
    <rPh sb="61" eb="63">
      <t>カンリ</t>
    </rPh>
    <rPh sb="63" eb="65">
      <t>シドウ</t>
    </rPh>
    <rPh sb="65" eb="67">
      <t>ケイカク</t>
    </rPh>
    <rPh sb="68" eb="70">
      <t>サクセイ</t>
    </rPh>
    <rPh sb="71" eb="73">
      <t>キロク</t>
    </rPh>
    <rPh sb="74" eb="76">
      <t>ヒョウカ</t>
    </rPh>
    <rPh sb="77" eb="78">
      <t>オコナ</t>
    </rPh>
    <rPh sb="80" eb="82">
      <t>バアイ</t>
    </rPh>
    <rPh sb="85" eb="86">
      <t>ツキ</t>
    </rPh>
    <rPh sb="88" eb="89">
      <t>カイ</t>
    </rPh>
    <rPh sb="90" eb="92">
      <t>ゲンド</t>
    </rPh>
    <rPh sb="95" eb="97">
      <t>カサン</t>
    </rPh>
    <rPh sb="98" eb="100">
      <t>タイショウ</t>
    </rPh>
    <phoneticPr fontId="16"/>
  </si>
  <si>
    <t>負担割合</t>
    <rPh sb="0" eb="2">
      <t>フタン</t>
    </rPh>
    <rPh sb="2" eb="4">
      <t>ワリアイ</t>
    </rPh>
    <phoneticPr fontId="12"/>
  </si>
  <si>
    <t>地域密着型通所介護利用料金目安表（サービス内容説明書）</t>
    <phoneticPr fontId="12"/>
  </si>
  <si>
    <t>１割負担</t>
    <rPh sb="1" eb="2">
      <t>ワリ</t>
    </rPh>
    <rPh sb="2" eb="4">
      <t>フタン</t>
    </rPh>
    <phoneticPr fontId="117"/>
  </si>
  <si>
    <t>←プルダウンから選択してください
　※手書きしたい場合は入力しないでください</t>
    <rPh sb="8" eb="10">
      <t>センタク</t>
    </rPh>
    <rPh sb="19" eb="21">
      <t>テガ</t>
    </rPh>
    <rPh sb="25" eb="27">
      <t>バアイ</t>
    </rPh>
    <rPh sb="28" eb="30">
      <t>ニュウリョク</t>
    </rPh>
    <phoneticPr fontId="12"/>
  </si>
  <si>
    <t>※週間/月間のどちらにでもお使いいただけます</t>
    <rPh sb="1" eb="3">
      <t>シュウカン</t>
    </rPh>
    <rPh sb="4" eb="6">
      <t>ゲッカン</t>
    </rPh>
    <rPh sb="14" eb="15">
      <t>ツカ</t>
    </rPh>
    <phoneticPr fontId="12"/>
  </si>
  <si>
    <t>要介護度</t>
    <rPh sb="0" eb="3">
      <t>ヨウカイゴ</t>
    </rPh>
    <rPh sb="3" eb="4">
      <t>ド</t>
    </rPh>
    <phoneticPr fontId="12"/>
  </si>
  <si>
    <t>当事業所の体制</t>
    <rPh sb="0" eb="1">
      <t>トウ</t>
    </rPh>
    <rPh sb="1" eb="4">
      <t>ジギョウショ</t>
    </rPh>
    <rPh sb="5" eb="7">
      <t>タイセイ</t>
    </rPh>
    <phoneticPr fontId="12"/>
  </si>
  <si>
    <t>生活保護</t>
    <rPh sb="0" eb="2">
      <t>セイカツ</t>
    </rPh>
    <rPh sb="2" eb="4">
      <t>ホゴ</t>
    </rPh>
    <phoneticPr fontId="117"/>
  </si>
  <si>
    <t>１０割</t>
    <rPh sb="2" eb="3">
      <t>ワリ</t>
    </rPh>
    <phoneticPr fontId="12"/>
  </si>
  <si>
    <t>９割</t>
    <rPh sb="1" eb="2">
      <t>ワリ</t>
    </rPh>
    <phoneticPr fontId="12"/>
  </si>
  <si>
    <t>要介護１</t>
    <rPh sb="0" eb="1">
      <t>ヨウ</t>
    </rPh>
    <rPh sb="1" eb="3">
      <t>カイゴ</t>
    </rPh>
    <phoneticPr fontId="12"/>
  </si>
  <si>
    <t>２割負担</t>
    <rPh sb="1" eb="2">
      <t>ワリ</t>
    </rPh>
    <rPh sb="2" eb="4">
      <t>フタン</t>
    </rPh>
    <phoneticPr fontId="117"/>
  </si>
  <si>
    <t>８割</t>
    <rPh sb="1" eb="2">
      <t>ワリ</t>
    </rPh>
    <phoneticPr fontId="12"/>
  </si>
  <si>
    <t>３割負担</t>
    <rPh sb="1" eb="2">
      <t>ワリ</t>
    </rPh>
    <rPh sb="2" eb="4">
      <t>フタン</t>
    </rPh>
    <phoneticPr fontId="117"/>
  </si>
  <si>
    <t>７割</t>
    <rPh sb="1" eb="2">
      <t>ワリ</t>
    </rPh>
    <phoneticPr fontId="12"/>
  </si>
  <si>
    <t>No.</t>
    <phoneticPr fontId="12"/>
  </si>
  <si>
    <t>サービス内容</t>
    <rPh sb="4" eb="6">
      <t>ナイヨウ</t>
    </rPh>
    <phoneticPr fontId="12"/>
  </si>
  <si>
    <t>算定項目</t>
    <phoneticPr fontId="12"/>
  </si>
  <si>
    <t>単位数</t>
    <rPh sb="0" eb="3">
      <t>タンイスウ</t>
    </rPh>
    <phoneticPr fontId="12"/>
  </si>
  <si>
    <t>カウント</t>
    <phoneticPr fontId="12"/>
  </si>
  <si>
    <t>合計単位数</t>
    <rPh sb="0" eb="2">
      <t>ゴウケイ</t>
    </rPh>
    <rPh sb="2" eb="5">
      <t>タンイスウ</t>
    </rPh>
    <phoneticPr fontId="12"/>
  </si>
  <si>
    <t>処遇改善加算</t>
    <rPh sb="0" eb="6">
      <t>ショグウカイゼンカサン</t>
    </rPh>
    <phoneticPr fontId="12"/>
  </si>
  <si>
    <t>[要介護５]８時間以上９時間未満</t>
  </si>
  <si>
    <t>（Ⅰ）</t>
    <phoneticPr fontId="116"/>
  </si>
  <si>
    <t>サービス内容</t>
    <phoneticPr fontId="12"/>
  </si>
  <si>
    <t>備考</t>
    <rPh sb="0" eb="2">
      <t>ビコウ</t>
    </rPh>
    <phoneticPr fontId="12"/>
  </si>
  <si>
    <t>（Ⅱ）</t>
    <phoneticPr fontId="116"/>
  </si>
  <si>
    <t>[要介護１]２時間以上３時間未満</t>
  </si>
  <si>
    <t>地域通所介護２１・時減</t>
  </si>
  <si>
    <t>回</t>
    <rPh sb="0" eb="1">
      <t>カイ</t>
    </rPh>
    <phoneticPr fontId="115"/>
  </si>
  <si>
    <t>（Ⅲ）</t>
    <phoneticPr fontId="116"/>
  </si>
  <si>
    <t>要介護２</t>
    <rPh sb="0" eb="1">
      <t>ヨウ</t>
    </rPh>
    <rPh sb="1" eb="3">
      <t>カイゴ</t>
    </rPh>
    <phoneticPr fontId="12"/>
  </si>
  <si>
    <t>[要介護１]３時間以上４時間未満</t>
  </si>
  <si>
    <t>地域通所介護１１</t>
  </si>
  <si>
    <t>要介護３</t>
    <rPh sb="0" eb="1">
      <t>ヨウ</t>
    </rPh>
    <rPh sb="1" eb="3">
      <t>カイゴ</t>
    </rPh>
    <phoneticPr fontId="12"/>
  </si>
  <si>
    <t>[要介護１]４時間以上５時間未満</t>
  </si>
  <si>
    <t>地域通所介護２１</t>
  </si>
  <si>
    <t>要介護４</t>
    <rPh sb="0" eb="1">
      <t>ヨウ</t>
    </rPh>
    <rPh sb="1" eb="3">
      <t>カイゴ</t>
    </rPh>
    <phoneticPr fontId="12"/>
  </si>
  <si>
    <t>[要介護１]５時間以上６時間未満</t>
  </si>
  <si>
    <t>地域通所介護３１</t>
  </si>
  <si>
    <t>算定なし</t>
    <rPh sb="0" eb="2">
      <t>サンテイ</t>
    </rPh>
    <phoneticPr fontId="12"/>
  </si>
  <si>
    <t>-</t>
    <phoneticPr fontId="12"/>
  </si>
  <si>
    <t>要介護５</t>
    <rPh sb="0" eb="1">
      <t>ヨウ</t>
    </rPh>
    <rPh sb="1" eb="3">
      <t>カイゴ</t>
    </rPh>
    <phoneticPr fontId="12"/>
  </si>
  <si>
    <t>[要介護１]６時間以上７時間未満</t>
  </si>
  <si>
    <t>地域通所介護４１</t>
  </si>
  <si>
    <t>[要介護１]７時間以上８時間未満</t>
  </si>
  <si>
    <t>地域通所介護５１</t>
  </si>
  <si>
    <t>↑</t>
    <phoneticPr fontId="12"/>
  </si>
  <si>
    <t>[要介護１]８時間以上９時間未満</t>
  </si>
  <si>
    <t>地域通所介護６１</t>
    <phoneticPr fontId="16"/>
  </si>
  <si>
    <t>総単位数</t>
    <rPh sb="0" eb="1">
      <t>ソウ</t>
    </rPh>
    <rPh sb="1" eb="4">
      <t>タンイスウ</t>
    </rPh>
    <phoneticPr fontId="12"/>
  </si>
  <si>
    <t>②はここの数字で計算</t>
    <rPh sb="5" eb="7">
      <t>スウジ</t>
    </rPh>
    <rPh sb="8" eb="10">
      <t>ケイサン</t>
    </rPh>
    <phoneticPr fontId="12"/>
  </si>
  <si>
    <t>①</t>
    <phoneticPr fontId="12"/>
  </si>
  <si>
    <t>②</t>
    <phoneticPr fontId="12"/>
  </si>
  <si>
    <t>④</t>
    <phoneticPr fontId="12"/>
  </si>
  <si>
    <t>⑤</t>
    <phoneticPr fontId="12"/>
  </si>
  <si>
    <t>サービス提供体制強化加算</t>
    <rPh sb="4" eb="6">
      <t>テイキョウ</t>
    </rPh>
    <rPh sb="6" eb="8">
      <t>タイセイ</t>
    </rPh>
    <rPh sb="8" eb="10">
      <t>キョウカ</t>
    </rPh>
    <rPh sb="10" eb="12">
      <t>カサン</t>
    </rPh>
    <phoneticPr fontId="12"/>
  </si>
  <si>
    <r>
      <t xml:space="preserve">総単位数
</t>
    </r>
    <r>
      <rPr>
        <b/>
        <sz val="6"/>
        <color theme="1"/>
        <rFont val="游ゴシック"/>
        <family val="3"/>
        <charset val="128"/>
      </rPr>
      <t>区分支給限度額を超えている場合は区分支給限度額</t>
    </r>
    <rPh sb="0" eb="1">
      <t>ソウ</t>
    </rPh>
    <rPh sb="1" eb="4">
      <t>タンイスウ</t>
    </rPh>
    <phoneticPr fontId="12"/>
  </si>
  <si>
    <t>＋</t>
    <phoneticPr fontId="12"/>
  </si>
  <si>
    <t>＝</t>
    <phoneticPr fontId="12"/>
  </si>
  <si>
    <t>×</t>
    <phoneticPr fontId="12"/>
  </si>
  <si>
    <t>介護報酬総額</t>
    <rPh sb="0" eb="2">
      <t>カイゴ</t>
    </rPh>
    <rPh sb="2" eb="4">
      <t>ホウシュウ</t>
    </rPh>
    <rPh sb="4" eb="6">
      <t>ソウガク</t>
    </rPh>
    <phoneticPr fontId="12"/>
  </si>
  <si>
    <t>（小数点以下切捨）</t>
    <phoneticPr fontId="12"/>
  </si>
  <si>
    <t>⑥</t>
    <phoneticPr fontId="12"/>
  </si>
  <si>
    <t>⑦</t>
    <phoneticPr fontId="12"/>
  </si>
  <si>
    <t>保険者負担割合</t>
    <rPh sb="0" eb="3">
      <t>ホケンシャ</t>
    </rPh>
    <rPh sb="3" eb="5">
      <t>フタン</t>
    </rPh>
    <rPh sb="5" eb="7">
      <t>ワリアイ</t>
    </rPh>
    <phoneticPr fontId="12"/>
  </si>
  <si>
    <t>保険者(市町村)
負担金額</t>
    <rPh sb="0" eb="3">
      <t>ホケンシャ</t>
    </rPh>
    <rPh sb="4" eb="7">
      <t>シチョウソン</t>
    </rPh>
    <rPh sb="9" eb="11">
      <t>フタン</t>
    </rPh>
    <rPh sb="11" eb="13">
      <t>キンガク</t>
    </rPh>
    <phoneticPr fontId="12"/>
  </si>
  <si>
    <t>中重度者ケア体制加算</t>
  </si>
  <si>
    <t>月</t>
    <rPh sb="0" eb="1">
      <t>ツキ</t>
    </rPh>
    <phoneticPr fontId="115"/>
  </si>
  <si>
    <t>＜保険外サービス＞</t>
    <rPh sb="1" eb="3">
      <t>ホケン</t>
    </rPh>
    <rPh sb="3" eb="4">
      <t>ガイ</t>
    </rPh>
    <phoneticPr fontId="12"/>
  </si>
  <si>
    <t>日</t>
    <rPh sb="0" eb="1">
      <t>ニチ</t>
    </rPh>
    <phoneticPr fontId="115"/>
  </si>
  <si>
    <t>単価</t>
    <rPh sb="0" eb="2">
      <t>タンカ</t>
    </rPh>
    <phoneticPr fontId="12"/>
  </si>
  <si>
    <t>小計</t>
    <rPh sb="0" eb="2">
      <t>ショウケイ</t>
    </rPh>
    <phoneticPr fontId="12"/>
  </si>
  <si>
    <t>個別機能訓練加算（Ⅱ）</t>
  </si>
  <si>
    <t>食</t>
    <rPh sb="0" eb="1">
      <t>ショク</t>
    </rPh>
    <phoneticPr fontId="12"/>
  </si>
  <si>
    <t>昼食</t>
    <rPh sb="0" eb="2">
      <t>チュウショク</t>
    </rPh>
    <phoneticPr fontId="12"/>
  </si>
  <si>
    <t>認知症加算</t>
  </si>
  <si>
    <t>枚</t>
    <rPh sb="0" eb="1">
      <t>マイ</t>
    </rPh>
    <phoneticPr fontId="12"/>
  </si>
  <si>
    <t>若年性認知症受入加算</t>
  </si>
  <si>
    <t>要介護度による区分支給限度額</t>
    <rPh sb="0" eb="3">
      <t>ヨウカイゴ</t>
    </rPh>
    <rPh sb="3" eb="4">
      <t>ド</t>
    </rPh>
    <rPh sb="7" eb="14">
      <t>クブンシキュウゲンドガク</t>
    </rPh>
    <phoneticPr fontId="12"/>
  </si>
  <si>
    <t>栄養改善加算</t>
  </si>
  <si>
    <t>※月2回限度</t>
    <rPh sb="1" eb="2">
      <t>ツキ</t>
    </rPh>
    <rPh sb="3" eb="4">
      <t>カイ</t>
    </rPh>
    <rPh sb="4" eb="6">
      <t>ゲンド</t>
    </rPh>
    <phoneticPr fontId="115"/>
  </si>
  <si>
    <t>区分支給限度額オーバー分</t>
    <rPh sb="0" eb="7">
      <t>クブンシキュウゲンドガク</t>
    </rPh>
    <rPh sb="11" eb="12">
      <t>ブン</t>
    </rPh>
    <phoneticPr fontId="12"/>
  </si>
  <si>
    <t>※片道につき</t>
    <rPh sb="1" eb="3">
      <t>カタミチ</t>
    </rPh>
    <phoneticPr fontId="115"/>
  </si>
  <si>
    <t>⑧</t>
    <phoneticPr fontId="12"/>
  </si>
  <si>
    <t>⑨</t>
    <phoneticPr fontId="12"/>
  </si>
  <si>
    <t>ご利用時見積総額</t>
    <rPh sb="1" eb="3">
      <t>リヨウ</t>
    </rPh>
    <rPh sb="3" eb="4">
      <t>ジ</t>
    </rPh>
    <rPh sb="4" eb="6">
      <t>ミツモリ</t>
    </rPh>
    <rPh sb="6" eb="8">
      <t>ソウガク</t>
    </rPh>
    <phoneticPr fontId="12"/>
  </si>
  <si>
    <t>[要介護２]２時間以上３時間未満</t>
  </si>
  <si>
    <t>地域通所介護２２・時減</t>
  </si>
  <si>
    <t>[要介護２]３時間以上４時間未満</t>
  </si>
  <si>
    <t>地域通所介護１２</t>
  </si>
  <si>
    <t>[要介護２]４時間以上５時間未満</t>
  </si>
  <si>
    <t>地域通所介護２２</t>
  </si>
  <si>
    <t>[要介護２]５時間以上６時間未満</t>
  </si>
  <si>
    <t>地域通所介護３２</t>
  </si>
  <si>
    <t>年</t>
    <rPh sb="0" eb="1">
      <t>ネン</t>
    </rPh>
    <phoneticPr fontId="51"/>
  </si>
  <si>
    <t>月</t>
    <rPh sb="0" eb="1">
      <t>ガツ</t>
    </rPh>
    <phoneticPr fontId="51"/>
  </si>
  <si>
    <t>日</t>
    <rPh sb="0" eb="1">
      <t>ニチ</t>
    </rPh>
    <phoneticPr fontId="51"/>
  </si>
  <si>
    <t>[要介護２]６時間以上７時間未満</t>
  </si>
  <si>
    <t>地域通所介護４２</t>
  </si>
  <si>
    <t>[要介護２]７時間以上８時間未満</t>
  </si>
  <si>
    <t>地域通所介護５２</t>
  </si>
  <si>
    <t>[要介護２]８時間以上９時間未満</t>
  </si>
  <si>
    <t>地域通所介護６２</t>
  </si>
  <si>
    <t>氏名</t>
    <rPh sb="0" eb="2">
      <t>シメイ</t>
    </rPh>
    <phoneticPr fontId="12"/>
  </si>
  <si>
    <t>[要介護３]２時間以上３時間未満</t>
  </si>
  <si>
    <t>地域通所介護２３・時減</t>
  </si>
  <si>
    <t>[要介護３]３時間以上４時間未満</t>
  </si>
  <si>
    <t>地域通所介護１３</t>
  </si>
  <si>
    <t>[要介護３]４時間以上５時間未満</t>
  </si>
  <si>
    <t>地域通所介護２３</t>
  </si>
  <si>
    <t>[要介護３]５時間以上６時間未満</t>
  </si>
  <si>
    <t>地域通所介護３３</t>
  </si>
  <si>
    <t>[要介護３]６時間以上７時間未満</t>
  </si>
  <si>
    <t>地域通所介護４３</t>
  </si>
  <si>
    <t>[要介護３]７時間以上８時間未満</t>
  </si>
  <si>
    <t>地域通所介護５３</t>
  </si>
  <si>
    <t>[要介護３]８時間以上９時間未満</t>
  </si>
  <si>
    <t>地域通所介護６３</t>
  </si>
  <si>
    <t>[要介護４]２時間以上３時間未満</t>
  </si>
  <si>
    <t>地域通所介護２４・時減</t>
  </si>
  <si>
    <t>回</t>
    <rPh sb="0" eb="1">
      <t>カイ</t>
    </rPh>
    <phoneticPr fontId="12"/>
  </si>
  <si>
    <t>[要介護４]３時間以上４時間未満</t>
  </si>
  <si>
    <t>地域通所介護１４</t>
  </si>
  <si>
    <t>[要介護４]４時間以上５時間未満</t>
  </si>
  <si>
    <t>地域通所介護２４</t>
  </si>
  <si>
    <t>[要介護４]５時間以上６時間未満</t>
  </si>
  <si>
    <t>地域通所介護３４</t>
  </si>
  <si>
    <t>[要介護４]６時間以上７時間未満</t>
  </si>
  <si>
    <t>地域通所介護４４</t>
  </si>
  <si>
    <t>[要介護４]７時間以上８時間未満</t>
  </si>
  <si>
    <t>地域通所介護５４</t>
  </si>
  <si>
    <t>[要介護４]８時間以上９時間未満</t>
  </si>
  <si>
    <t>地域通所介護６４</t>
  </si>
  <si>
    <t>月</t>
    <rPh sb="0" eb="1">
      <t>ツキ</t>
    </rPh>
    <phoneticPr fontId="12"/>
  </si>
  <si>
    <t>日</t>
    <rPh sb="0" eb="1">
      <t>ニチ</t>
    </rPh>
    <phoneticPr fontId="12"/>
  </si>
  <si>
    <t>[要介護５]２時間以上３時間未満</t>
  </si>
  <si>
    <t>地域通所介護２５・時減</t>
  </si>
  <si>
    <t>[要介護５]３時間以上４時間未満</t>
  </si>
  <si>
    <t>地域通所介護１５</t>
  </si>
  <si>
    <t>[要介護５]４時間以上５時間未満</t>
  </si>
  <si>
    <t>地域通所介護２５</t>
  </si>
  <si>
    <t>[要介護５]５時間以上６時間未満</t>
  </si>
  <si>
    <t>地域通所介護３５</t>
  </si>
  <si>
    <t>[要介護５]６時間以上７時間未満</t>
  </si>
  <si>
    <t>地域通所介護４５</t>
  </si>
  <si>
    <t>[要介護５]７時間以上８時間未満</t>
  </si>
  <si>
    <t>地域通所介護５５</t>
  </si>
  <si>
    <t>地域通所介護６５</t>
  </si>
  <si>
    <t>契　約　書</t>
  </si>
  <si>
    <t>地域密着型通所介護契約書</t>
  </si>
  <si>
    <t>（目的）</t>
    <phoneticPr fontId="16"/>
  </si>
  <si>
    <t>第１条　</t>
    <phoneticPr fontId="16"/>
  </si>
  <si>
    <t>　乙は、介護保険法等の関係法令及びこの契約に従い、甲がその有する能力に応じて可能な限り自立した日常生活を営むことができるよう地域密着型通所介護サービスを提供し、甲の社会的孤立感の解消及び心身の機能の維持並びに甲の家族の身体的及び精神的負担の軽減を図ります。</t>
    <rPh sb="112" eb="113">
      <t>オヨ</t>
    </rPh>
    <phoneticPr fontId="16"/>
  </si>
  <si>
    <t>２</t>
    <phoneticPr fontId="16"/>
  </si>
  <si>
    <t>　乙は、地域密着型通所介護サービス提供にあたっては、甲の要介護状態区分及び甲の被保険者証に記載された認定審査会意見に従います。</t>
  </si>
  <si>
    <t>（契約期間）</t>
    <phoneticPr fontId="16"/>
  </si>
  <si>
    <t>第２条</t>
    <phoneticPr fontId="16"/>
  </si>
  <si>
    <r>
      <t>　この契約</t>
    </r>
    <r>
      <rPr>
        <sz val="12"/>
        <rFont val="ＭＳ 明朝"/>
        <family val="1"/>
        <charset val="128"/>
      </rPr>
      <t>の契約期間は、</t>
    </r>
    <phoneticPr fontId="16"/>
  </si>
  <si>
    <t>から</t>
    <phoneticPr fontId="16"/>
  </si>
  <si>
    <t>介護保険被保険者証有効期限まで</t>
    <rPh sb="4" eb="5">
      <t>ヒ</t>
    </rPh>
    <rPh sb="5" eb="8">
      <t>ホケンシャ</t>
    </rPh>
    <phoneticPr fontId="16"/>
  </si>
  <si>
    <t>とします。但し、上記の契約期間の満了日前に、甲が要介護状態区分の変更の認定を受け、要介護認定有効期間の満了日が変更された場合には、変更後の要介護認定有効期間の満了日までとします。</t>
    <rPh sb="32" eb="34">
      <t>ヘンコウ</t>
    </rPh>
    <rPh sb="55" eb="57">
      <t>ヘンコウ</t>
    </rPh>
    <phoneticPr fontId="16"/>
  </si>
  <si>
    <t>　上記の契約期間の満了日の７日以上前までに甲から更新拒絶の申出がない場合、この契約は当然に更新されるものとします。この契約が更新された場合、更新後の契約期間は、従前の契約期間の満了日の翌日から更新後の要介護認定有効期間の満了日までとします。</t>
    <rPh sb="1" eb="3">
      <t>ジョウキ</t>
    </rPh>
    <rPh sb="4" eb="6">
      <t>ケイヤク</t>
    </rPh>
    <rPh sb="6" eb="8">
      <t>キカン</t>
    </rPh>
    <rPh sb="9" eb="11">
      <t>マンリョウ</t>
    </rPh>
    <rPh sb="11" eb="12">
      <t>ヒ</t>
    </rPh>
    <rPh sb="14" eb="15">
      <t>ヒ</t>
    </rPh>
    <rPh sb="15" eb="17">
      <t>イジョウ</t>
    </rPh>
    <rPh sb="17" eb="18">
      <t>マエ</t>
    </rPh>
    <rPh sb="21" eb="22">
      <t>コウ</t>
    </rPh>
    <rPh sb="24" eb="26">
      <t>コウシン</t>
    </rPh>
    <rPh sb="26" eb="28">
      <t>キョゼツ</t>
    </rPh>
    <rPh sb="29" eb="30">
      <t>モウ</t>
    </rPh>
    <rPh sb="30" eb="31">
      <t>デ</t>
    </rPh>
    <rPh sb="34" eb="36">
      <t>バアイ</t>
    </rPh>
    <rPh sb="39" eb="41">
      <t>ケイヤク</t>
    </rPh>
    <rPh sb="42" eb="44">
      <t>トウゼン</t>
    </rPh>
    <rPh sb="45" eb="47">
      <t>コウシン</t>
    </rPh>
    <rPh sb="59" eb="61">
      <t>ケイヤク</t>
    </rPh>
    <rPh sb="62" eb="64">
      <t>コウシン</t>
    </rPh>
    <rPh sb="67" eb="69">
      <t>バアイ</t>
    </rPh>
    <rPh sb="70" eb="72">
      <t>コウシン</t>
    </rPh>
    <rPh sb="72" eb="73">
      <t>ゴ</t>
    </rPh>
    <rPh sb="74" eb="76">
      <t>ケイヤク</t>
    </rPh>
    <rPh sb="76" eb="78">
      <t>キカン</t>
    </rPh>
    <rPh sb="80" eb="82">
      <t>ジュウゼン</t>
    </rPh>
    <rPh sb="83" eb="85">
      <t>ケイヤク</t>
    </rPh>
    <rPh sb="85" eb="87">
      <t>キカン</t>
    </rPh>
    <rPh sb="88" eb="90">
      <t>マンリョウ</t>
    </rPh>
    <rPh sb="90" eb="91">
      <t>ビ</t>
    </rPh>
    <rPh sb="92" eb="94">
      <t>ヨクジツ</t>
    </rPh>
    <rPh sb="96" eb="98">
      <t>コウシン</t>
    </rPh>
    <rPh sb="98" eb="99">
      <t>ゴ</t>
    </rPh>
    <rPh sb="100" eb="101">
      <t>ヨウ</t>
    </rPh>
    <rPh sb="101" eb="103">
      <t>カイゴ</t>
    </rPh>
    <rPh sb="103" eb="105">
      <t>ニンテイ</t>
    </rPh>
    <rPh sb="105" eb="107">
      <t>ユウコウ</t>
    </rPh>
    <rPh sb="107" eb="109">
      <t>キカン</t>
    </rPh>
    <rPh sb="110" eb="112">
      <t>マンリョウ</t>
    </rPh>
    <rPh sb="112" eb="113">
      <t>ビ</t>
    </rPh>
    <phoneticPr fontId="16"/>
  </si>
  <si>
    <t>（運営規程の概要）</t>
    <phoneticPr fontId="16"/>
  </si>
  <si>
    <t>第３条</t>
    <phoneticPr fontId="16"/>
  </si>
  <si>
    <t>　乙の運営規程の概要（事業の目的、職員の体制、地域密着型通所介護サービスの内容等）、従業者の勤務の体制等は、重要事項説明書に記載したとおりです。</t>
  </si>
  <si>
    <t>（地域密着型通所介護計画の作成・変更）</t>
    <phoneticPr fontId="16"/>
  </si>
  <si>
    <t>第４条</t>
    <phoneticPr fontId="16"/>
  </si>
  <si>
    <t>　乙は、甲の心身の状況、希望及びその置かれている環境を踏まえて、地域密着型通所介護計画を作成し、地域密着型通所介護計画作成後も当該計画の実施状況の把握に努めます。</t>
    <rPh sb="12" eb="14">
      <t>キボウ</t>
    </rPh>
    <rPh sb="14" eb="15">
      <t>オヨ</t>
    </rPh>
    <rPh sb="32" eb="37">
      <t>チイキミッチャクガタ</t>
    </rPh>
    <phoneticPr fontId="16"/>
  </si>
  <si>
    <t>　地域密着型通所介護計画には、機能訓練等の目標、当該目標を達成するための具体的なサービス内容等を記載します。</t>
    <rPh sb="1" eb="6">
      <t>チイキミッチャクガタ</t>
    </rPh>
    <rPh sb="24" eb="26">
      <t>トウガイ</t>
    </rPh>
    <phoneticPr fontId="16"/>
  </si>
  <si>
    <t>３</t>
    <phoneticPr fontId="16"/>
  </si>
  <si>
    <t>　地域密着型通所介護計画は、既に居宅サービス計画が作成されている場合は、当該居宅サービス計画の内容に沿って作成します。</t>
    <rPh sb="14" eb="15">
      <t>スデ</t>
    </rPh>
    <rPh sb="36" eb="38">
      <t>トウガイ</t>
    </rPh>
    <rPh sb="38" eb="40">
      <t>キョタク</t>
    </rPh>
    <rPh sb="44" eb="46">
      <t>ケイカク</t>
    </rPh>
    <phoneticPr fontId="16"/>
  </si>
  <si>
    <t>４</t>
    <phoneticPr fontId="16"/>
  </si>
  <si>
    <t>　乙は、次のいずれかに該当する場合には、第１条に規定する地域密着型通所介護サービスの目的に従い、地域密着型通所介護計画の変更を行います。</t>
    <phoneticPr fontId="16"/>
  </si>
  <si>
    <t>（１）</t>
    <phoneticPr fontId="16"/>
  </si>
  <si>
    <t>甲の心身の状況、その置かれている環境等の変化により当該地域密着型通所介護計画を変更する必要がある場合</t>
    <phoneticPr fontId="16"/>
  </si>
  <si>
    <t>（２）</t>
    <phoneticPr fontId="16"/>
  </si>
  <si>
    <t>甲が地域密着型通所介護サービスの内容や提供方法等の変更を希望する場合</t>
  </si>
  <si>
    <t>５</t>
    <phoneticPr fontId="16"/>
  </si>
  <si>
    <t>　前項の変更に際して、居宅サービス計画の変更が必要となる場合は、乙は、速やかに介護支援専門員に連絡するなど必要な援助を行います。</t>
    <rPh sb="39" eb="41">
      <t>カイゴ</t>
    </rPh>
    <rPh sb="41" eb="43">
      <t>シエン</t>
    </rPh>
    <rPh sb="43" eb="46">
      <t>センモンイン</t>
    </rPh>
    <phoneticPr fontId="16"/>
  </si>
  <si>
    <t>６</t>
    <phoneticPr fontId="16"/>
  </si>
  <si>
    <t>　乙は、地域密着型通所介護計画を作成し又は変更した際には、これを甲及び甲の家族又は甲の後見人に対し説明し、甲の同意を得るものとします。</t>
    <rPh sb="35" eb="36">
      <t>コウ</t>
    </rPh>
    <rPh sb="53" eb="54">
      <t>コウ</t>
    </rPh>
    <phoneticPr fontId="16"/>
  </si>
  <si>
    <t>（地域密着型通所介護サービスの内容及びその提供）</t>
  </si>
  <si>
    <t>第５条</t>
    <phoneticPr fontId="16"/>
  </si>
  <si>
    <t>　乙は、地域密着型通所介護計画に沿って、地域密着型通所介護サービスを提供します。</t>
    <rPh sb="4" eb="9">
      <t>チイキミッチャクガタ</t>
    </rPh>
    <phoneticPr fontId="16"/>
  </si>
  <si>
    <t>　乙は、甲に対して地域密着型通所介護サービスを提供する毎に、当該サービスの提供日及び内容、介護保険から支払われる報酬等の必要事項を、介護支援専門員が作成し、甲の確認を受けた書面に記載します。</t>
    <rPh sb="68" eb="70">
      <t>シエン</t>
    </rPh>
    <rPh sb="70" eb="72">
      <t>センモン</t>
    </rPh>
    <rPh sb="72" eb="73">
      <t>イン</t>
    </rPh>
    <phoneticPr fontId="16"/>
  </si>
  <si>
    <t>　乙は、甲に対する地域密着型通所介護サービスの実施状況等に関する記録を整備し、その完結の日から５年間保存しなければなりません。</t>
    <rPh sb="6" eb="7">
      <t>タイ</t>
    </rPh>
    <phoneticPr fontId="16"/>
  </si>
  <si>
    <t>　甲及び甲の家族又は甲の後見人は、必要がある場合は、乙に対し前項の記録の閲覧及び自費による謄写を求めることができます。但し、この閲覧及び謄写は、乙の業務に支障のない時間に行うこととします。</t>
    <rPh sb="4" eb="5">
      <t>コウ</t>
    </rPh>
    <phoneticPr fontId="16"/>
  </si>
  <si>
    <t>（居宅介護支援事業者等との連携）</t>
    <phoneticPr fontId="16"/>
  </si>
  <si>
    <t>第６条</t>
    <phoneticPr fontId="16"/>
  </si>
  <si>
    <t>　乙は、甲に対して地域密着型通所介護サービスを提供するに当たっては、居宅介護支援事業者その他保健医療サービス又は福祉サービスを提供する者との密接な連携に努めます。</t>
    <rPh sb="54" eb="55">
      <t>マタ</t>
    </rPh>
    <phoneticPr fontId="16"/>
  </si>
  <si>
    <t>　乙は、指定居宅介護支援事業者と居宅サービス計画の作成又は変更に関し、サービスを利用させることの対償として、金品その他の財産上の利益を収受しません。</t>
    <rPh sb="1" eb="2">
      <t>オツ</t>
    </rPh>
    <phoneticPr fontId="16"/>
  </si>
  <si>
    <t>（協力義務）</t>
    <phoneticPr fontId="16"/>
  </si>
  <si>
    <t>第７条</t>
    <phoneticPr fontId="16"/>
  </si>
  <si>
    <t>　甲、甲の家族及び甲の後見人は、乙が甲のため地域密着型通所介護サービスを提供するにあたり、可能な限り乙に協力しなければなりません。</t>
    <rPh sb="3" eb="4">
      <t>コウ</t>
    </rPh>
    <phoneticPr fontId="16"/>
  </si>
  <si>
    <t>（苦情対応）</t>
    <phoneticPr fontId="16"/>
  </si>
  <si>
    <t>第８条</t>
    <phoneticPr fontId="16"/>
  </si>
  <si>
    <t>　乙は、苦情対応の責任者及びその連絡先を明らかにし、乙が提供した地域密着型通所介護サービスについて甲、甲の家族又は甲の後見人から苦情の申立てがある場合は、迅速かつ誠実に必要な対応を行います。</t>
  </si>
  <si>
    <t>　乙は、甲、甲の家族又は甲の後見人が苦情申し立て等を行ったことを理由として、甲に対し不利益な取扱いをすることはありません。</t>
  </si>
  <si>
    <t>（虐待防止に関する事項）</t>
  </si>
  <si>
    <t>第９条</t>
    <phoneticPr fontId="16"/>
  </si>
  <si>
    <t>　乙は、甲の人権の擁護・虐待の防止のため次の措置を講ずるものとします。</t>
    <phoneticPr fontId="16"/>
  </si>
  <si>
    <t>虐待を防止するための従業者に対する研修の実施</t>
  </si>
  <si>
    <t>利用者及びその家族からの苦情対応体制の整備</t>
  </si>
  <si>
    <t>（３）</t>
    <phoneticPr fontId="16"/>
  </si>
  <si>
    <t>その他虐待防止のために必要な措置</t>
  </si>
  <si>
    <t>（身体的拘束等の禁止）</t>
    <phoneticPr fontId="16"/>
  </si>
  <si>
    <t>第１０条</t>
    <phoneticPr fontId="16"/>
  </si>
  <si>
    <t>　乙は、サービス提供にあたり身体的拘束その他甲の行動を制限する行為を行いません。但し、甲又は他の利用者等の生命又は身体を保護するため緊急やむを得ない場合は、この限りではありません。</t>
    <phoneticPr fontId="16"/>
  </si>
  <si>
    <t>（緊急時・事故発生時の対応）</t>
    <phoneticPr fontId="16"/>
  </si>
  <si>
    <t>第１１条</t>
    <phoneticPr fontId="16"/>
  </si>
  <si>
    <t>　乙は、現に地域密着型通所介護サービスの提供を行っているときに甲に容態の急変が生じた場合その他必要な場合は、速やかに甲の主治医に連絡を取る等、必要な対応を講じます。</t>
  </si>
  <si>
    <t>（費用）</t>
    <phoneticPr fontId="16"/>
  </si>
  <si>
    <t>第１２条</t>
    <phoneticPr fontId="16"/>
  </si>
  <si>
    <t>　乙が提供する地域密着型通所介護サービスの利用単位毎の利用料その他の費用は、重要事項説明書に記載したとおりです。</t>
  </si>
  <si>
    <t>　甲は、サービスの対価として前項の費用の額を元に月毎に算定された利用者負担額を乙の請求に従って乙に支払います。</t>
    <rPh sb="39" eb="40">
      <t>オツ</t>
    </rPh>
    <rPh sb="41" eb="43">
      <t>セイキュウ</t>
    </rPh>
    <rPh sb="44" eb="45">
      <t>シタガ</t>
    </rPh>
    <phoneticPr fontId="16"/>
  </si>
  <si>
    <t>　乙は、提供する地域密着型通所介護サービスのうち、介護保険の適用を受けないものがある場合には、特にそのサービスの内容及び利用料金を甲に説明し、甲の同意を得ます。</t>
    <rPh sb="65" eb="66">
      <t>コウ</t>
    </rPh>
    <phoneticPr fontId="16"/>
  </si>
  <si>
    <t>　乙は、前３項に定める費用のほか、次の各号に掲げる費用の支払いを甲に請求することができます。</t>
    <phoneticPr fontId="16"/>
  </si>
  <si>
    <t>甲の要望により通常要する時間を超えて提供された地域密着型通所介護サービスの費用から通常提供される地域密着型通所介護サービス費用を差し引いた額</t>
  </si>
  <si>
    <t>食事を提供した場合の食材料費</t>
    <phoneticPr fontId="16"/>
  </si>
  <si>
    <t>おむつ代、リハビリパンツ代、パッド代</t>
    <phoneticPr fontId="16"/>
  </si>
  <si>
    <t>（４）</t>
    <phoneticPr fontId="16"/>
  </si>
  <si>
    <t>その他費用</t>
    <phoneticPr fontId="16"/>
  </si>
  <si>
    <t>地域密着型通所介護サービスの中で提供される便宜のうち、日常生活においても通常必要となるものに係わる費用であって、甲に負担させることが適当と認められる費用</t>
  </si>
  <si>
    <t>　乙は、前項に定める費用の額にかかるサービスの提供にあたっては、あらかじめ甲に対し、当該サービスの内容及び費用について説明を行い、甲の同意を得なければなりません。</t>
    <phoneticPr fontId="16"/>
  </si>
  <si>
    <t>　乙は、甲が正当な理由で地域密着型通所介護サービスの利用をキャンセルした場合は、キャンセル料の支払いを求めないものとします。</t>
  </si>
  <si>
    <t>７</t>
    <phoneticPr fontId="16"/>
  </si>
  <si>
    <t>　乙は、通所介護サービスの利用単位毎の利用料及びその他の費用の額を変更しようとする場合は、１ヶ月前までに甲に対し文書により通知し、変更の申し出を行います。</t>
    <rPh sb="47" eb="48">
      <t>ゲツ</t>
    </rPh>
    <phoneticPr fontId="16"/>
  </si>
  <si>
    <t>８</t>
    <phoneticPr fontId="16"/>
  </si>
  <si>
    <t>　乙は、前項に定める料金の変更を行う場合には、事前に説明し甲の同意を得た上で新たな料金に基づく重要事項説明書を交付します。</t>
    <phoneticPr fontId="16"/>
  </si>
  <si>
    <t>９</t>
    <phoneticPr fontId="16"/>
  </si>
  <si>
    <t>　甲は、第７項に定める料金の変更に同意することができない場合には、この契約を解除することができます。</t>
    <rPh sb="1" eb="2">
      <t>コウ</t>
    </rPh>
    <rPh sb="4" eb="5">
      <t>ダイ</t>
    </rPh>
    <rPh sb="6" eb="7">
      <t>コウ</t>
    </rPh>
    <rPh sb="8" eb="9">
      <t>サダ</t>
    </rPh>
    <rPh sb="11" eb="13">
      <t>リョウキン</t>
    </rPh>
    <rPh sb="14" eb="16">
      <t>ヘンコウ</t>
    </rPh>
    <rPh sb="17" eb="19">
      <t>ドウイ</t>
    </rPh>
    <rPh sb="28" eb="30">
      <t>バアイ</t>
    </rPh>
    <rPh sb="35" eb="37">
      <t>ケイヤク</t>
    </rPh>
    <rPh sb="38" eb="40">
      <t>カイジョ</t>
    </rPh>
    <phoneticPr fontId="16"/>
  </si>
  <si>
    <t>（利用者負担額等の滞納）</t>
    <rPh sb="7" eb="8">
      <t>トウ</t>
    </rPh>
    <phoneticPr fontId="16"/>
  </si>
  <si>
    <t>第１３条</t>
    <phoneticPr fontId="16"/>
  </si>
  <si>
    <t>　甲が正当な理由なく乙に支払うべき利用者負担額、その他の費用の額の全部又は一部を２月以上滞納した場合は、乙は、甲に対し、３０日以上の期間を定めて、期間内に滞納額の全額の支払いがないときは、この契約を解除する旨の催告をすることができます。</t>
    <rPh sb="10" eb="11">
      <t>オツ</t>
    </rPh>
    <rPh sb="12" eb="14">
      <t>シハラ</t>
    </rPh>
    <rPh sb="26" eb="27">
      <t>ホカ</t>
    </rPh>
    <rPh sb="28" eb="30">
      <t>ヒヨウ</t>
    </rPh>
    <rPh sb="31" eb="32">
      <t>ガク</t>
    </rPh>
    <rPh sb="33" eb="35">
      <t>ゼンブ</t>
    </rPh>
    <rPh sb="35" eb="36">
      <t>マタ</t>
    </rPh>
    <rPh sb="37" eb="39">
      <t>イチブ</t>
    </rPh>
    <rPh sb="55" eb="56">
      <t>コウ</t>
    </rPh>
    <rPh sb="57" eb="58">
      <t>タイ</t>
    </rPh>
    <rPh sb="73" eb="75">
      <t>キカン</t>
    </rPh>
    <rPh sb="75" eb="76">
      <t>ナイ</t>
    </rPh>
    <rPh sb="77" eb="80">
      <t>タイノウガク</t>
    </rPh>
    <rPh sb="81" eb="83">
      <t>ゼンガク</t>
    </rPh>
    <rPh sb="84" eb="86">
      <t>シハラ</t>
    </rPh>
    <phoneticPr fontId="16"/>
  </si>
  <si>
    <t>　前項の催告をしたときは、乙は、介護支援専門員と、甲の日常生活を維持する見地から居宅サービス計画の変更、介護保険外の公的サービスの利用について必要な協議を行うものとします。</t>
    <rPh sb="18" eb="20">
      <t>シエン</t>
    </rPh>
    <rPh sb="20" eb="23">
      <t>センモンイン</t>
    </rPh>
    <phoneticPr fontId="16"/>
  </si>
  <si>
    <t>　乙は、前項に定める協議を行い、かつ甲が第１項に定める期間内に滞納額の支払いをしなかったときは、この契約を文書により解除することができます。</t>
    <phoneticPr fontId="16"/>
  </si>
  <si>
    <t>　乙は、前項の規定により解除に至るまでは、滞納を理由として地域密着型通所介護サービスの提供を拒むことはできません。</t>
  </si>
  <si>
    <t>（秘密保持）</t>
    <phoneticPr fontId="16"/>
  </si>
  <si>
    <t>第１４条</t>
    <phoneticPr fontId="16"/>
  </si>
  <si>
    <t>　乙及びその従業員は、正当な理由がない限り、その業務上知り得た甲及び甲の家族又は甲の後見人の秘密を就業時及び退職後も漏らすことはありません。</t>
    <rPh sb="34" eb="35">
      <t>コウ</t>
    </rPh>
    <rPh sb="49" eb="51">
      <t>シュウギョウ</t>
    </rPh>
    <phoneticPr fontId="16"/>
  </si>
  <si>
    <t>　乙及びその従業員は、サービス担当者会議等において、甲又は甲の後見人の個人情報を用いる場合は甲又は甲の後見人の同意を、甲の家族の個人情報を用いる場合は当該家族の同意を得なければ、使用することができません。</t>
    <rPh sb="26" eb="27">
      <t>コウ</t>
    </rPh>
    <rPh sb="27" eb="28">
      <t>マタ</t>
    </rPh>
    <rPh sb="29" eb="30">
      <t>コウ</t>
    </rPh>
    <rPh sb="31" eb="34">
      <t>コウケンニン</t>
    </rPh>
    <rPh sb="35" eb="37">
      <t>コジン</t>
    </rPh>
    <rPh sb="37" eb="39">
      <t>ジョウホウ</t>
    </rPh>
    <rPh sb="40" eb="41">
      <t>モチ</t>
    </rPh>
    <rPh sb="43" eb="45">
      <t>バアイ</t>
    </rPh>
    <rPh sb="46" eb="47">
      <t>コウ</t>
    </rPh>
    <rPh sb="47" eb="48">
      <t>マタ</t>
    </rPh>
    <rPh sb="49" eb="50">
      <t>コウ</t>
    </rPh>
    <rPh sb="51" eb="54">
      <t>コウケンニン</t>
    </rPh>
    <rPh sb="55" eb="57">
      <t>ドウイ</t>
    </rPh>
    <rPh sb="59" eb="60">
      <t>コウ</t>
    </rPh>
    <rPh sb="64" eb="66">
      <t>コジン</t>
    </rPh>
    <rPh sb="66" eb="68">
      <t>ジョウホウ</t>
    </rPh>
    <rPh sb="69" eb="70">
      <t>モチ</t>
    </rPh>
    <rPh sb="72" eb="74">
      <t>バアイ</t>
    </rPh>
    <rPh sb="75" eb="77">
      <t>トウガイ</t>
    </rPh>
    <phoneticPr fontId="16"/>
  </si>
  <si>
    <t>　第１項の規定にかかわらず、乙は、高齢者虐待の防止、高齢者の養護者に対する支援等に関する法律（いわゆる「高齢者虐待防止法」）に定める通報ができるものとし、その場合、乙は秘密保持義務違反の責任を負わないものとします。</t>
    <rPh sb="1" eb="2">
      <t>ダイ</t>
    </rPh>
    <rPh sb="3" eb="4">
      <t>コウ</t>
    </rPh>
    <rPh sb="5" eb="7">
      <t>キテイ</t>
    </rPh>
    <rPh sb="14" eb="15">
      <t>オツ</t>
    </rPh>
    <rPh sb="17" eb="20">
      <t>コウレイシャ</t>
    </rPh>
    <rPh sb="20" eb="22">
      <t>ギャクタイ</t>
    </rPh>
    <rPh sb="23" eb="25">
      <t>ボウシ</t>
    </rPh>
    <rPh sb="26" eb="29">
      <t>コウレイシャ</t>
    </rPh>
    <rPh sb="30" eb="32">
      <t>ヨウゴ</t>
    </rPh>
    <rPh sb="32" eb="33">
      <t>シャ</t>
    </rPh>
    <rPh sb="34" eb="35">
      <t>タイ</t>
    </rPh>
    <rPh sb="37" eb="39">
      <t>シエン</t>
    </rPh>
    <rPh sb="39" eb="40">
      <t>トウ</t>
    </rPh>
    <rPh sb="41" eb="42">
      <t>カン</t>
    </rPh>
    <rPh sb="44" eb="46">
      <t>ホウリツ</t>
    </rPh>
    <rPh sb="52" eb="55">
      <t>コウレイシャ</t>
    </rPh>
    <rPh sb="55" eb="57">
      <t>ギャクタイ</t>
    </rPh>
    <rPh sb="57" eb="59">
      <t>ボウシ</t>
    </rPh>
    <rPh sb="59" eb="60">
      <t>ホウ</t>
    </rPh>
    <rPh sb="63" eb="64">
      <t>サダ</t>
    </rPh>
    <rPh sb="66" eb="68">
      <t>ツウホウ</t>
    </rPh>
    <rPh sb="79" eb="81">
      <t>バアイ</t>
    </rPh>
    <rPh sb="82" eb="83">
      <t>オツ</t>
    </rPh>
    <rPh sb="84" eb="86">
      <t>ヒミツ</t>
    </rPh>
    <rPh sb="86" eb="88">
      <t>ホジ</t>
    </rPh>
    <rPh sb="88" eb="90">
      <t>ギム</t>
    </rPh>
    <rPh sb="90" eb="92">
      <t>イハン</t>
    </rPh>
    <rPh sb="93" eb="95">
      <t>セキニン</t>
    </rPh>
    <rPh sb="96" eb="97">
      <t>オ</t>
    </rPh>
    <phoneticPr fontId="16"/>
  </si>
  <si>
    <t>（甲の解除権）</t>
    <phoneticPr fontId="16"/>
  </si>
  <si>
    <t>第１５条</t>
    <phoneticPr fontId="16"/>
  </si>
  <si>
    <t>　甲は、７日間以上の予告期間をもって、いつでもこの契約を解除することができます。</t>
    <phoneticPr fontId="16"/>
  </si>
  <si>
    <t>（乙の解除権）</t>
    <phoneticPr fontId="16"/>
  </si>
  <si>
    <t>第１６条</t>
    <phoneticPr fontId="16"/>
  </si>
  <si>
    <t>　乙は、甲が法令違反又はサービス提供を阻害する行為（介護職員や他の利用者に対する故意による暴言・暴力行為等並びにセクハラ行為等）をなし、乙の再三の申し入れにもかかわらず改善の見込みがなく、この契約の目的を達することが困難になったときは、３０日間以上の予告期間をもって、この契約を解除することができます。</t>
    <phoneticPr fontId="16"/>
  </si>
  <si>
    <t>　乙は、前項によりこの契約を解除しようとする場合は、介護支援専門員や公的機関等と協議し、必要な援助を行います。</t>
    <rPh sb="26" eb="28">
      <t>カイゴ</t>
    </rPh>
    <rPh sb="28" eb="30">
      <t>シエン</t>
    </rPh>
    <rPh sb="30" eb="32">
      <t>センモン</t>
    </rPh>
    <rPh sb="32" eb="33">
      <t>イン</t>
    </rPh>
    <phoneticPr fontId="16"/>
  </si>
  <si>
    <t>（契約の終了）</t>
    <phoneticPr fontId="16"/>
  </si>
  <si>
    <t>第１７条</t>
    <phoneticPr fontId="16"/>
  </si>
  <si>
    <t>　次に掲げるいずれかの事由が発生した場合は、その日をもって、この契約は終了するものとします。</t>
    <phoneticPr fontId="16"/>
  </si>
  <si>
    <t>甲が、要介護認定を受けられなかったとき</t>
    <phoneticPr fontId="16"/>
  </si>
  <si>
    <t>第２条第２項により、契約期間満了日の７日前までに甲から更新拒絶の申し出があり、かつ契約期間が満了したとき</t>
    <rPh sb="3" eb="4">
      <t>ダイ</t>
    </rPh>
    <phoneticPr fontId="16"/>
  </si>
  <si>
    <t>（５）</t>
  </si>
  <si>
    <t>甲が、介護保険施設や医療施設等へ入所又は入院等をしたとき</t>
    <phoneticPr fontId="16"/>
  </si>
  <si>
    <t>但し、乙が認めた場合を除きます。</t>
    <rPh sb="0" eb="1">
      <t>タダ</t>
    </rPh>
    <rPh sb="3" eb="4">
      <t>オツ</t>
    </rPh>
    <rPh sb="5" eb="6">
      <t>ミト</t>
    </rPh>
    <rPh sb="8" eb="10">
      <t>バアイ</t>
    </rPh>
    <rPh sb="11" eb="12">
      <t>ノゾ</t>
    </rPh>
    <phoneticPr fontId="16"/>
  </si>
  <si>
    <t>（６）</t>
    <phoneticPr fontId="16"/>
  </si>
  <si>
    <t>甲が、死亡したとき</t>
    <phoneticPr fontId="16"/>
  </si>
  <si>
    <t>（７）</t>
    <phoneticPr fontId="16"/>
  </si>
  <si>
    <t>甲が、要介護認定を取り消されたとき</t>
    <rPh sb="0" eb="1">
      <t>コウ</t>
    </rPh>
    <rPh sb="3" eb="4">
      <t>ヨウ</t>
    </rPh>
    <rPh sb="4" eb="6">
      <t>カイゴ</t>
    </rPh>
    <rPh sb="6" eb="8">
      <t>ニンテイ</t>
    </rPh>
    <rPh sb="9" eb="10">
      <t>ト</t>
    </rPh>
    <rPh sb="11" eb="12">
      <t>ケ</t>
    </rPh>
    <phoneticPr fontId="16"/>
  </si>
  <si>
    <t>（損害賠償）</t>
    <phoneticPr fontId="16"/>
  </si>
  <si>
    <t>第１８条</t>
    <phoneticPr fontId="16"/>
  </si>
  <si>
    <t>　乙は、地域密着型通所介護サービスの提供にあたって、事故が発生した場合には、速やかに甲の家族及び甲の後見人に連絡を行うとともに、必要な措置を講じます。</t>
  </si>
  <si>
    <t>　乙は、甲に対する地域密着型通所介護サービスの提供にあたって、甲又は甲の家族の生命・身体・財産に損害が発生した場合は、速やかに甲又は甲の家族に対して損害を賠償します。但し、乙に故意、過失がない場合はこの限りではありません。</t>
    <rPh sb="4" eb="5">
      <t>コウ</t>
    </rPh>
    <rPh sb="6" eb="7">
      <t>タイ</t>
    </rPh>
    <rPh sb="23" eb="25">
      <t>テイキョウ</t>
    </rPh>
    <rPh sb="31" eb="32">
      <t>コウ</t>
    </rPh>
    <rPh sb="32" eb="33">
      <t>マタ</t>
    </rPh>
    <rPh sb="34" eb="35">
      <t>コウ</t>
    </rPh>
    <rPh sb="39" eb="41">
      <t>セイメイ</t>
    </rPh>
    <rPh sb="42" eb="44">
      <t>シンタイ</t>
    </rPh>
    <rPh sb="45" eb="47">
      <t>ザイサン</t>
    </rPh>
    <rPh sb="48" eb="50">
      <t>ソンガイ</t>
    </rPh>
    <rPh sb="51" eb="53">
      <t>ハッセイ</t>
    </rPh>
    <rPh sb="55" eb="57">
      <t>バアイ</t>
    </rPh>
    <rPh sb="59" eb="60">
      <t>スミ</t>
    </rPh>
    <rPh sb="63" eb="64">
      <t>コウ</t>
    </rPh>
    <rPh sb="64" eb="65">
      <t>マタ</t>
    </rPh>
    <rPh sb="66" eb="67">
      <t>コウ</t>
    </rPh>
    <rPh sb="71" eb="72">
      <t>タイ</t>
    </rPh>
    <rPh sb="74" eb="76">
      <t>ソンガイ</t>
    </rPh>
    <rPh sb="77" eb="79">
      <t>バイショウ</t>
    </rPh>
    <phoneticPr fontId="16"/>
  </si>
  <si>
    <t>　第１項の事故が発生した場合、内容によっては基準に基づき、指定権者への報告を行います。</t>
    <phoneticPr fontId="16"/>
  </si>
  <si>
    <t>　第１項の事故によって乙に損害賠償義務が発生する場合において、当該事故発生につき甲又は甲の家族に重過失がある場合は、損害賠償の額を減額することができます。</t>
    <rPh sb="41" eb="42">
      <t>マタ</t>
    </rPh>
    <rPh sb="43" eb="44">
      <t>コウ</t>
    </rPh>
    <phoneticPr fontId="16"/>
  </si>
  <si>
    <t>　第２項の義務履行を確保するため、乙は賠償損害保険に加入します。</t>
    <rPh sb="5" eb="7">
      <t>ギム</t>
    </rPh>
    <rPh sb="7" eb="9">
      <t>リコウ</t>
    </rPh>
    <rPh sb="10" eb="12">
      <t>カクホ</t>
    </rPh>
    <rPh sb="17" eb="18">
      <t>オツ</t>
    </rPh>
    <rPh sb="19" eb="21">
      <t>バイショウ</t>
    </rPh>
    <rPh sb="21" eb="23">
      <t>ソンガイ</t>
    </rPh>
    <rPh sb="23" eb="25">
      <t>ホケン</t>
    </rPh>
    <rPh sb="26" eb="28">
      <t>カニュウ</t>
    </rPh>
    <phoneticPr fontId="16"/>
  </si>
  <si>
    <t>（利用者代理人）</t>
  </si>
  <si>
    <t>第１９条</t>
    <phoneticPr fontId="16"/>
  </si>
  <si>
    <t>　甲は、代理人を選任してこの契約を締結させることができ、又、この契約に定める権利の行使と義務の履行を代理して行わせることができます。</t>
    <phoneticPr fontId="16"/>
  </si>
  <si>
    <t>　甲の代理人選任に際して必要がある場合は、乙は成年後見制度や地域福祉権利擁護事業の内容を説明するものとします。</t>
    <phoneticPr fontId="16"/>
  </si>
  <si>
    <t>（合意管轄）</t>
    <phoneticPr fontId="16"/>
  </si>
  <si>
    <t>第２０条</t>
    <phoneticPr fontId="16"/>
  </si>
  <si>
    <t>　この契約に起因する紛争に関して訴訟の必要が生じたときは、事業者の本店所在地を管轄する地方裁判所を第一審の専属的合意管轄裁判所とします。</t>
    <rPh sb="29" eb="32">
      <t>ジギョウシャ</t>
    </rPh>
    <rPh sb="33" eb="35">
      <t>ホンテン</t>
    </rPh>
    <rPh sb="35" eb="38">
      <t>ショザイチ</t>
    </rPh>
    <rPh sb="43" eb="45">
      <t>チホウ</t>
    </rPh>
    <rPh sb="53" eb="56">
      <t>センゾクテキ</t>
    </rPh>
    <rPh sb="56" eb="58">
      <t>ゴウイ</t>
    </rPh>
    <phoneticPr fontId="16"/>
  </si>
  <si>
    <t>（協議事項）</t>
    <phoneticPr fontId="16"/>
  </si>
  <si>
    <t>第２１条</t>
    <phoneticPr fontId="16"/>
  </si>
  <si>
    <t>　この契約に定めのない事項については、介護保険法、その他の関係法令を遵守し、甲乙の協議により定めます。</t>
    <phoneticPr fontId="16"/>
  </si>
  <si>
    <t>（身元引受人兼連帯保証人）</t>
    <phoneticPr fontId="16"/>
  </si>
  <si>
    <t>第２２条</t>
    <phoneticPr fontId="16"/>
  </si>
  <si>
    <t>　乙は、甲に対して身元引受人兼連帯保証人を定めることを請求できます。ただし、身元引受人を定めることができないやむを得ない理由がある場合はその限りではありません。なお、利用者代理人は身元引受人を兼ねることができます。</t>
    <rPh sb="1" eb="2">
      <t>オツ</t>
    </rPh>
    <rPh sb="4" eb="5">
      <t>コウ</t>
    </rPh>
    <phoneticPr fontId="16"/>
  </si>
  <si>
    <t>　身元引受人兼連帯保証人は、本契約に基づく甲の乙に対する責務について連帯保証人になると共に、乙が必要ありと認め要請したときは、これに応じて乙と協議し、身上監護に関する決定、甲の身柄の引き取り、残置財産の引き取り等を行うことに責任を負います。</t>
    <rPh sb="6" eb="7">
      <t>ケン</t>
    </rPh>
    <rPh sb="7" eb="9">
      <t>レンタイ</t>
    </rPh>
    <rPh sb="9" eb="12">
      <t>ホショウニン</t>
    </rPh>
    <rPh sb="21" eb="22">
      <t>コウ</t>
    </rPh>
    <rPh sb="23" eb="24">
      <t>オツ</t>
    </rPh>
    <rPh sb="46" eb="47">
      <t>オツ</t>
    </rPh>
    <rPh sb="69" eb="70">
      <t>オツ</t>
    </rPh>
    <rPh sb="86" eb="87">
      <t>コウ</t>
    </rPh>
    <phoneticPr fontId="16"/>
  </si>
  <si>
    <t>以上</t>
    <rPh sb="0" eb="2">
      <t>イジョウ</t>
    </rPh>
    <phoneticPr fontId="16"/>
  </si>
  <si>
    <t>　この契約の成立を証するため本書２通を作成し、甲乙各１通ずつを保有します。</t>
    <phoneticPr fontId="16"/>
  </si>
  <si>
    <t>年　　　月　　　日</t>
    <phoneticPr fontId="16"/>
  </si>
  <si>
    <t>利用者　甲</t>
  </si>
  <si>
    <t>住　　所</t>
    <phoneticPr fontId="16"/>
  </si>
  <si>
    <t>氏　　名</t>
    <phoneticPr fontId="16"/>
  </si>
  <si>
    <t>甲の代理人</t>
    <rPh sb="0" eb="1">
      <t>コウ</t>
    </rPh>
    <phoneticPr fontId="16"/>
  </si>
  <si>
    <t>（又は、甲の家族代表）</t>
  </si>
  <si>
    <t>身元引受人兼連帯保証人</t>
    <rPh sb="0" eb="2">
      <t>ミモト</t>
    </rPh>
    <rPh sb="2" eb="4">
      <t>ヒキウケ</t>
    </rPh>
    <rPh sb="4" eb="5">
      <t>ニン</t>
    </rPh>
    <rPh sb="5" eb="6">
      <t>ケン</t>
    </rPh>
    <rPh sb="6" eb="8">
      <t>レンタイ</t>
    </rPh>
    <rPh sb="8" eb="11">
      <t>ホショウニン</t>
    </rPh>
    <phoneticPr fontId="16"/>
  </si>
  <si>
    <t>事業者　乙</t>
    <phoneticPr fontId="16"/>
  </si>
  <si>
    <t>事業者名</t>
    <rPh sb="0" eb="3">
      <t>ジギョウシャ</t>
    </rPh>
    <rPh sb="3" eb="4">
      <t>メイ</t>
    </rPh>
    <phoneticPr fontId="16"/>
  </si>
  <si>
    <t>代表者名</t>
    <rPh sb="0" eb="2">
      <t>ダイヒョウ</t>
    </rPh>
    <rPh sb="2" eb="3">
      <t>シャ</t>
    </rPh>
    <rPh sb="3" eb="4">
      <t>メイ</t>
    </rPh>
    <phoneticPr fontId="16"/>
  </si>
  <si>
    <t>←プルダウンから選択してください</t>
    <rPh sb="8" eb="10">
      <t>センタク</t>
    </rPh>
    <phoneticPr fontId="12"/>
  </si>
  <si>
    <t>時間</t>
    <rPh sb="0" eb="2">
      <t>ジカン</t>
    </rPh>
    <phoneticPr fontId="12"/>
  </si>
  <si>
    <t>朝食</t>
    <rPh sb="0" eb="2">
      <t>チョウショク</t>
    </rPh>
    <phoneticPr fontId="12"/>
  </si>
  <si>
    <t>夕食</t>
    <rPh sb="0" eb="2">
      <t>ユウショク</t>
    </rPh>
    <phoneticPr fontId="12"/>
  </si>
  <si>
    <t>付き添いサービス</t>
    <rPh sb="0" eb="1">
      <t>ツ</t>
    </rPh>
    <rPh sb="2" eb="3">
      <t>ソ</t>
    </rPh>
    <phoneticPr fontId="12"/>
  </si>
  <si>
    <t>介護サポートサービス重要事項説明書</t>
    <phoneticPr fontId="16"/>
  </si>
  <si>
    <t>１　通所介護事業者（法人）の概要</t>
    <phoneticPr fontId="16"/>
  </si>
  <si>
    <t>　（１）　事業所名称及び所在地</t>
    <rPh sb="12" eb="15">
      <t>ショザイチ</t>
    </rPh>
    <phoneticPr fontId="16"/>
  </si>
  <si>
    <t>　（２）　営業日</t>
    <phoneticPr fontId="16"/>
  </si>
  <si>
    <t>２４時間</t>
    <rPh sb="2" eb="4">
      <t>ジカン</t>
    </rPh>
    <phoneticPr fontId="16"/>
  </si>
  <si>
    <t>　（１）　介護保険給付対象外サービス</t>
    <rPh sb="13" eb="14">
      <t>ガイ</t>
    </rPh>
    <phoneticPr fontId="16"/>
  </si>
  <si>
    <t>費　用</t>
    <rPh sb="0" eb="1">
      <t>ヒ</t>
    </rPh>
    <rPh sb="2" eb="3">
      <t>ヨウ</t>
    </rPh>
    <phoneticPr fontId="16"/>
  </si>
  <si>
    <t>時 間 外
サービス</t>
    <rPh sb="0" eb="1">
      <t>トキ</t>
    </rPh>
    <rPh sb="2" eb="3">
      <t>アイダ</t>
    </rPh>
    <rPh sb="4" eb="5">
      <t>ガイ</t>
    </rPh>
    <phoneticPr fontId="16"/>
  </si>
  <si>
    <t>朝　　食
サービス</t>
    <rPh sb="0" eb="1">
      <t>アサ</t>
    </rPh>
    <rPh sb="3" eb="4">
      <t>ショク</t>
    </rPh>
    <phoneticPr fontId="16"/>
  </si>
  <si>
    <t>時間外サービスを利用中の朝食提供。栄養バランスの取れた温かい食事を摂っていただけます。</t>
    <phoneticPr fontId="16"/>
  </si>
  <si>
    <t>保険外昼食
サービス</t>
    <rPh sb="0" eb="2">
      <t>ホケン</t>
    </rPh>
    <rPh sb="2" eb="3">
      <t>ガイ</t>
    </rPh>
    <rPh sb="3" eb="5">
      <t>チュウショク</t>
    </rPh>
    <phoneticPr fontId="16"/>
  </si>
  <si>
    <t>保険外通所介護サービスを利用中の昼食提供。栄養バランスの取れた温かい食事を摂っていただけます。</t>
    <phoneticPr fontId="16"/>
  </si>
  <si>
    <t>夕　　食
サービス</t>
    <rPh sb="0" eb="1">
      <t>ユウ</t>
    </rPh>
    <rPh sb="3" eb="4">
      <t>ショク</t>
    </rPh>
    <phoneticPr fontId="16"/>
  </si>
  <si>
    <t>時間外サービスを利用中の夕食提供。栄養バランスの取れた温かい食事を摂っていただけます。</t>
    <phoneticPr fontId="16"/>
  </si>
  <si>
    <t>保険外おむつ
サービス</t>
    <rPh sb="0" eb="2">
      <t>ホケン</t>
    </rPh>
    <rPh sb="2" eb="3">
      <t>ガイ</t>
    </rPh>
    <phoneticPr fontId="16"/>
  </si>
  <si>
    <t>リハビリパンツ</t>
  </si>
  <si>
    <t>パット</t>
  </si>
  <si>
    <t>保 険 外
通所介護
サービス</t>
    <rPh sb="0" eb="1">
      <t>ホ</t>
    </rPh>
    <rPh sb="2" eb="3">
      <t>ケン</t>
    </rPh>
    <rPh sb="4" eb="5">
      <t>ガイ</t>
    </rPh>
    <rPh sb="6" eb="8">
      <t>ツウショ</t>
    </rPh>
    <rPh sb="8" eb="10">
      <t>カイゴ</t>
    </rPh>
    <phoneticPr fontId="16"/>
  </si>
  <si>
    <t>要介護１～２　　</t>
    <phoneticPr fontId="16"/>
  </si>
  <si>
    <t>要介護３～５</t>
    <phoneticPr fontId="16"/>
  </si>
  <si>
    <t>夜　　間
サポート
サービス</t>
    <rPh sb="0" eb="1">
      <t>ヨル</t>
    </rPh>
    <rPh sb="3" eb="4">
      <t>アイダ</t>
    </rPh>
    <phoneticPr fontId="16"/>
  </si>
  <si>
    <t>付き添い
サービス</t>
    <rPh sb="0" eb="1">
      <t>ツ</t>
    </rPh>
    <rPh sb="2" eb="3">
      <t>ソ</t>
    </rPh>
    <phoneticPr fontId="16"/>
  </si>
  <si>
    <t>　（２）　利用料等のお支払方法</t>
    <phoneticPr fontId="16"/>
  </si>
  <si>
    <t>４　サービス内容に関する苦情等相談窓口</t>
    <phoneticPr fontId="16"/>
  </si>
  <si>
    <t>当 事 業 所
お　客　様
相 談 窓 口</t>
    <rPh sb="0" eb="1">
      <t>トウ</t>
    </rPh>
    <rPh sb="2" eb="3">
      <t>コト</t>
    </rPh>
    <rPh sb="4" eb="5">
      <t>ギョウ</t>
    </rPh>
    <rPh sb="6" eb="7">
      <t>ショ</t>
    </rPh>
    <rPh sb="10" eb="11">
      <t>キャク</t>
    </rPh>
    <rPh sb="12" eb="13">
      <t>サマ</t>
    </rPh>
    <rPh sb="14" eb="15">
      <t>ショウ</t>
    </rPh>
    <rPh sb="16" eb="17">
      <t>ダン</t>
    </rPh>
    <rPh sb="18" eb="19">
      <t>マド</t>
    </rPh>
    <rPh sb="20" eb="21">
      <t>クチ</t>
    </rPh>
    <phoneticPr fontId="16"/>
  </si>
  <si>
    <t>５　事故発生時における対応方法</t>
    <phoneticPr fontId="16"/>
  </si>
  <si>
    <t>　事業者は、介護サポートサービスの提供にあたって、事故が発生した場合には、速やかに利用者家族に連絡を行うとともに、利用者に対して応急措置、医療機関への搬送等必要な措置を講じます。発生した事故は記録に残し、内容によっては基準に基づき、指定権者、居宅介護支援事業所への報告を行います。</t>
    <phoneticPr fontId="16"/>
  </si>
  <si>
    <t>６　緊急時等における対応方法</t>
    <phoneticPr fontId="16"/>
  </si>
  <si>
    <t>　サービス提供中に病状の急変などがあった場合は、救急隊及び契約後に記入いただく「緊急事態に対応するための連絡カード」に記載のある利用者の主治医、緊急事態連絡先、介護支援専門員等へ連絡をします。</t>
    <rPh sb="24" eb="27">
      <t>キュウキュウタイ</t>
    </rPh>
    <rPh sb="27" eb="28">
      <t>オヨ</t>
    </rPh>
    <rPh sb="29" eb="31">
      <t>ケイヤク</t>
    </rPh>
    <rPh sb="31" eb="32">
      <t>ゴ</t>
    </rPh>
    <rPh sb="33" eb="35">
      <t>キニュウ</t>
    </rPh>
    <rPh sb="40" eb="42">
      <t>キンキュウ</t>
    </rPh>
    <rPh sb="42" eb="44">
      <t>ジタイ</t>
    </rPh>
    <rPh sb="45" eb="47">
      <t>タイオウ</t>
    </rPh>
    <rPh sb="52" eb="54">
      <t>レンラク</t>
    </rPh>
    <rPh sb="59" eb="61">
      <t>キサイ</t>
    </rPh>
    <rPh sb="68" eb="71">
      <t>シュジイ</t>
    </rPh>
    <rPh sb="72" eb="74">
      <t>キンキュウ</t>
    </rPh>
    <rPh sb="74" eb="76">
      <t>ジタイ</t>
    </rPh>
    <rPh sb="76" eb="79">
      <t>レンラクサキ</t>
    </rPh>
    <rPh sb="80" eb="82">
      <t>カイゴ</t>
    </rPh>
    <rPh sb="82" eb="84">
      <t>シエン</t>
    </rPh>
    <rPh sb="84" eb="87">
      <t>センモンイン</t>
    </rPh>
    <phoneticPr fontId="16"/>
  </si>
  <si>
    <t>７　非常災害時の対策</t>
    <phoneticPr fontId="16"/>
  </si>
  <si>
    <t>８　高齢者虐待防止について</t>
    <phoneticPr fontId="16"/>
  </si>
  <si>
    <t>９　身体的拘束等について</t>
    <rPh sb="4" eb="5">
      <t>テキ</t>
    </rPh>
    <rPh sb="7" eb="8">
      <t>トウ</t>
    </rPh>
    <phoneticPr fontId="16"/>
  </si>
  <si>
    <t>介護保険外サービス計画書作成にあたり、ケアカンファレンス、職員会議等の実施のため</t>
    <rPh sb="11" eb="12">
      <t>ショ</t>
    </rPh>
    <phoneticPr fontId="16"/>
  </si>
  <si>
    <t>介護サポートサービス契約書</t>
    <phoneticPr fontId="16"/>
  </si>
  <si>
    <t>　乙は、この契約に従い、甲がその有する能力に応じて可能な限り自立した日常生活を営むことができるよう介護サポートサービスを提供し、甲の必要な夜間の介護、健康状態及び心身機能の維持並びに甲の家族の身体的及び精神的負担の軽減等を図ります。</t>
    <rPh sb="79" eb="80">
      <t>オヨ</t>
    </rPh>
    <rPh sb="99" eb="100">
      <t>オヨ</t>
    </rPh>
    <phoneticPr fontId="16"/>
  </si>
  <si>
    <t>　乙は、介護サポートサービスの提供にあたっては、甲の健康状態や介護の必要性を考慮してサービス提供します。</t>
    <phoneticPr fontId="16"/>
  </si>
  <si>
    <r>
      <t xml:space="preserve"> この契約の契約期間は、</t>
    </r>
    <r>
      <rPr>
        <u/>
        <sz val="12"/>
        <rFont val="ＭＳ 明朝"/>
        <family val="1"/>
        <charset val="128"/>
      </rPr>
      <t/>
    </r>
    <phoneticPr fontId="16"/>
  </si>
  <si>
    <t>から１年間とします。</t>
  </si>
  <si>
    <t>　前項の契約期間の満了日の７日以上前までに甲から更新拒絶の意思表示がない場合は、この契約は同一の内容で１年間更新されるものとし、その後も同様とします。</t>
    <rPh sb="15" eb="17">
      <t>イジョウ</t>
    </rPh>
    <rPh sb="52" eb="54">
      <t>ネンカン</t>
    </rPh>
    <rPh sb="68" eb="70">
      <t>ドウヨウ</t>
    </rPh>
    <phoneticPr fontId="16"/>
  </si>
  <si>
    <t>　乙の運営規程の概要（事業の目的、職員の体制、介護サポートサービスの内容等）、従業者の勤務の体制等は、介護サポートサービス重要事項説明書に記載したとおりです。</t>
    <rPh sb="51" eb="53">
      <t>カイゴ</t>
    </rPh>
    <phoneticPr fontId="16"/>
  </si>
  <si>
    <t>（介護保険外サービス計画の作成・変更）</t>
  </si>
  <si>
    <t>　乙は、甲の心身の状況、希望及びその置かれている環境を踏まえて、介護保険外サービス計画を作成し、介護保険外サービス計画作成後も当該計画の実施状況の把握に努めます。</t>
    <rPh sb="12" eb="14">
      <t>キボウ</t>
    </rPh>
    <rPh sb="14" eb="15">
      <t>オヨ</t>
    </rPh>
    <phoneticPr fontId="16"/>
  </si>
  <si>
    <t>　介護保険外サービス計画には、在宅における生活の継続等の目標や、当該目標を達成するための具体的なサービス内容等を記載します。</t>
    <rPh sb="32" eb="34">
      <t>トウガイ</t>
    </rPh>
    <phoneticPr fontId="16"/>
  </si>
  <si>
    <t>　介護保険外サービス計画は、既に居宅サービス計画が作成されている場合は、当該居宅サービス計画の内容に沿って作成します。</t>
    <rPh sb="14" eb="15">
      <t>スデ</t>
    </rPh>
    <rPh sb="36" eb="38">
      <t>トウガイ</t>
    </rPh>
    <rPh sb="38" eb="40">
      <t>キョタク</t>
    </rPh>
    <rPh sb="44" eb="46">
      <t>ケイカク</t>
    </rPh>
    <phoneticPr fontId="16"/>
  </si>
  <si>
    <t>　乙は、次のいずれかに該当する場合には、第１条に規定する介護サポートサービスの目的に従い、介護サポート計画の変更を行います。</t>
    <phoneticPr fontId="16"/>
  </si>
  <si>
    <t>甲の心身の状況、その置かれている環境等の変化により当該介護保険外サービス計画を変更する必要がある場合</t>
  </si>
  <si>
    <t>甲が介護サポートサービスの内容や提供方法等の変更を希望する場合</t>
    <phoneticPr fontId="16"/>
  </si>
  <si>
    <t>　前項の変更に際して、居宅サービス計画の変更が必要となる場合は、乙は、速やかに介護支援専門員に連絡するなど必要な援助を行います。</t>
    <rPh sb="39" eb="41">
      <t>カイゴ</t>
    </rPh>
    <rPh sb="41" eb="43">
      <t>シエン</t>
    </rPh>
    <rPh sb="43" eb="45">
      <t>センモン</t>
    </rPh>
    <rPh sb="45" eb="46">
      <t>イン</t>
    </rPh>
    <phoneticPr fontId="16"/>
  </si>
  <si>
    <t>　乙は、介護保険外サービス計画を作成し又は変更した際には、これを甲及び甲の家族又は甲の後見人に対し説明し、甲の同意を得るものとします。</t>
    <rPh sb="35" eb="36">
      <t>コウ</t>
    </rPh>
    <rPh sb="53" eb="54">
      <t>コウ</t>
    </rPh>
    <phoneticPr fontId="16"/>
  </si>
  <si>
    <t>（介護サポートサービスの内容及びその提供）</t>
    <phoneticPr fontId="16"/>
  </si>
  <si>
    <t>　乙は、介護保険外サービス計画に沿って、サービスを提供します。</t>
  </si>
  <si>
    <t>　乙は、甲に対する介護サポートサービスの実施状況等に関する記録を整備し、その完結の日から５年間保存しなければなりません。</t>
    <rPh sb="6" eb="7">
      <t>タイ</t>
    </rPh>
    <phoneticPr fontId="16"/>
  </si>
  <si>
    <t>　甲に要介護認定が下りなかった場合の利用料金については、保険外通所介護サービス費用に準じます。</t>
    <rPh sb="1" eb="2">
      <t>コウ</t>
    </rPh>
    <rPh sb="3" eb="4">
      <t>ヨウ</t>
    </rPh>
    <rPh sb="4" eb="6">
      <t>カイゴ</t>
    </rPh>
    <rPh sb="6" eb="8">
      <t>ニンテイ</t>
    </rPh>
    <rPh sb="9" eb="10">
      <t>オ</t>
    </rPh>
    <rPh sb="15" eb="17">
      <t>バアイ</t>
    </rPh>
    <rPh sb="18" eb="20">
      <t>リヨウ</t>
    </rPh>
    <rPh sb="20" eb="22">
      <t>リョウキン</t>
    </rPh>
    <rPh sb="28" eb="30">
      <t>ホケン</t>
    </rPh>
    <rPh sb="30" eb="31">
      <t>ガイ</t>
    </rPh>
    <rPh sb="31" eb="35">
      <t>ツウショカイゴ</t>
    </rPh>
    <rPh sb="39" eb="41">
      <t>ヒヨウ</t>
    </rPh>
    <rPh sb="42" eb="43">
      <t>ジュン</t>
    </rPh>
    <phoneticPr fontId="16"/>
  </si>
  <si>
    <r>
      <t>　乙は、甲に対して介護サポートサービスを提供するに当たっては、居宅介護支援事業者</t>
    </r>
    <r>
      <rPr>
        <sz val="12"/>
        <rFont val="ＭＳ 明朝"/>
        <family val="1"/>
        <charset val="128"/>
      </rPr>
      <t>その他保健医療サービス又は福祉サービスを提供する者との密接な連携に努めます。</t>
    </r>
    <r>
      <rPr>
        <strike/>
        <sz val="12"/>
        <rFont val="ＭＳ 明朝"/>
        <family val="1"/>
        <charset val="128"/>
      </rPr>
      <t/>
    </r>
    <phoneticPr fontId="16"/>
  </si>
  <si>
    <t>　甲、甲の家族及び甲の後見人は、乙が甲のため介護サポートサービスを提供するにあたり、可能な限り乙に協力しなければなりません。</t>
    <rPh sb="3" eb="4">
      <t>コウ</t>
    </rPh>
    <phoneticPr fontId="16"/>
  </si>
  <si>
    <t>　乙は、苦情対応の責任者及びその連絡先を明らかにし、乙が提供した介護サポートサービスについて甲、甲の家族又は甲の後見人から苦情の申立てがある場合は、迅速かつ誠実に必要な対応を行います。</t>
  </si>
  <si>
    <t>　乙は、サービス提供中に、当該事業所従業者又は養護者（利用者の家族等高齢者を現に養護する者）による虐待を受けたと思われる利用者を発見した場合は、速やかに、これを市区町村に通報します。</t>
  </si>
  <si>
    <t>　乙は、サービス提供にあたり身体的拘束その他甲の行動を制限する行為を行いません。但し、甲又は他の利用者等の生命又は身体を保護するため緊急やむを得ない場合は、この限りではありません。</t>
  </si>
  <si>
    <t>　前項ただし書きの規定に基づき身体的拘束等の行為を行った場合には、乙は、直ちに、その日時、態様、甲の心身の状況、緊急やむを得なかった理由、当該行為が必要と判断した職員等及び当該行為を行った職員等の氏名その他必要な事項について、サービス提供記録等に記録します。</t>
  </si>
  <si>
    <t>　乙は、現に介護サポートサービスの提供を行っているときに甲に容態の急変が生じた場合その他必要な場合は、速やかに甲の主治医に連絡を取る等、必要な対応を講じます。</t>
    <rPh sb="6" eb="8">
      <t>カイゴ</t>
    </rPh>
    <phoneticPr fontId="16"/>
  </si>
  <si>
    <t>　乙が提供する介護サポートサービスの利用料その他の費用は、介護サポートサービス重要事項説明書に記載したとおりです。</t>
    <rPh sb="7" eb="9">
      <t>カイゴ</t>
    </rPh>
    <rPh sb="29" eb="31">
      <t>カイゴ</t>
    </rPh>
    <phoneticPr fontId="16"/>
  </si>
  <si>
    <t>　甲は、サービスの対価として前項の費用の額を元に月毎に算定された金額を乙の請求に従って乙に支払います。</t>
    <rPh sb="32" eb="34">
      <t>キンガク</t>
    </rPh>
    <rPh sb="35" eb="36">
      <t>オツ</t>
    </rPh>
    <rPh sb="37" eb="39">
      <t>セイキュウ</t>
    </rPh>
    <rPh sb="40" eb="41">
      <t>シタガ</t>
    </rPh>
    <phoneticPr fontId="16"/>
  </si>
  <si>
    <t>　乙は、提供する介護サポートサービスの内容及び利用料金を甲に説明し、甲の同意を得ます。</t>
    <rPh sb="28" eb="29">
      <t>コウ</t>
    </rPh>
    <phoneticPr fontId="16"/>
  </si>
  <si>
    <t>（２）</t>
  </si>
  <si>
    <t>おむつ代、リハビリパンツ代、パット代</t>
    <phoneticPr fontId="16"/>
  </si>
  <si>
    <t>（３）</t>
  </si>
  <si>
    <t>介護サポートサービスの中で提供される便宜のうち、日常生活においても通常必要となるものに係わる費用であって、甲に負担させることが適当と認められる費用</t>
    <phoneticPr fontId="16"/>
  </si>
  <si>
    <t>　乙は、甲が正当な理由で介護サポートサービスの利用をキャンセルした場合は、キャンセル料の支払いを求めないものとします。</t>
    <rPh sb="12" eb="14">
      <t>カイゴ</t>
    </rPh>
    <phoneticPr fontId="16"/>
  </si>
  <si>
    <t>　乙は、介護サポートサービスの利用料及びその他の費用の額を変更しようとする場合は、１ヶ月前までに甲に対し文書により通知し、変更の申し出を行います。</t>
    <rPh sb="4" eb="6">
      <t>カイゴ</t>
    </rPh>
    <rPh sb="43" eb="44">
      <t>ゲツ</t>
    </rPh>
    <phoneticPr fontId="16"/>
  </si>
  <si>
    <t>（利用者負担額の滞納）</t>
  </si>
  <si>
    <t>　甲が正当な理由なく乙に支払うべき利用料、その他の費用の額の全部又は一部を２月以上滞納した場合は、乙は、３０日以上の期間を定めて、期間内に滞納額の全額の支払いがないときは、この契約を解除する旨の催告をすることができます。</t>
    <rPh sb="10" eb="11">
      <t>オツ</t>
    </rPh>
    <rPh sb="12" eb="14">
      <t>シハラ</t>
    </rPh>
    <rPh sb="19" eb="20">
      <t>リョウ</t>
    </rPh>
    <rPh sb="23" eb="24">
      <t>ホカ</t>
    </rPh>
    <rPh sb="25" eb="27">
      <t>ヒヨウ</t>
    </rPh>
    <rPh sb="28" eb="29">
      <t>ガク</t>
    </rPh>
    <rPh sb="30" eb="32">
      <t>ゼンブ</t>
    </rPh>
    <rPh sb="32" eb="33">
      <t>マタ</t>
    </rPh>
    <rPh sb="34" eb="36">
      <t>イチブ</t>
    </rPh>
    <rPh sb="65" eb="67">
      <t>キカン</t>
    </rPh>
    <rPh sb="67" eb="68">
      <t>ナイ</t>
    </rPh>
    <rPh sb="69" eb="72">
      <t>タイノウガク</t>
    </rPh>
    <rPh sb="73" eb="75">
      <t>ゼンガク</t>
    </rPh>
    <rPh sb="76" eb="78">
      <t>シハラ</t>
    </rPh>
    <phoneticPr fontId="16"/>
  </si>
  <si>
    <t>　前項の催告をしたときは、乙は、介護支援専門員と、甲の日常生活を維持する見地から居宅サービス計画の変更、介護保険外の公的サービスの利用について必要な協議を行うものとします。</t>
    <rPh sb="16" eb="18">
      <t>カイゴ</t>
    </rPh>
    <rPh sb="18" eb="20">
      <t>シエン</t>
    </rPh>
    <rPh sb="20" eb="22">
      <t>センモン</t>
    </rPh>
    <rPh sb="22" eb="23">
      <t>イン</t>
    </rPh>
    <phoneticPr fontId="16"/>
  </si>
  <si>
    <t>　乙は、前項の規定により解除に至るまでは、滞納を理由として介護サポートサービスの提供を拒むことはできません。</t>
    <phoneticPr fontId="16"/>
  </si>
  <si>
    <t>　乙及びその従業員は、サービス担当者会議等において、又は甲の家族の個人情報を用いる場合は甲又は当該家族の同意を、甲の後見人の個人情報を用いる場合は後見人の同意を得なければ、使用することができません。</t>
  </si>
  <si>
    <t>※但し、乙が認める場合を除きます。</t>
    <rPh sb="1" eb="2">
      <t>タダ</t>
    </rPh>
    <rPh sb="4" eb="5">
      <t>オツ</t>
    </rPh>
    <rPh sb="6" eb="7">
      <t>ミト</t>
    </rPh>
    <rPh sb="9" eb="11">
      <t>バアイ</t>
    </rPh>
    <rPh sb="12" eb="13">
      <t>ノゾ</t>
    </rPh>
    <phoneticPr fontId="16"/>
  </si>
  <si>
    <t>　乙は、介護サポートサービスの提供にあたって、事故が発生した場合には、速やかに甲の家族及び甲の後見人に連絡を行うとともに、必要な措置を講じます。</t>
    <rPh sb="4" eb="6">
      <t>カイゴ</t>
    </rPh>
    <phoneticPr fontId="16"/>
  </si>
  <si>
    <t>　乙は、甲に対する通所介護サービスの提供にあたって、甲又は甲の家族の生命・身体・財産に損害が発生した場合は、速やかに甲又は甲の家族に対して損害を賠償します。但し、乙に故意、過失がない場合はこの限りではありません。</t>
  </si>
  <si>
    <t>　第１項の事故が発生した場合、内容によっては基準に基づき、保険者への報告を行います。</t>
    <rPh sb="29" eb="32">
      <t>ホケンシャ</t>
    </rPh>
    <phoneticPr fontId="16"/>
  </si>
  <si>
    <t>　甲は、代理人を選任してこの契約を締結させることができ、又、契約に定める権利の行使と義務の履行を代理して行わせることができます。</t>
    <phoneticPr fontId="16"/>
  </si>
  <si>
    <t>　この契約に起因する紛争に関して訴訟の必要が生じたときは、事業者の本店所在地を管轄する地方裁判所を第一審の専属的合意管轄裁判所とします。</t>
    <rPh sb="31" eb="32">
      <t>シャ</t>
    </rPh>
    <rPh sb="33" eb="35">
      <t>ホンテン</t>
    </rPh>
    <rPh sb="53" eb="56">
      <t>センゾクテキ</t>
    </rPh>
    <rPh sb="56" eb="58">
      <t>ゴウイ</t>
    </rPh>
    <phoneticPr fontId="16"/>
  </si>
  <si>
    <t>　この契約に定めのない事項については、関係法令を遵守し、甲乙の協議により定めます。</t>
    <phoneticPr fontId="16"/>
  </si>
  <si>
    <t>個人情報等の使用に係る同意書</t>
    <rPh sb="4" eb="5">
      <t>トウ</t>
    </rPh>
    <phoneticPr fontId="51"/>
  </si>
  <si>
    <t>管理者　殿</t>
    <rPh sb="0" eb="2">
      <t>カンリ</t>
    </rPh>
    <rPh sb="2" eb="3">
      <t>シャ</t>
    </rPh>
    <rPh sb="4" eb="5">
      <t>ドノ</t>
    </rPh>
    <phoneticPr fontId="16"/>
  </si>
  <si>
    <t>　私自身及び家族、代理人の個人情報を上記利用目的の必要最低限の範囲内で使用、提供、収集を行うことについて、下記の通り同意致します。</t>
    <rPh sb="9" eb="12">
      <t>ダイリニン</t>
    </rPh>
    <rPh sb="18" eb="20">
      <t>ジョウキ</t>
    </rPh>
    <rPh sb="53" eb="55">
      <t>カキ</t>
    </rPh>
    <rPh sb="56" eb="57">
      <t>トオ</t>
    </rPh>
    <phoneticPr fontId="12"/>
  </si>
  <si>
    <t xml:space="preserve">記 </t>
  </si>
  <si>
    <t>１．利用目的</t>
    <phoneticPr fontId="12"/>
  </si>
  <si>
    <t>介護計画書作成にあたり、ケアカンファレンス、職員会議の実施のため</t>
    <phoneticPr fontId="16"/>
  </si>
  <si>
    <t>居宅介護支援事業者、医療機関、介護サービス事業者、福祉事業者等との連携（サービス担当者会議）、照会への回答のため</t>
    <phoneticPr fontId="16"/>
  </si>
  <si>
    <t>利用の有無、利用時の様子に関する家族等への心身状況説明のため</t>
  </si>
  <si>
    <t>（４）</t>
  </si>
  <si>
    <t>介護事故、緊急時等の対応及び、報告のため</t>
    <rPh sb="10" eb="12">
      <t>タイオウ</t>
    </rPh>
    <rPh sb="12" eb="13">
      <t>オヨ</t>
    </rPh>
    <phoneticPr fontId="12"/>
  </si>
  <si>
    <t>介護保険事務（請求処理、会計処理等）</t>
    <phoneticPr fontId="12"/>
  </si>
  <si>
    <t>（６）</t>
  </si>
  <si>
    <t>損害賠償保険などに係る保険会社等への相談または届出等</t>
    <phoneticPr fontId="12"/>
  </si>
  <si>
    <t>（７）</t>
  </si>
  <si>
    <t>行政等外部監査機関、評価機関等への情報提供</t>
    <phoneticPr fontId="12"/>
  </si>
  <si>
    <t>（８）</t>
  </si>
  <si>
    <t>上記各号に関わらず、緊急を要する時の連絡等の場合</t>
    <phoneticPr fontId="12"/>
  </si>
  <si>
    <t>２．利用期間　　　</t>
    <phoneticPr fontId="12"/>
  </si>
  <si>
    <t>介護サービス提供期間及び契約期間</t>
    <phoneticPr fontId="16"/>
  </si>
  <si>
    <t>３．利用条件</t>
    <rPh sb="4" eb="6">
      <t>ジョウケン</t>
    </rPh>
    <phoneticPr fontId="12"/>
  </si>
  <si>
    <t>個人情報の提供は必要最低限とし、サービス提供に関わる目的以外で使用いたしません。</t>
    <phoneticPr fontId="12"/>
  </si>
  <si>
    <t>また、利用者とのサービス利用に関わる契約の締結からサービス終了後においても第三者に漏らすことはございません。個人情報に関する基本方針に基づき取扱いを行います。</t>
  </si>
  <si>
    <t>項 目</t>
    <phoneticPr fontId="51"/>
  </si>
  <si>
    <t xml:space="preserve"> 使用および対応 </t>
    <phoneticPr fontId="51"/>
  </si>
  <si>
    <t xml:space="preserve">同意欄 </t>
    <phoneticPr fontId="51"/>
  </si>
  <si>
    <t>利用者</t>
  </si>
  <si>
    <t>家族</t>
  </si>
  <si>
    <t>利用者・家族等の個人情報</t>
    <rPh sb="6" eb="7">
      <t>トウ</t>
    </rPh>
    <rPh sb="8" eb="10">
      <t>コジン</t>
    </rPh>
    <rPh sb="10" eb="12">
      <t>ジョウホウ</t>
    </rPh>
    <phoneticPr fontId="51"/>
  </si>
  <si>
    <t>上記利用目的の（１）～（８）の内容に基づく、関係機関等への個人情報の使用、提供、収集</t>
    <rPh sb="0" eb="2">
      <t>ジョウキ</t>
    </rPh>
    <rPh sb="2" eb="4">
      <t>リヨウ</t>
    </rPh>
    <rPh sb="4" eb="6">
      <t>モクテキ</t>
    </rPh>
    <rPh sb="15" eb="17">
      <t>ナイヨウ</t>
    </rPh>
    <rPh sb="18" eb="19">
      <t>モト</t>
    </rPh>
    <rPh sb="22" eb="24">
      <t>カンケイ</t>
    </rPh>
    <rPh sb="24" eb="26">
      <t>キカン</t>
    </rPh>
    <rPh sb="26" eb="27">
      <t>トウ</t>
    </rPh>
    <rPh sb="29" eb="31">
      <t>コジン</t>
    </rPh>
    <rPh sb="31" eb="33">
      <t>ジョウホウ</t>
    </rPh>
    <rPh sb="34" eb="36">
      <t>シヨウ</t>
    </rPh>
    <rPh sb="37" eb="39">
      <t>テイキョウ</t>
    </rPh>
    <rPh sb="40" eb="42">
      <t>シュウシュウ</t>
    </rPh>
    <phoneticPr fontId="51"/>
  </si>
  <si>
    <t>する・しない</t>
    <phoneticPr fontId="51"/>
  </si>
  <si>
    <t>事業所内での氏名等の掲示</t>
    <rPh sb="0" eb="2">
      <t>ジギョウ</t>
    </rPh>
    <rPh sb="2" eb="3">
      <t>ショ</t>
    </rPh>
    <phoneticPr fontId="51"/>
  </si>
  <si>
    <t>玄関等の当日利用者氏名の掲示</t>
    <rPh sb="0" eb="2">
      <t>ゲンカン</t>
    </rPh>
    <rPh sb="2" eb="3">
      <t>トウ</t>
    </rPh>
    <rPh sb="4" eb="6">
      <t>トウジツ</t>
    </rPh>
    <rPh sb="9" eb="11">
      <t>シメイ</t>
    </rPh>
    <phoneticPr fontId="51"/>
  </si>
  <si>
    <t>展示作品等への氏名等の表示</t>
    <phoneticPr fontId="51"/>
  </si>
  <si>
    <t>写真等（画像・動画含む）の取扱い</t>
    <phoneticPr fontId="51"/>
  </si>
  <si>
    <t>行事スナップ等の写真等の撮影</t>
    <phoneticPr fontId="51"/>
  </si>
  <si>
    <t>事業所内での掲示、広報誌等への掲載</t>
    <rPh sb="0" eb="3">
      <t>ジギョウショ</t>
    </rPh>
    <rPh sb="3" eb="4">
      <t>ナイ</t>
    </rPh>
    <rPh sb="6" eb="8">
      <t>ケイジ</t>
    </rPh>
    <phoneticPr fontId="51"/>
  </si>
  <si>
    <t>ホームページ、SNS等での掲載</t>
    <rPh sb="10" eb="11">
      <t>トウ</t>
    </rPh>
    <rPh sb="13" eb="15">
      <t>ケイサイ</t>
    </rPh>
    <phoneticPr fontId="51"/>
  </si>
  <si>
    <t>○をつける</t>
    <phoneticPr fontId="51"/>
  </si>
  <si>
    <t>撮影された写真掲載</t>
    <rPh sb="0" eb="2">
      <t>サツエイ</t>
    </rPh>
    <rPh sb="5" eb="7">
      <t>シャシン</t>
    </rPh>
    <rPh sb="7" eb="9">
      <t>ケイサイ</t>
    </rPh>
    <phoneticPr fontId="51"/>
  </si>
  <si>
    <t>写真を加工し、個人が特定出来ない状態</t>
    <phoneticPr fontId="51"/>
  </si>
  <si>
    <t>後姿や身体の一部等、個人が特定出来ない状態</t>
    <phoneticPr fontId="51"/>
  </si>
  <si>
    <t>雑誌・新聞・ＴＶ取材等への協力</t>
    <phoneticPr fontId="51"/>
  </si>
  <si>
    <t xml:space="preserve">◇ 全項目について、同意欄に同意の意志（する・しない）を○印でご記入下さい。 </t>
  </si>
  <si>
    <t>　　　利用者</t>
  </si>
  <si>
    <t>　　　家族代表</t>
    <rPh sb="5" eb="7">
      <t>ダイヒョウ</t>
    </rPh>
    <phoneticPr fontId="12"/>
  </si>
  <si>
    <t>　　　代筆者（代理人）</t>
    <rPh sb="3" eb="6">
      <t>ダイヒツシャ</t>
    </rPh>
    <rPh sb="7" eb="10">
      <t>ダイリニン</t>
    </rPh>
    <phoneticPr fontId="12"/>
  </si>
  <si>
    <t>ｈ</t>
    <phoneticPr fontId="16"/>
  </si>
  <si>
    <t>（第３号様式）</t>
    <rPh sb="1" eb="2">
      <t>ダイ</t>
    </rPh>
    <rPh sb="3" eb="4">
      <t>ゴウ</t>
    </rPh>
    <rPh sb="4" eb="6">
      <t>ヨウシキ</t>
    </rPh>
    <phoneticPr fontId="53"/>
  </si>
  <si>
    <t>委　任　状</t>
    <rPh sb="0" eb="1">
      <t>イ</t>
    </rPh>
    <rPh sb="2" eb="3">
      <t>ニン</t>
    </rPh>
    <rPh sb="4" eb="5">
      <t>ジョウ</t>
    </rPh>
    <phoneticPr fontId="53"/>
  </si>
  <si>
    <t>記</t>
    <rPh sb="0" eb="1">
      <t>キ</t>
    </rPh>
    <phoneticPr fontId="53"/>
  </si>
  <si>
    <t>１．</t>
    <phoneticPr fontId="53"/>
  </si>
  <si>
    <t>日常生活に必要な費用の支払い</t>
    <rPh sb="0" eb="2">
      <t>ニチジョウ</t>
    </rPh>
    <rPh sb="2" eb="4">
      <t>セイカツ</t>
    </rPh>
    <rPh sb="5" eb="7">
      <t>ヒツヨウ</t>
    </rPh>
    <rPh sb="8" eb="10">
      <t>ヒヨウ</t>
    </rPh>
    <rPh sb="11" eb="13">
      <t>シハラ</t>
    </rPh>
    <phoneticPr fontId="53"/>
  </si>
  <si>
    <t>２．</t>
    <phoneticPr fontId="53"/>
  </si>
  <si>
    <t>外出行事への参加等、個別費用が発生した場合の支払い</t>
    <rPh sb="0" eb="2">
      <t>ガイシュツ</t>
    </rPh>
    <rPh sb="2" eb="4">
      <t>ギョウジ</t>
    </rPh>
    <rPh sb="6" eb="9">
      <t>サンカナド</t>
    </rPh>
    <rPh sb="10" eb="12">
      <t>コベツ</t>
    </rPh>
    <rPh sb="12" eb="14">
      <t>ヒヨウ</t>
    </rPh>
    <rPh sb="15" eb="17">
      <t>ハッセイ</t>
    </rPh>
    <rPh sb="19" eb="21">
      <t>バアイ</t>
    </rPh>
    <phoneticPr fontId="53"/>
  </si>
  <si>
    <t>３．</t>
    <phoneticPr fontId="53"/>
  </si>
  <si>
    <t>医療費の支払い</t>
    <rPh sb="0" eb="3">
      <t>イリョウヒ</t>
    </rPh>
    <rPh sb="4" eb="6">
      <t>シハラ</t>
    </rPh>
    <phoneticPr fontId="53"/>
  </si>
  <si>
    <t>４．</t>
    <phoneticPr fontId="53"/>
  </si>
  <si>
    <t>おむつ・リハビリパンツ・パッド等の支払い</t>
    <phoneticPr fontId="53"/>
  </si>
  <si>
    <t>５．</t>
    <phoneticPr fontId="53"/>
  </si>
  <si>
    <t>その他、特別に依頼した下記の事項</t>
    <phoneticPr fontId="53"/>
  </si>
  <si>
    <t>特別依頼事項：</t>
    <rPh sb="0" eb="2">
      <t>トクベツ</t>
    </rPh>
    <rPh sb="2" eb="4">
      <t>イライ</t>
    </rPh>
    <rPh sb="4" eb="6">
      <t>ジコウ</t>
    </rPh>
    <phoneticPr fontId="53"/>
  </si>
  <si>
    <t>ただし、重要な財産の保全（処分を含む）運用に関する事項は、依頼することはできません。</t>
    <rPh sb="4" eb="6">
      <t>ジュウヨウ</t>
    </rPh>
    <rPh sb="7" eb="9">
      <t>ザイサン</t>
    </rPh>
    <rPh sb="10" eb="12">
      <t>ホゼン</t>
    </rPh>
    <rPh sb="13" eb="15">
      <t>ショブン</t>
    </rPh>
    <rPh sb="16" eb="17">
      <t>フク</t>
    </rPh>
    <rPh sb="19" eb="21">
      <t>ウンヨウ</t>
    </rPh>
    <rPh sb="22" eb="23">
      <t>カン</t>
    </rPh>
    <rPh sb="25" eb="27">
      <t>ジコウ</t>
    </rPh>
    <rPh sb="29" eb="31">
      <t>イライ</t>
    </rPh>
    <phoneticPr fontId="53"/>
  </si>
  <si>
    <t>※上記記載事項のうち、依頼しない事項については、横線を引いてその上に押印して下さい。</t>
    <rPh sb="1" eb="3">
      <t>ジョウキ</t>
    </rPh>
    <rPh sb="3" eb="5">
      <t>キサイ</t>
    </rPh>
    <rPh sb="5" eb="7">
      <t>ジコウ</t>
    </rPh>
    <rPh sb="11" eb="13">
      <t>イライ</t>
    </rPh>
    <rPh sb="16" eb="18">
      <t>ジコウ</t>
    </rPh>
    <rPh sb="24" eb="26">
      <t>ヨコセン</t>
    </rPh>
    <rPh sb="27" eb="28">
      <t>ヒ</t>
    </rPh>
    <rPh sb="32" eb="33">
      <t>ウエ</t>
    </rPh>
    <rPh sb="34" eb="36">
      <t>オウイン</t>
    </rPh>
    <rPh sb="38" eb="39">
      <t>クダ</t>
    </rPh>
    <phoneticPr fontId="53"/>
  </si>
  <si>
    <t>利用者　甲</t>
    <rPh sb="4" eb="5">
      <t>コウ</t>
    </rPh>
    <phoneticPr fontId="16"/>
  </si>
  <si>
    <t>代理人（又は、甲の家族代表）</t>
  </si>
  <si>
    <t>緊急事態に対応するための連絡カード</t>
    <rPh sb="0" eb="2">
      <t>キンキュウ</t>
    </rPh>
    <rPh sb="2" eb="4">
      <t>ジタイ</t>
    </rPh>
    <rPh sb="5" eb="7">
      <t>タイオウ</t>
    </rPh>
    <rPh sb="12" eb="14">
      <t>レンラク</t>
    </rPh>
    <phoneticPr fontId="12"/>
  </si>
  <si>
    <t>☆</t>
    <phoneticPr fontId="12"/>
  </si>
  <si>
    <t>連絡カードご記入者は第１連絡者の方にお願い致します。緊急連絡先に変更があった場合は至急</t>
    <rPh sb="0" eb="2">
      <t>レンラク</t>
    </rPh>
    <rPh sb="6" eb="8">
      <t>キニュウ</t>
    </rPh>
    <rPh sb="8" eb="9">
      <t>シャ</t>
    </rPh>
    <rPh sb="10" eb="12">
      <t>ダイイチ</t>
    </rPh>
    <rPh sb="12" eb="14">
      <t>レンラク</t>
    </rPh>
    <rPh sb="14" eb="15">
      <t>シャ</t>
    </rPh>
    <rPh sb="16" eb="17">
      <t>カタ</t>
    </rPh>
    <rPh sb="19" eb="20">
      <t>ネガ</t>
    </rPh>
    <rPh sb="21" eb="22">
      <t>イタ</t>
    </rPh>
    <rPh sb="26" eb="28">
      <t>キンキュウ</t>
    </rPh>
    <rPh sb="28" eb="31">
      <t>レンラクサキ</t>
    </rPh>
    <rPh sb="32" eb="34">
      <t>ヘンコウ</t>
    </rPh>
    <rPh sb="38" eb="40">
      <t>バアイ</t>
    </rPh>
    <rPh sb="41" eb="43">
      <t>シキュウ</t>
    </rPh>
    <phoneticPr fontId="12"/>
  </si>
  <si>
    <t>初回ご利用時までにはご記入下さい。</t>
    <rPh sb="0" eb="2">
      <t>ショカイ</t>
    </rPh>
    <rPh sb="3" eb="5">
      <t>リヨウ</t>
    </rPh>
    <rPh sb="5" eb="6">
      <t>ジ</t>
    </rPh>
    <rPh sb="11" eb="13">
      <t>キニュウ</t>
    </rPh>
    <rPh sb="13" eb="14">
      <t>クダ</t>
    </rPh>
    <phoneticPr fontId="12"/>
  </si>
  <si>
    <t>フリガナ
利用者のお名前</t>
    <rPh sb="10" eb="12">
      <t>ナマエ</t>
    </rPh>
    <phoneticPr fontId="12"/>
  </si>
  <si>
    <t>男</t>
    <rPh sb="0" eb="1">
      <t>オトコ</t>
    </rPh>
    <phoneticPr fontId="12"/>
  </si>
  <si>
    <t>介護者の
お名前</t>
    <rPh sb="0" eb="3">
      <t>カイゴシャ</t>
    </rPh>
    <rPh sb="6" eb="8">
      <t>ナマエ</t>
    </rPh>
    <phoneticPr fontId="12"/>
  </si>
  <si>
    <t>（続柄）</t>
    <rPh sb="1" eb="3">
      <t>ツヅキガラ</t>
    </rPh>
    <phoneticPr fontId="12"/>
  </si>
  <si>
    <t>様</t>
    <rPh sb="0" eb="1">
      <t>サマ</t>
    </rPh>
    <phoneticPr fontId="16"/>
  </si>
  <si>
    <t>・</t>
    <phoneticPr fontId="12"/>
  </si>
  <si>
    <t>女</t>
    <rPh sb="0" eb="1">
      <t>オンナ</t>
    </rPh>
    <phoneticPr fontId="12"/>
  </si>
  <si>
    <t>生年月日</t>
    <rPh sb="0" eb="2">
      <t>セイネン</t>
    </rPh>
    <rPh sb="2" eb="4">
      <t>ガッピ</t>
    </rPh>
    <phoneticPr fontId="12"/>
  </si>
  <si>
    <t>大正
昭和</t>
    <rPh sb="0" eb="2">
      <t>タイショウ</t>
    </rPh>
    <rPh sb="3" eb="5">
      <t>ショウワ</t>
    </rPh>
    <phoneticPr fontId="12"/>
  </si>
  <si>
    <t>年</t>
    <rPh sb="0" eb="1">
      <t>ネン</t>
    </rPh>
    <phoneticPr fontId="12"/>
  </si>
  <si>
    <t>月</t>
    <rPh sb="0" eb="1">
      <t>ゲツ</t>
    </rPh>
    <phoneticPr fontId="12"/>
  </si>
  <si>
    <t>満</t>
    <rPh sb="0" eb="1">
      <t>マン</t>
    </rPh>
    <phoneticPr fontId="12"/>
  </si>
  <si>
    <t>歳</t>
    <rPh sb="0" eb="1">
      <t>サイ</t>
    </rPh>
    <phoneticPr fontId="12"/>
  </si>
  <si>
    <t>大
昭・平</t>
    <rPh sb="0" eb="1">
      <t>オオ</t>
    </rPh>
    <rPh sb="2" eb="3">
      <t>アキラ</t>
    </rPh>
    <rPh sb="4" eb="5">
      <t>タイラ</t>
    </rPh>
    <phoneticPr fontId="12"/>
  </si>
  <si>
    <t>住  所</t>
    <rPh sb="0" eb="1">
      <t>ジュウ</t>
    </rPh>
    <rPh sb="3" eb="4">
      <t>ショ</t>
    </rPh>
    <phoneticPr fontId="12"/>
  </si>
  <si>
    <t>電話番号</t>
    <rPh sb="0" eb="2">
      <t>デンワ</t>
    </rPh>
    <rPh sb="2" eb="4">
      <t>バンゴウ</t>
    </rPh>
    <phoneticPr fontId="12"/>
  </si>
  <si>
    <t>保険証番号</t>
    <rPh sb="0" eb="3">
      <t>ホケンショウ</t>
    </rPh>
    <rPh sb="3" eb="5">
      <t>バンゴウ</t>
    </rPh>
    <phoneticPr fontId="12"/>
  </si>
  <si>
    <t>障害者手帳</t>
    <rPh sb="0" eb="3">
      <t>ショウガイシャ</t>
    </rPh>
    <rPh sb="3" eb="5">
      <t>テチョウ</t>
    </rPh>
    <phoneticPr fontId="12"/>
  </si>
  <si>
    <r>
      <t xml:space="preserve"> 有　・　無</t>
    </r>
    <r>
      <rPr>
        <sz val="10"/>
        <rFont val="ＭＳ Ｐ明朝"/>
        <family val="1"/>
        <charset val="128"/>
      </rPr>
      <t/>
    </r>
    <rPh sb="1" eb="2">
      <t>ア</t>
    </rPh>
    <rPh sb="5" eb="6">
      <t>ム</t>
    </rPh>
    <phoneticPr fontId="12"/>
  </si>
  <si>
    <t>番号</t>
    <rPh sb="0" eb="2">
      <t>バンゴウ</t>
    </rPh>
    <phoneticPr fontId="12"/>
  </si>
  <si>
    <t>既 往 症</t>
    <rPh sb="0" eb="1">
      <t>キ</t>
    </rPh>
    <rPh sb="2" eb="3">
      <t>オウ</t>
    </rPh>
    <rPh sb="4" eb="5">
      <t>ショウ</t>
    </rPh>
    <phoneticPr fontId="12"/>
  </si>
  <si>
    <t>服  薬</t>
    <rPh sb="0" eb="1">
      <t>フク</t>
    </rPh>
    <rPh sb="3" eb="4">
      <t>クスリ</t>
    </rPh>
    <phoneticPr fontId="12"/>
  </si>
  <si>
    <r>
      <t xml:space="preserve"> 有　・　無</t>
    </r>
    <r>
      <rPr>
        <sz val="10"/>
        <rFont val="ＭＳ Ｐ明朝"/>
        <family val="1"/>
        <charset val="128"/>
      </rPr>
      <t>（何のための薬ですか）</t>
    </r>
    <r>
      <rPr>
        <sz val="11"/>
        <rFont val="ＭＳ Ｐ明朝"/>
        <family val="1"/>
        <charset val="128"/>
      </rPr>
      <t xml:space="preserve">
</t>
    </r>
    <rPh sb="1" eb="2">
      <t>ア</t>
    </rPh>
    <rPh sb="5" eb="6">
      <t>ム</t>
    </rPh>
    <rPh sb="7" eb="8">
      <t>ナニ</t>
    </rPh>
    <rPh sb="12" eb="13">
      <t>クスリ</t>
    </rPh>
    <phoneticPr fontId="12"/>
  </si>
  <si>
    <t>障害などの
注意点</t>
    <rPh sb="0" eb="2">
      <t>ショウガイ</t>
    </rPh>
    <rPh sb="6" eb="9">
      <t>チュウイテン</t>
    </rPh>
    <phoneticPr fontId="12"/>
  </si>
  <si>
    <t>主治医
（病院名・科）</t>
    <rPh sb="0" eb="3">
      <t>シュジイ</t>
    </rPh>
    <rPh sb="5" eb="7">
      <t>ビョウイン</t>
    </rPh>
    <rPh sb="7" eb="8">
      <t>メイ</t>
    </rPh>
    <rPh sb="9" eb="10">
      <t>カ</t>
    </rPh>
    <phoneticPr fontId="12"/>
  </si>
  <si>
    <t>連絡先</t>
    <rPh sb="0" eb="2">
      <t>レンラク</t>
    </rPh>
    <rPh sb="2" eb="3">
      <t>サキ</t>
    </rPh>
    <phoneticPr fontId="12"/>
  </si>
  <si>
    <t>主治医
住　所</t>
    <rPh sb="0" eb="3">
      <t>シュジイ</t>
    </rPh>
    <rPh sb="4" eb="5">
      <t>ジュウ</t>
    </rPh>
    <rPh sb="6" eb="7">
      <t>ショ</t>
    </rPh>
    <phoneticPr fontId="12"/>
  </si>
  <si>
    <t>緊急事態
移送病院</t>
    <rPh sb="0" eb="2">
      <t>キンキュウ</t>
    </rPh>
    <rPh sb="2" eb="4">
      <t>ジタイ</t>
    </rPh>
    <rPh sb="5" eb="7">
      <t>イソウ</t>
    </rPh>
    <rPh sb="7" eb="9">
      <t>ビョウイン</t>
    </rPh>
    <phoneticPr fontId="12"/>
  </si>
  <si>
    <t>希 望（</t>
    <rPh sb="0" eb="1">
      <t>マレ</t>
    </rPh>
    <rPh sb="2" eb="3">
      <t>ノゾミ</t>
    </rPh>
    <phoneticPr fontId="12"/>
  </si>
  <si>
    <t>有</t>
    <rPh sb="0" eb="1">
      <t>ア</t>
    </rPh>
    <phoneticPr fontId="12"/>
  </si>
  <si>
    <t>無</t>
    <rPh sb="0" eb="1">
      <t>ナシ</t>
    </rPh>
    <phoneticPr fontId="12"/>
  </si>
  <si>
    <t>）</t>
    <phoneticPr fontId="12"/>
  </si>
  <si>
    <t>◎</t>
    <phoneticPr fontId="12"/>
  </si>
  <si>
    <t>第一連絡先はどちらにしますか・・・・</t>
    <rPh sb="0" eb="2">
      <t>ダイイチ</t>
    </rPh>
    <rPh sb="2" eb="5">
      <t>レンラクサキ</t>
    </rPh>
    <phoneticPr fontId="12"/>
  </si>
  <si>
    <t>救急車　　・　　家族　　・　　主治医</t>
    <rPh sb="0" eb="3">
      <t>キュウキュウシャ</t>
    </rPh>
    <rPh sb="15" eb="18">
      <t>シュジイ</t>
    </rPh>
    <phoneticPr fontId="12"/>
  </si>
  <si>
    <t>緊急事態連絡先の順序</t>
    <phoneticPr fontId="12"/>
  </si>
  <si>
    <t>順序</t>
    <rPh sb="0" eb="2">
      <t>ジュンジョ</t>
    </rPh>
    <phoneticPr fontId="12"/>
  </si>
  <si>
    <t>氏名（機関名）</t>
    <rPh sb="0" eb="2">
      <t>シメイ</t>
    </rPh>
    <rPh sb="3" eb="5">
      <t>キカン</t>
    </rPh>
    <rPh sb="5" eb="6">
      <t>メイ</t>
    </rPh>
    <phoneticPr fontId="12"/>
  </si>
  <si>
    <t>利用者との関係</t>
    <rPh sb="5" eb="7">
      <t>カンケイ</t>
    </rPh>
    <phoneticPr fontId="12"/>
  </si>
  <si>
    <t>住    所</t>
    <rPh sb="0" eb="1">
      <t>ジュウ</t>
    </rPh>
    <rPh sb="5" eb="6">
      <t>ショ</t>
    </rPh>
    <phoneticPr fontId="12"/>
  </si>
  <si>
    <t>１</t>
    <phoneticPr fontId="12"/>
  </si>
  <si>
    <t xml:space="preserve">フリガナ
</t>
    <phoneticPr fontId="12"/>
  </si>
  <si>
    <t>２</t>
    <phoneticPr fontId="12"/>
  </si>
  <si>
    <t>３</t>
    <phoneticPr fontId="12"/>
  </si>
  <si>
    <t>サービス利用状況：　□デイ　・　□短期　・　□ヘルパー　・　□訪問看護　・　□訪問入浴　・　□配食</t>
    <rPh sb="4" eb="6">
      <t>リヨウ</t>
    </rPh>
    <rPh sb="6" eb="8">
      <t>ジョウキョウ</t>
    </rPh>
    <rPh sb="17" eb="19">
      <t>タンキ</t>
    </rPh>
    <rPh sb="31" eb="33">
      <t>ホウモン</t>
    </rPh>
    <rPh sb="33" eb="35">
      <t>カンゴ</t>
    </rPh>
    <rPh sb="39" eb="41">
      <t>ホウモン</t>
    </rPh>
    <rPh sb="41" eb="43">
      <t>ニュウヨク</t>
    </rPh>
    <rPh sb="47" eb="48">
      <t>クバ</t>
    </rPh>
    <rPh sb="48" eb="49">
      <t>ショク</t>
    </rPh>
    <phoneticPr fontId="12"/>
  </si>
  <si>
    <t>事業所使用欄</t>
    <rPh sb="0" eb="3">
      <t>ジギョウショ</t>
    </rPh>
    <rPh sb="3" eb="5">
      <t>シヨウ</t>
    </rPh>
    <rPh sb="5" eb="6">
      <t>ラン</t>
    </rPh>
    <phoneticPr fontId="12"/>
  </si>
  <si>
    <t>受領日</t>
    <rPh sb="0" eb="3">
      <t>ジュリョウビ</t>
    </rPh>
    <phoneticPr fontId="12"/>
  </si>
  <si>
    <t>月</t>
    <rPh sb="0" eb="1">
      <t>ガツ</t>
    </rPh>
    <phoneticPr fontId="12"/>
  </si>
  <si>
    <t>受領者</t>
    <rPh sb="0" eb="2">
      <t>ジュリョウ</t>
    </rPh>
    <rPh sb="2" eb="3">
      <t>シャ</t>
    </rPh>
    <phoneticPr fontId="12"/>
  </si>
  <si>
    <t>管理者確認欄</t>
    <rPh sb="0" eb="2">
      <t>カンリ</t>
    </rPh>
    <rPh sb="2" eb="3">
      <t>シャ</t>
    </rPh>
    <rPh sb="3" eb="5">
      <t>カクニン</t>
    </rPh>
    <rPh sb="5" eb="6">
      <t>ラン</t>
    </rPh>
    <phoneticPr fontId="12"/>
  </si>
  <si>
    <t>107030301_001_150401</t>
  </si>
  <si>
    <t>請　求　内　容　内　訳　書</t>
    <rPh sb="0" eb="1">
      <t>ショウ</t>
    </rPh>
    <rPh sb="2" eb="3">
      <t>モトム</t>
    </rPh>
    <rPh sb="4" eb="5">
      <t>ナイ</t>
    </rPh>
    <rPh sb="6" eb="7">
      <t>カタチ</t>
    </rPh>
    <rPh sb="8" eb="9">
      <t>ナイ</t>
    </rPh>
    <rPh sb="10" eb="11">
      <t>ヤク</t>
    </rPh>
    <rPh sb="12" eb="13">
      <t>ショ</t>
    </rPh>
    <phoneticPr fontId="12"/>
  </si>
  <si>
    <t>月分</t>
    <rPh sb="0" eb="2">
      <t>ガツブン</t>
    </rPh>
    <phoneticPr fontId="16"/>
  </si>
  <si>
    <t>　当事業所が提供したサービスは以下の通りです。</t>
    <rPh sb="1" eb="2">
      <t>トウ</t>
    </rPh>
    <rPh sb="2" eb="5">
      <t>ジギョウショ</t>
    </rPh>
    <rPh sb="6" eb="8">
      <t>テイキョウ</t>
    </rPh>
    <rPh sb="15" eb="17">
      <t>イカ</t>
    </rPh>
    <rPh sb="18" eb="19">
      <t>トオ</t>
    </rPh>
    <phoneticPr fontId="16"/>
  </si>
  <si>
    <t>　要介護度：</t>
    <rPh sb="1" eb="4">
      <t>ヨウカイゴ</t>
    </rPh>
    <rPh sb="4" eb="5">
      <t>ド</t>
    </rPh>
    <phoneticPr fontId="12"/>
  </si>
  <si>
    <t>要介護3</t>
    <rPh sb="0" eb="1">
      <t>ヨウ</t>
    </rPh>
    <rPh sb="1" eb="3">
      <t>カイゴ</t>
    </rPh>
    <phoneticPr fontId="12"/>
  </si>
  <si>
    <r>
      <rPr>
        <sz val="10"/>
        <rFont val="ＭＳ 明朝"/>
        <family val="1"/>
        <charset val="128"/>
      </rPr>
      <t>処遇改善加算
⑤×1.9％（0.019）
（小数点以下</t>
    </r>
    <r>
      <rPr>
        <b/>
        <sz val="10"/>
        <color rgb="FFFF0000"/>
        <rFont val="ＭＳ 明朝"/>
        <family val="1"/>
        <charset val="128"/>
      </rPr>
      <t>四捨五入</t>
    </r>
    <r>
      <rPr>
        <sz val="10"/>
        <rFont val="ＭＳ 明朝"/>
        <family val="1"/>
        <charset val="128"/>
      </rPr>
      <t>）</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</si>
  <si>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処遇改善加算取得状況:</t>
    <rPh sb="0" eb="2">
      <t>ショグウ</t>
    </rPh>
    <rPh sb="2" eb="4">
      <t>カイゼン</t>
    </rPh>
    <rPh sb="4" eb="6">
      <t>カサン</t>
    </rPh>
    <rPh sb="6" eb="8">
      <t>シュトク</t>
    </rPh>
    <rPh sb="8" eb="10">
      <t>ジョウキョウ</t>
    </rPh>
    <phoneticPr fontId="12"/>
  </si>
  <si>
    <t>　地域区分：</t>
    <rPh sb="1" eb="3">
      <t>チイキ</t>
    </rPh>
    <rPh sb="3" eb="5">
      <t>クブン</t>
    </rPh>
    <phoneticPr fontId="12"/>
  </si>
  <si>
    <r>
      <rPr>
        <sz val="10"/>
        <rFont val="ＭＳ 明朝"/>
        <family val="1"/>
        <charset val="128"/>
      </rPr>
      <t>処遇改善加算
⑤×1.7％（0.017）
（小数点以下四捨五入）</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</si>
  <si>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（Ⅲ）</t>
    <phoneticPr fontId="16"/>
  </si>
  <si>
    <r>
      <rPr>
        <sz val="10"/>
        <rFont val="ＭＳ 明朝"/>
        <family val="1"/>
        <charset val="128"/>
      </rPr>
      <t>処遇改善加算
⑤×1.5％（0.015）
（小数点以下四捨五入）</t>
    </r>
    <r>
      <rPr>
        <b/>
        <sz val="11"/>
        <rFont val="ＭＳ Ｐゴシック"/>
        <family val="3"/>
        <charset val="128"/>
        <scheme val="minor"/>
      </rPr>
      <t/>
    </r>
    <rPh sb="0" eb="2">
      <t>ショグウ</t>
    </rPh>
    <rPh sb="2" eb="4">
      <t>カイゼン</t>
    </rPh>
    <rPh sb="4" eb="6">
      <t>カサン</t>
    </rPh>
    <rPh sb="22" eb="25">
      <t>ショウスウテン</t>
    </rPh>
    <rPh sb="25" eb="27">
      <t>イカ</t>
    </rPh>
    <rPh sb="27" eb="31">
      <t>シシャゴニュウ</t>
    </rPh>
    <phoneticPr fontId="12"/>
  </si>
  <si>
    <t>7-9</t>
    <phoneticPr fontId="16"/>
  </si>
  <si>
    <t>要介護度</t>
    <rPh sb="0" eb="1">
      <t>ヨウ</t>
    </rPh>
    <rPh sb="1" eb="3">
      <t>カイゴ</t>
    </rPh>
    <rPh sb="3" eb="4">
      <t>ド</t>
    </rPh>
    <phoneticPr fontId="12"/>
  </si>
  <si>
    <t>算定項目</t>
    <rPh sb="0" eb="2">
      <t>サンテイ</t>
    </rPh>
    <rPh sb="2" eb="4">
      <t>コウモク</t>
    </rPh>
    <phoneticPr fontId="12"/>
  </si>
  <si>
    <t>7-9時間　利用日数：</t>
    <rPh sb="3" eb="5">
      <t>ジカン</t>
    </rPh>
    <rPh sb="6" eb="8">
      <t>リヨウ</t>
    </rPh>
    <rPh sb="8" eb="10">
      <t>ニッスウ</t>
    </rPh>
    <phoneticPr fontId="12"/>
  </si>
  <si>
    <t>通所介護単位数</t>
    <rPh sb="0" eb="4">
      <t>ツウショカイゴ</t>
    </rPh>
    <rPh sb="4" eb="7">
      <t>タンイスウ</t>
    </rPh>
    <phoneticPr fontId="12"/>
  </si>
  <si>
    <t>単位</t>
    <rPh sb="0" eb="2">
      <t>タンイ</t>
    </rPh>
    <phoneticPr fontId="12"/>
  </si>
  <si>
    <t>要介護1</t>
    <rPh sb="0" eb="1">
      <t>ヨウ</t>
    </rPh>
    <rPh sb="1" eb="3">
      <t>カイゴ</t>
    </rPh>
    <phoneticPr fontId="12"/>
  </si>
  <si>
    <t>通所介護Ⅰ31</t>
    <phoneticPr fontId="12"/>
  </si>
  <si>
    <t>/1回</t>
    <rPh sb="2" eb="3">
      <t>カイ</t>
    </rPh>
    <phoneticPr fontId="12"/>
  </si>
  <si>
    <t>要介護2</t>
    <rPh sb="0" eb="1">
      <t>ヨウ</t>
    </rPh>
    <rPh sb="1" eb="3">
      <t>カイゴ</t>
    </rPh>
    <phoneticPr fontId="12"/>
  </si>
  <si>
    <t>通所介護Ⅰ32</t>
  </si>
  <si>
    <t>5-7時間　利用日数：</t>
    <rPh sb="3" eb="5">
      <t>ジカン</t>
    </rPh>
    <rPh sb="6" eb="8">
      <t>リヨウ</t>
    </rPh>
    <rPh sb="8" eb="10">
      <t>ニッスウ</t>
    </rPh>
    <phoneticPr fontId="12"/>
  </si>
  <si>
    <t>通所介護Ⅰ33</t>
  </si>
  <si>
    <t>要介護4</t>
    <rPh sb="0" eb="1">
      <t>ヨウ</t>
    </rPh>
    <rPh sb="1" eb="3">
      <t>カイゴ</t>
    </rPh>
    <phoneticPr fontId="12"/>
  </si>
  <si>
    <t>通所介護Ⅰ34</t>
  </si>
  <si>
    <t>3-5時間　利用日数：</t>
    <rPh sb="3" eb="5">
      <t>ジカン</t>
    </rPh>
    <rPh sb="6" eb="8">
      <t>リヨウ</t>
    </rPh>
    <rPh sb="8" eb="10">
      <t>ニッスウ</t>
    </rPh>
    <phoneticPr fontId="12"/>
  </si>
  <si>
    <t>要介護5</t>
    <rPh sb="0" eb="1">
      <t>ヨウ</t>
    </rPh>
    <rPh sb="1" eb="3">
      <t>カイゴ</t>
    </rPh>
    <phoneticPr fontId="12"/>
  </si>
  <si>
    <t>通所介護Ⅰ35</t>
  </si>
  <si>
    <t>2-3時間　利用日数：</t>
    <rPh sb="3" eb="5">
      <t>ジカン</t>
    </rPh>
    <rPh sb="6" eb="8">
      <t>リヨウ</t>
    </rPh>
    <rPh sb="8" eb="10">
      <t>ニッスウ</t>
    </rPh>
    <phoneticPr fontId="12"/>
  </si>
  <si>
    <t>5-7</t>
    <phoneticPr fontId="16"/>
  </si>
  <si>
    <t>通所介護Ⅰ21</t>
    <phoneticPr fontId="12"/>
  </si>
  <si>
    <t>　入浴回数　　　：</t>
    <rPh sb="1" eb="3">
      <t>ニュウヨク</t>
    </rPh>
    <rPh sb="3" eb="5">
      <t>カイスウ</t>
    </rPh>
    <phoneticPr fontId="12"/>
  </si>
  <si>
    <t>入浴加算単位数</t>
    <rPh sb="0" eb="2">
      <t>ニュウヨク</t>
    </rPh>
    <rPh sb="2" eb="4">
      <t>カサン</t>
    </rPh>
    <rPh sb="4" eb="7">
      <t>タンイスウ</t>
    </rPh>
    <phoneticPr fontId="12"/>
  </si>
  <si>
    <t>通所介護Ⅰ22</t>
    <phoneticPr fontId="16"/>
  </si>
  <si>
    <t>通所介護Ⅰ23</t>
    <phoneticPr fontId="16"/>
  </si>
  <si>
    <t>夜間サポート利用回数　
(送迎減算対象回数)　：</t>
    <rPh sb="0" eb="2">
      <t>ヤカン</t>
    </rPh>
    <rPh sb="6" eb="8">
      <t>リヨウ</t>
    </rPh>
    <rPh sb="8" eb="10">
      <t>カイスウ</t>
    </rPh>
    <rPh sb="13" eb="15">
      <t>ソウゲイ</t>
    </rPh>
    <rPh sb="15" eb="17">
      <t>ゲンサン</t>
    </rPh>
    <rPh sb="17" eb="19">
      <t>タイショウ</t>
    </rPh>
    <rPh sb="19" eb="21">
      <t>カイスウ</t>
    </rPh>
    <phoneticPr fontId="12"/>
  </si>
  <si>
    <t>送迎減算単位数</t>
    <rPh sb="0" eb="2">
      <t>ソウゲイ</t>
    </rPh>
    <rPh sb="2" eb="4">
      <t>ゲンサン</t>
    </rPh>
    <rPh sb="4" eb="7">
      <t>タンイスウ</t>
    </rPh>
    <phoneticPr fontId="12"/>
  </si>
  <si>
    <t>通所介護Ⅰ24</t>
    <phoneticPr fontId="16"/>
  </si>
  <si>
    <t>通所介護Ⅰ25</t>
    <phoneticPr fontId="16"/>
  </si>
  <si>
    <t>　　昼食数　　　：</t>
    <rPh sb="2" eb="4">
      <t>チュウショク</t>
    </rPh>
    <rPh sb="4" eb="5">
      <t>スウ</t>
    </rPh>
    <phoneticPr fontId="12"/>
  </si>
  <si>
    <t>総単位数
（①+②+③+④）</t>
    <rPh sb="0" eb="1">
      <t>ソウ</t>
    </rPh>
    <rPh sb="1" eb="4">
      <t>タンイスウ</t>
    </rPh>
    <phoneticPr fontId="12"/>
  </si>
  <si>
    <t>3-5</t>
    <phoneticPr fontId="16"/>
  </si>
  <si>
    <t>通所介護Ⅰ11</t>
    <phoneticPr fontId="12"/>
  </si>
  <si>
    <t>通所介護
サービス名称</t>
    <rPh sb="0" eb="2">
      <t>ツウショ</t>
    </rPh>
    <rPh sb="2" eb="4">
      <t>カイゴ</t>
    </rPh>
    <rPh sb="9" eb="11">
      <t>メイショウ</t>
    </rPh>
    <phoneticPr fontId="12"/>
  </si>
  <si>
    <t>料金</t>
    <rPh sb="0" eb="2">
      <t>リョウキン</t>
    </rPh>
    <phoneticPr fontId="12"/>
  </si>
  <si>
    <t>通所介護Ⅰ12</t>
    <phoneticPr fontId="16"/>
  </si>
  <si>
    <t>総合計単位数
⑤+⑥</t>
    <rPh sb="0" eb="1">
      <t>ソウ</t>
    </rPh>
    <rPh sb="1" eb="3">
      <t>ゴウケイ</t>
    </rPh>
    <rPh sb="3" eb="6">
      <t>タンイスウ</t>
    </rPh>
    <phoneticPr fontId="12"/>
  </si>
  <si>
    <t>通所介護Ⅰ13</t>
    <phoneticPr fontId="16"/>
  </si>
  <si>
    <t>昼食食材料費</t>
    <rPh sb="0" eb="2">
      <t>チュウショク</t>
    </rPh>
    <rPh sb="2" eb="3">
      <t>ショク</t>
    </rPh>
    <rPh sb="3" eb="6">
      <t>ザイリョウヒ</t>
    </rPh>
    <phoneticPr fontId="12"/>
  </si>
  <si>
    <t>1食</t>
    <rPh sb="1" eb="2">
      <t>ショク</t>
    </rPh>
    <phoneticPr fontId="12"/>
  </si>
  <si>
    <t>円</t>
    <rPh sb="0" eb="1">
      <t>エン</t>
    </rPh>
    <phoneticPr fontId="12"/>
  </si>
  <si>
    <t>通所介護Ⅰ14</t>
    <phoneticPr fontId="16"/>
  </si>
  <si>
    <t>×</t>
    <phoneticPr fontId="16"/>
  </si>
  <si>
    <t>通所介護Ⅰ15</t>
    <phoneticPr fontId="16"/>
  </si>
  <si>
    <t>（×地域単価）</t>
    <rPh sb="2" eb="4">
      <t>チイキ</t>
    </rPh>
    <rPh sb="4" eb="6">
      <t>タンカ</t>
    </rPh>
    <phoneticPr fontId="12"/>
  </si>
  <si>
    <r>
      <rPr>
        <sz val="9"/>
        <rFont val="ＭＳ 明朝"/>
        <family val="1"/>
        <charset val="128"/>
      </rPr>
      <t xml:space="preserve">介護報酬総額
</t>
    </r>
    <r>
      <rPr>
        <b/>
        <sz val="9"/>
        <rFont val="ＭＳ 明朝"/>
        <family val="1"/>
        <charset val="128"/>
      </rPr>
      <t>※10割負担</t>
    </r>
    <r>
      <rPr>
        <sz val="6"/>
        <rFont val="ＭＳ 明朝"/>
        <family val="1"/>
        <charset val="128"/>
      </rPr>
      <t xml:space="preserve">
（⑦小数点以下切り捨て）</t>
    </r>
    <rPh sb="0" eb="2">
      <t>カイゴ</t>
    </rPh>
    <rPh sb="2" eb="4">
      <t>ホウシュウ</t>
    </rPh>
    <rPh sb="4" eb="6">
      <t>ソウガク</t>
    </rPh>
    <rPh sb="10" eb="11">
      <t>ワリ</t>
    </rPh>
    <rPh sb="11" eb="13">
      <t>フタン</t>
    </rPh>
    <rPh sb="16" eb="19">
      <t>ショウスウテン</t>
    </rPh>
    <rPh sb="19" eb="21">
      <t>イカ</t>
    </rPh>
    <rPh sb="21" eb="22">
      <t>キ</t>
    </rPh>
    <rPh sb="23" eb="24">
      <t>ス</t>
    </rPh>
    <phoneticPr fontId="12"/>
  </si>
  <si>
    <t>2-3</t>
    <phoneticPr fontId="16"/>
  </si>
  <si>
    <t>通所介護Ⅰ11・時減</t>
    <rPh sb="8" eb="9">
      <t>ジ</t>
    </rPh>
    <rPh sb="9" eb="10">
      <t>ゲン</t>
    </rPh>
    <phoneticPr fontId="12"/>
  </si>
  <si>
    <r>
      <t xml:space="preserve">9割負担分
</t>
    </r>
    <r>
      <rPr>
        <sz val="6"/>
        <rFont val="ＭＳ 明朝"/>
        <family val="1"/>
        <charset val="128"/>
      </rPr>
      <t>（⑧×0.9　小数点以下切り捨て）</t>
    </r>
    <rPh sb="1" eb="2">
      <t>ワリ</t>
    </rPh>
    <rPh sb="2" eb="4">
      <t>フタン</t>
    </rPh>
    <rPh sb="4" eb="5">
      <t>ブン</t>
    </rPh>
    <rPh sb="13" eb="19">
      <t>ショウスウテンイカキ</t>
    </rPh>
    <rPh sb="20" eb="21">
      <t>ス</t>
    </rPh>
    <phoneticPr fontId="12"/>
  </si>
  <si>
    <t>⑩</t>
    <phoneticPr fontId="12"/>
  </si>
  <si>
    <t>通所介護Ⅰ12・時減</t>
    <phoneticPr fontId="16"/>
  </si>
  <si>
    <t>通所介護Ⅰ13・時減</t>
    <phoneticPr fontId="16"/>
  </si>
  <si>
    <r>
      <t>利用者負担分</t>
    </r>
    <r>
      <rPr>
        <b/>
        <sz val="9"/>
        <rFont val="ＭＳ 明朝"/>
        <family val="1"/>
        <charset val="128"/>
      </rPr>
      <t xml:space="preserve">※1割負担
</t>
    </r>
    <r>
      <rPr>
        <sz val="9"/>
        <rFont val="ＭＳ 明朝"/>
        <family val="1"/>
        <charset val="128"/>
      </rPr>
      <t>（⑨－⑩）</t>
    </r>
    <rPh sb="0" eb="3">
      <t>リヨウシャ</t>
    </rPh>
    <rPh sb="3" eb="5">
      <t>フタン</t>
    </rPh>
    <rPh sb="5" eb="6">
      <t>ブン</t>
    </rPh>
    <rPh sb="8" eb="9">
      <t>ワリ</t>
    </rPh>
    <rPh sb="9" eb="11">
      <t>フタン</t>
    </rPh>
    <phoneticPr fontId="12"/>
  </si>
  <si>
    <t>⑪</t>
    <phoneticPr fontId="16"/>
  </si>
  <si>
    <t>通所介護Ⅰ14・時減</t>
    <phoneticPr fontId="16"/>
  </si>
  <si>
    <t>通所介護Ⅰ15・時減</t>
    <phoneticPr fontId="16"/>
  </si>
  <si>
    <t>昼食費</t>
    <rPh sb="0" eb="3">
      <t>チュウショクヒ</t>
    </rPh>
    <phoneticPr fontId="12"/>
  </si>
  <si>
    <t>⑫</t>
    <phoneticPr fontId="16"/>
  </si>
  <si>
    <t>合計金額
⑪+⑫</t>
    <rPh sb="0" eb="2">
      <t>ゴウケイ</t>
    </rPh>
    <rPh sb="2" eb="4">
      <t>キンガク</t>
    </rPh>
    <phoneticPr fontId="12"/>
  </si>
  <si>
    <t>　電話：</t>
    <rPh sb="1" eb="3">
      <t>デンワ</t>
    </rPh>
    <phoneticPr fontId="16"/>
  </si>
  <si>
    <t>ＦＡＸ：</t>
    <phoneticPr fontId="16"/>
  </si>
  <si>
    <t>サービス提供時間</t>
    <rPh sb="4" eb="6">
      <t>テイキョウ</t>
    </rPh>
    <rPh sb="6" eb="8">
      <t>ジカン</t>
    </rPh>
    <phoneticPr fontId="12"/>
  </si>
  <si>
    <t>7時間以上9時間未満</t>
    <rPh sb="1" eb="5">
      <t>ジカンイジョウ</t>
    </rPh>
    <rPh sb="6" eb="8">
      <t>ジカン</t>
    </rPh>
    <rPh sb="8" eb="10">
      <t>ミマン</t>
    </rPh>
    <phoneticPr fontId="16"/>
  </si>
  <si>
    <t>5時間以上7時間未満</t>
    <rPh sb="1" eb="5">
      <t>ジカンイジョウ</t>
    </rPh>
    <rPh sb="6" eb="8">
      <t>ジカン</t>
    </rPh>
    <rPh sb="8" eb="10">
      <t>ミマン</t>
    </rPh>
    <phoneticPr fontId="16"/>
  </si>
  <si>
    <t>3時間以上5時間未満</t>
    <rPh sb="1" eb="5">
      <t>ジカンイジョウ</t>
    </rPh>
    <rPh sb="6" eb="8">
      <t>ジカン</t>
    </rPh>
    <rPh sb="8" eb="10">
      <t>ミマン</t>
    </rPh>
    <phoneticPr fontId="16"/>
  </si>
  <si>
    <t>2時間以上3時間未満</t>
    <rPh sb="1" eb="5">
      <t>ジカンイジョウ</t>
    </rPh>
    <rPh sb="6" eb="8">
      <t>ジカン</t>
    </rPh>
    <rPh sb="8" eb="10">
      <t>ミマン</t>
    </rPh>
    <phoneticPr fontId="16"/>
  </si>
  <si>
    <t>処遇改善加算
未取得</t>
    <rPh sb="0" eb="2">
      <t>ショグウ</t>
    </rPh>
    <rPh sb="2" eb="4">
      <t>カイゼン</t>
    </rPh>
    <rPh sb="4" eb="6">
      <t>カサン</t>
    </rPh>
    <rPh sb="7" eb="8">
      <t>ミ</t>
    </rPh>
    <rPh sb="8" eb="10">
      <t>シュトク</t>
    </rPh>
    <phoneticPr fontId="12"/>
  </si>
  <si>
    <t>　　　　　年　　　月　　　日</t>
    <rPh sb="5" eb="6">
      <t>ネン</t>
    </rPh>
    <rPh sb="9" eb="10">
      <t>ツキ</t>
    </rPh>
    <rPh sb="13" eb="14">
      <t>ニチ</t>
    </rPh>
    <phoneticPr fontId="12"/>
  </si>
  <si>
    <t>〔弊社受付：　　　　　　　〕</t>
    <phoneticPr fontId="12"/>
  </si>
  <si>
    <t>◎　ご　利　用　相　談　予　約　票　◎</t>
    <rPh sb="4" eb="5">
      <t>リ</t>
    </rPh>
    <rPh sb="6" eb="7">
      <t>ヨウ</t>
    </rPh>
    <rPh sb="8" eb="9">
      <t>ソウ</t>
    </rPh>
    <rPh sb="10" eb="11">
      <t>ダン</t>
    </rPh>
    <rPh sb="12" eb="13">
      <t>ヨ</t>
    </rPh>
    <rPh sb="14" eb="15">
      <t>ヤク</t>
    </rPh>
    <rPh sb="16" eb="17">
      <t>ヒョウ</t>
    </rPh>
    <phoneticPr fontId="12"/>
  </si>
  <si>
    <t>※ご希望のサービスにチェックしてください（複数可）</t>
    <rPh sb="23" eb="24">
      <t>カ</t>
    </rPh>
    <phoneticPr fontId="12"/>
  </si>
  <si>
    <t>□</t>
    <phoneticPr fontId="12"/>
  </si>
  <si>
    <t>保険内でデイサービスを利用したい</t>
    <rPh sb="0" eb="2">
      <t>ホケン</t>
    </rPh>
    <rPh sb="2" eb="3">
      <t>ナイ</t>
    </rPh>
    <rPh sb="11" eb="13">
      <t>リヨウ</t>
    </rPh>
    <phoneticPr fontId="16"/>
  </si>
  <si>
    <t>保険内サービス</t>
    <rPh sb="0" eb="2">
      <t>ホケン</t>
    </rPh>
    <rPh sb="2" eb="3">
      <t>ナイ</t>
    </rPh>
    <phoneticPr fontId="16"/>
  </si>
  <si>
    <t>病院受診等の付き添いサービスを利用したい　　　　　　</t>
    <rPh sb="0" eb="2">
      <t>ビョウイン</t>
    </rPh>
    <rPh sb="2" eb="4">
      <t>ジュシン</t>
    </rPh>
    <rPh sb="4" eb="5">
      <t>トウ</t>
    </rPh>
    <rPh sb="6" eb="7">
      <t>ツ</t>
    </rPh>
    <rPh sb="8" eb="9">
      <t>ソ</t>
    </rPh>
    <rPh sb="15" eb="17">
      <t>リヨウ</t>
    </rPh>
    <phoneticPr fontId="16"/>
  </si>
  <si>
    <t>保険外サービス</t>
    <rPh sb="0" eb="2">
      <t>ホケン</t>
    </rPh>
    <rPh sb="2" eb="3">
      <t>ガイ</t>
    </rPh>
    <phoneticPr fontId="16"/>
  </si>
  <si>
    <t>早朝及び延長サービスを利用したい　</t>
    <rPh sb="0" eb="2">
      <t>ソウチョウ</t>
    </rPh>
    <rPh sb="2" eb="3">
      <t>オヨ</t>
    </rPh>
    <rPh sb="4" eb="6">
      <t>エンチョウ</t>
    </rPh>
    <rPh sb="11" eb="13">
      <t>リヨウ</t>
    </rPh>
    <phoneticPr fontId="12"/>
  </si>
  <si>
    <t>保険内サービス+延長加算</t>
    <rPh sb="0" eb="2">
      <t>ホケン</t>
    </rPh>
    <rPh sb="2" eb="3">
      <t>ナイ</t>
    </rPh>
    <rPh sb="8" eb="10">
      <t>エンチョウ</t>
    </rPh>
    <rPh sb="10" eb="12">
      <t>カサン</t>
    </rPh>
    <phoneticPr fontId="16"/>
  </si>
  <si>
    <t>定期的なデイサービスとお泊りサービスを利用したい　　</t>
    <rPh sb="12" eb="13">
      <t>トマ</t>
    </rPh>
    <rPh sb="19" eb="21">
      <t>リヨウ</t>
    </rPh>
    <phoneticPr fontId="16"/>
  </si>
  <si>
    <t>保険内サービス+夜間サポート</t>
    <rPh sb="0" eb="2">
      <t>ホケン</t>
    </rPh>
    <rPh sb="2" eb="3">
      <t>ナイ</t>
    </rPh>
    <rPh sb="8" eb="10">
      <t>ヤカン</t>
    </rPh>
    <phoneticPr fontId="16"/>
  </si>
  <si>
    <t>緊急時等、臨時で一時的に利用したい</t>
    <rPh sb="0" eb="3">
      <t>キンキュウジ</t>
    </rPh>
    <rPh sb="3" eb="4">
      <t>トウ</t>
    </rPh>
    <rPh sb="5" eb="7">
      <t>リンジ</t>
    </rPh>
    <rPh sb="8" eb="11">
      <t>イチジテキ</t>
    </rPh>
    <rPh sb="12" eb="14">
      <t>リヨウ</t>
    </rPh>
    <phoneticPr fontId="16"/>
  </si>
  <si>
    <t>スポット利用</t>
    <rPh sb="4" eb="6">
      <t>リヨウ</t>
    </rPh>
    <phoneticPr fontId="16"/>
  </si>
  <si>
    <t>デイ利用ペース</t>
    <rPh sb="2" eb="4">
      <t>リヨウ</t>
    </rPh>
    <phoneticPr fontId="12"/>
  </si>
  <si>
    <r>
      <t>毎日　・　１週間で</t>
    </r>
    <r>
      <rPr>
        <u/>
        <sz val="12"/>
        <rFont val="ＭＳ 明朝"/>
        <family val="1"/>
        <charset val="128"/>
      </rPr>
      <t>　　　</t>
    </r>
    <r>
      <rPr>
        <sz val="12"/>
        <rFont val="ＭＳ 明朝"/>
        <family val="1"/>
        <charset val="128"/>
      </rPr>
      <t>日位　・　１ヶ月間で</t>
    </r>
    <r>
      <rPr>
        <u/>
        <sz val="12"/>
        <rFont val="ＭＳ 明朝"/>
        <family val="1"/>
        <charset val="128"/>
      </rPr>
      <t>　　　</t>
    </r>
    <r>
      <rPr>
        <sz val="12"/>
        <rFont val="ＭＳ 明朝"/>
        <family val="1"/>
        <charset val="128"/>
      </rPr>
      <t>日位　・　不定期</t>
    </r>
    <rPh sb="0" eb="2">
      <t>マイニチ</t>
    </rPh>
    <phoneticPr fontId="12"/>
  </si>
  <si>
    <t>お泊り利用ペース</t>
    <rPh sb="1" eb="2">
      <t>トマ</t>
    </rPh>
    <rPh sb="3" eb="5">
      <t>リヨウ</t>
    </rPh>
    <phoneticPr fontId="12"/>
  </si>
  <si>
    <t>ご利用開始希望日</t>
    <rPh sb="1" eb="3">
      <t>リヨウ</t>
    </rPh>
    <rPh sb="3" eb="5">
      <t>カイシ</t>
    </rPh>
    <rPh sb="5" eb="7">
      <t>キボウ</t>
    </rPh>
    <rPh sb="7" eb="8">
      <t>ビ</t>
    </rPh>
    <phoneticPr fontId="12"/>
  </si>
  <si>
    <t>　　　 　　　　年　　　　月　　　　日　頃から　</t>
    <rPh sb="8" eb="9">
      <t>ネン</t>
    </rPh>
    <rPh sb="13" eb="14">
      <t>ツキ</t>
    </rPh>
    <rPh sb="18" eb="19">
      <t>ニチ</t>
    </rPh>
    <rPh sb="20" eb="21">
      <t>コロ</t>
    </rPh>
    <phoneticPr fontId="12"/>
  </si>
  <si>
    <t>利用者様
について</t>
    <rPh sb="3" eb="4">
      <t>サマ</t>
    </rPh>
    <phoneticPr fontId="12"/>
  </si>
  <si>
    <t>お名前</t>
    <rPh sb="1" eb="3">
      <t>なまえ</t>
    </rPh>
    <phoneticPr fontId="12" type="Hiragana" alignment="noControl"/>
  </si>
  <si>
    <t>連絡先</t>
    <rPh sb="0" eb="3">
      <t>レンラクサキ</t>
    </rPh>
    <phoneticPr fontId="12"/>
  </si>
  <si>
    <t>大・昭</t>
    <rPh sb="0" eb="1">
      <t>ダイ</t>
    </rPh>
    <rPh sb="2" eb="3">
      <t>ショウ</t>
    </rPh>
    <phoneticPr fontId="16"/>
  </si>
  <si>
    <t>(</t>
    <phoneticPr fontId="16"/>
  </si>
  <si>
    <t>歳)</t>
    <rPh sb="0" eb="1">
      <t>サイ</t>
    </rPh>
    <phoneticPr fontId="16"/>
  </si>
  <si>
    <t>性別</t>
    <rPh sb="0" eb="2">
      <t>セイベツ</t>
    </rPh>
    <phoneticPr fontId="12"/>
  </si>
  <si>
    <t>男　・　女</t>
    <rPh sb="0" eb="1">
      <t>オトコ</t>
    </rPh>
    <rPh sb="4" eb="5">
      <t>オンナ</t>
    </rPh>
    <phoneticPr fontId="16"/>
  </si>
  <si>
    <t>住所</t>
    <rPh sb="0" eb="2">
      <t>ジュウショ</t>
    </rPh>
    <phoneticPr fontId="12"/>
  </si>
  <si>
    <t>(郵便番号　　　　-　　　　)</t>
    <rPh sb="1" eb="3">
      <t>ユウビン</t>
    </rPh>
    <rPh sb="3" eb="5">
      <t>バンゴウ</t>
    </rPh>
    <phoneticPr fontId="16"/>
  </si>
  <si>
    <t>住居の種類</t>
    <rPh sb="0" eb="2">
      <t>ジュウキョ</t>
    </rPh>
    <rPh sb="3" eb="5">
      <t>シュルイ</t>
    </rPh>
    <phoneticPr fontId="12"/>
  </si>
  <si>
    <t>アパート　・　マンション　・　戸建て</t>
    <phoneticPr fontId="16"/>
  </si>
  <si>
    <t>１・２・３・４・５・申請中</t>
    <rPh sb="10" eb="13">
      <t>シンセイチュウ</t>
    </rPh>
    <phoneticPr fontId="12"/>
  </si>
  <si>
    <t>公費利用</t>
    <rPh sb="0" eb="2">
      <t>コウヒ</t>
    </rPh>
    <rPh sb="2" eb="4">
      <t>リヨウ</t>
    </rPh>
    <phoneticPr fontId="12"/>
  </si>
  <si>
    <t>あり　・　なし　</t>
    <phoneticPr fontId="16"/>
  </si>
  <si>
    <t>認知症</t>
    <rPh sb="0" eb="2">
      <t>ニンチ</t>
    </rPh>
    <rPh sb="2" eb="3">
      <t>ショウ</t>
    </rPh>
    <phoneticPr fontId="12"/>
  </si>
  <si>
    <t>なし ・ 軽度 ・ 重度 （認知症高齢者生活自立度　　　　　　　）</t>
    <rPh sb="5" eb="7">
      <t>ケイド</t>
    </rPh>
    <rPh sb="10" eb="12">
      <t>ジュウド</t>
    </rPh>
    <rPh sb="14" eb="17">
      <t>ニンチショウ</t>
    </rPh>
    <rPh sb="17" eb="20">
      <t>コウレイシャ</t>
    </rPh>
    <rPh sb="20" eb="22">
      <t>セイカツ</t>
    </rPh>
    <rPh sb="22" eb="25">
      <t>ジリツド</t>
    </rPh>
    <phoneticPr fontId="12"/>
  </si>
  <si>
    <t>在宅状況</t>
    <rPh sb="0" eb="2">
      <t>ザイタク</t>
    </rPh>
    <rPh sb="2" eb="4">
      <t>ジョウキョウ</t>
    </rPh>
    <phoneticPr fontId="12"/>
  </si>
  <si>
    <t>子供と同居・夫婦のみの世帯・独居（子供は近隣に居住）・独居（子供は遠隔地に居住）</t>
    <rPh sb="0" eb="2">
      <t>こども</t>
    </rPh>
    <rPh sb="3" eb="5">
      <t>どうきょ</t>
    </rPh>
    <rPh sb="6" eb="8">
      <t>ふうふ</t>
    </rPh>
    <rPh sb="11" eb="13">
      <t>せたい</t>
    </rPh>
    <rPh sb="14" eb="16">
      <t>どっきょ</t>
    </rPh>
    <rPh sb="17" eb="19">
      <t>こども</t>
    </rPh>
    <rPh sb="20" eb="22">
      <t>きんりん</t>
    </rPh>
    <rPh sb="23" eb="25">
      <t>きょじゅう</t>
    </rPh>
    <phoneticPr fontId="16" type="Hiragana" alignment="noControl"/>
  </si>
  <si>
    <t>その他(　　　　　　　　　　　　　　　　　　　　　　　　　　　　　)</t>
    <rPh sb="2" eb="3">
      <t>た</t>
    </rPh>
    <phoneticPr fontId="16" type="Hiragana" alignment="noControl"/>
  </si>
  <si>
    <t>主な介護者</t>
    <rPh sb="0" eb="1">
      <t>オモ</t>
    </rPh>
    <rPh sb="2" eb="4">
      <t>カイゴ</t>
    </rPh>
    <rPh sb="4" eb="5">
      <t>シャ</t>
    </rPh>
    <phoneticPr fontId="12"/>
  </si>
  <si>
    <t>配偶者　・　子供　・　その他の親族　・　無し</t>
    <rPh sb="0" eb="3">
      <t>ハイグウシャ</t>
    </rPh>
    <rPh sb="6" eb="8">
      <t>コドモ</t>
    </rPh>
    <rPh sb="13" eb="14">
      <t>タ</t>
    </rPh>
    <rPh sb="15" eb="17">
      <t>シンゾク</t>
    </rPh>
    <rPh sb="20" eb="21">
      <t>ナ</t>
    </rPh>
    <phoneticPr fontId="16"/>
  </si>
  <si>
    <t>特記事項</t>
    <rPh sb="0" eb="2">
      <t>トッキ</t>
    </rPh>
    <rPh sb="2" eb="4">
      <t>ジコウ</t>
    </rPh>
    <phoneticPr fontId="12"/>
  </si>
  <si>
    <t>質問事項</t>
    <rPh sb="0" eb="2">
      <t>シツモン</t>
    </rPh>
    <rPh sb="2" eb="4">
      <t>ジコウ</t>
    </rPh>
    <phoneticPr fontId="12"/>
  </si>
  <si>
    <t>担当
ケアマネ様</t>
    <rPh sb="0" eb="2">
      <t>タントウ</t>
    </rPh>
    <rPh sb="7" eb="8">
      <t>サマ</t>
    </rPh>
    <phoneticPr fontId="12"/>
  </si>
  <si>
    <t>氏名</t>
    <rPh sb="0" eb="1">
      <t>シ</t>
    </rPh>
    <rPh sb="1" eb="2">
      <t>メイ</t>
    </rPh>
    <phoneticPr fontId="12"/>
  </si>
  <si>
    <t>携帯</t>
    <rPh sb="0" eb="2">
      <t>ケイタイ</t>
    </rPh>
    <phoneticPr fontId="12"/>
  </si>
  <si>
    <t>事業所名</t>
    <rPh sb="0" eb="3">
      <t>ジギョウショ</t>
    </rPh>
    <rPh sb="3" eb="4">
      <t>メイ</t>
    </rPh>
    <phoneticPr fontId="12"/>
  </si>
  <si>
    <t>電話</t>
    <rPh sb="0" eb="2">
      <t>デンワ</t>
    </rPh>
    <phoneticPr fontId="12"/>
  </si>
  <si>
    <t>その他</t>
    <rPh sb="2" eb="3">
      <t>タ</t>
    </rPh>
    <phoneticPr fontId="12"/>
  </si>
  <si>
    <t>【お問い合わせ】</t>
    <phoneticPr fontId="12"/>
  </si>
  <si>
    <t>本利用相談予約票に記入し左記までＦＡＸ、もしくはお気軽にお電話をいただければ幸いです。
弊社担当より折り返しご連絡をさせて頂きます。</t>
    <rPh sb="5" eb="7">
      <t>ヨヤク</t>
    </rPh>
    <rPh sb="61" eb="62">
      <t>イタダ</t>
    </rPh>
    <phoneticPr fontId="12"/>
  </si>
  <si>
    <t>Ｆａｘ</t>
    <phoneticPr fontId="12"/>
  </si>
  <si>
    <t>担当</t>
    <rPh sb="0" eb="2">
      <t>タントウ</t>
    </rPh>
    <phoneticPr fontId="12"/>
  </si>
  <si>
    <t>地域密着型通所介護利用料金表</t>
    <rPh sb="0" eb="2">
      <t>チイキ</t>
    </rPh>
    <rPh sb="2" eb="5">
      <t>ミッチャクガタ</t>
    </rPh>
    <rPh sb="5" eb="7">
      <t>ツウショ</t>
    </rPh>
    <rPh sb="7" eb="9">
      <t>カイゴ</t>
    </rPh>
    <rPh sb="9" eb="11">
      <t>リヨウ</t>
    </rPh>
    <rPh sb="11" eb="13">
      <t>リョウキン</t>
    </rPh>
    <rPh sb="13" eb="14">
      <t>ヒョウ</t>
    </rPh>
    <phoneticPr fontId="53"/>
  </si>
  <si>
    <t>地域区分：</t>
    <phoneticPr fontId="53"/>
  </si>
  <si>
    <t>地域密着型通所介護</t>
    <rPh sb="0" eb="9">
      <t>チイキミッチャクガタツウショカイゴ</t>
    </rPh>
    <phoneticPr fontId="53"/>
  </si>
  <si>
    <t>減　算</t>
    <rPh sb="0" eb="1">
      <t>ゲン</t>
    </rPh>
    <rPh sb="2" eb="3">
      <t>サン</t>
    </rPh>
    <phoneticPr fontId="53"/>
  </si>
  <si>
    <t>介護度</t>
    <rPh sb="0" eb="2">
      <t>カイゴ</t>
    </rPh>
    <rPh sb="2" eb="3">
      <t>ド</t>
    </rPh>
    <phoneticPr fontId="53"/>
  </si>
  <si>
    <t>3時間以上4時間未満</t>
    <rPh sb="1" eb="5">
      <t>ジカンイジョウ</t>
    </rPh>
    <rPh sb="6" eb="8">
      <t>ジカン</t>
    </rPh>
    <rPh sb="8" eb="10">
      <t>ミマン</t>
    </rPh>
    <phoneticPr fontId="53"/>
  </si>
  <si>
    <t>（減算）</t>
    <rPh sb="1" eb="3">
      <t>ゲンサン</t>
    </rPh>
    <phoneticPr fontId="53"/>
  </si>
  <si>
    <t>単位数</t>
  </si>
  <si>
    <t>利用料</t>
  </si>
  <si>
    <t>要介護１</t>
    <rPh sb="0" eb="1">
      <t>ヨウ</t>
    </rPh>
    <rPh sb="1" eb="3">
      <t>カイゴ</t>
    </rPh>
    <phoneticPr fontId="1"/>
  </si>
  <si>
    <t>地域通所介護11</t>
    <phoneticPr fontId="53"/>
  </si>
  <si>
    <t>片道</t>
    <rPh sb="0" eb="2">
      <t>カタミチ</t>
    </rPh>
    <phoneticPr fontId="53"/>
  </si>
  <si>
    <t>要介護２</t>
    <rPh sb="0" eb="1">
      <t>ヨウ</t>
    </rPh>
    <rPh sb="1" eb="3">
      <t>カイゴ</t>
    </rPh>
    <phoneticPr fontId="1"/>
  </si>
  <si>
    <t>地域通所介護12</t>
  </si>
  <si>
    <t>要介護３</t>
    <rPh sb="0" eb="1">
      <t>ヨウ</t>
    </rPh>
    <rPh sb="1" eb="3">
      <t>カイゴ</t>
    </rPh>
    <phoneticPr fontId="1"/>
  </si>
  <si>
    <t>地域通所介護13</t>
  </si>
  <si>
    <t>加　算</t>
    <rPh sb="0" eb="1">
      <t>カ</t>
    </rPh>
    <rPh sb="2" eb="3">
      <t>サン</t>
    </rPh>
    <phoneticPr fontId="53"/>
  </si>
  <si>
    <t>要介護４</t>
    <rPh sb="0" eb="1">
      <t>ヨウ</t>
    </rPh>
    <rPh sb="1" eb="3">
      <t>カイゴ</t>
    </rPh>
    <phoneticPr fontId="1"/>
  </si>
  <si>
    <t>地域通所介護14</t>
  </si>
  <si>
    <t>加算体制</t>
  </si>
  <si>
    <t>要介護５</t>
    <rPh sb="0" eb="1">
      <t>ヨウ</t>
    </rPh>
    <rPh sb="1" eb="3">
      <t>カイゴ</t>
    </rPh>
    <phoneticPr fontId="1"/>
  </si>
  <si>
    <t>地域通所介護15</t>
  </si>
  <si>
    <t>4時間以上5時間未満</t>
    <rPh sb="1" eb="3">
      <t>ジカン</t>
    </rPh>
    <rPh sb="3" eb="5">
      <t>イジョウ</t>
    </rPh>
    <rPh sb="6" eb="8">
      <t>ジカン</t>
    </rPh>
    <rPh sb="8" eb="10">
      <t>ミマン</t>
    </rPh>
    <phoneticPr fontId="53"/>
  </si>
  <si>
    <t>地域通所介護21</t>
    <phoneticPr fontId="53"/>
  </si>
  <si>
    <t>地域通所介護22</t>
  </si>
  <si>
    <t>地域通所介護23</t>
  </si>
  <si>
    <t>地域通所介護24</t>
  </si>
  <si>
    <t>地域通所介護25</t>
  </si>
  <si>
    <t>5時間以上6時間未満</t>
    <rPh sb="1" eb="5">
      <t>ジカンイジョウ</t>
    </rPh>
    <rPh sb="6" eb="8">
      <t>ジカン</t>
    </rPh>
    <rPh sb="8" eb="10">
      <t>ミマン</t>
    </rPh>
    <phoneticPr fontId="53"/>
  </si>
  <si>
    <t>地域通所介護31</t>
    <phoneticPr fontId="53"/>
  </si>
  <si>
    <t>地域通所介護32</t>
  </si>
  <si>
    <t>地域通所介護33</t>
  </si>
  <si>
    <t>地域通所介護34</t>
  </si>
  <si>
    <t>地域通所介護35</t>
  </si>
  <si>
    <t>6時間以上7時間未満</t>
    <rPh sb="1" eb="5">
      <t>ジカンイジョウ</t>
    </rPh>
    <rPh sb="6" eb="8">
      <t>ジカン</t>
    </rPh>
    <rPh sb="8" eb="10">
      <t>ミマン</t>
    </rPh>
    <phoneticPr fontId="53"/>
  </si>
  <si>
    <t>地域通所介護41</t>
    <phoneticPr fontId="53"/>
  </si>
  <si>
    <t>地域通所介護42</t>
  </si>
  <si>
    <t>地域通所介護43</t>
  </si>
  <si>
    <t>地域通所介護44</t>
  </si>
  <si>
    <t>地域通所介護45</t>
  </si>
  <si>
    <t>7時間以上8時間未満</t>
    <rPh sb="1" eb="5">
      <t>ジカンイジョウ</t>
    </rPh>
    <rPh sb="6" eb="8">
      <t>ジカン</t>
    </rPh>
    <rPh sb="8" eb="10">
      <t>ミマン</t>
    </rPh>
    <phoneticPr fontId="53"/>
  </si>
  <si>
    <t>地域通所介護51</t>
    <phoneticPr fontId="53"/>
  </si>
  <si>
    <t>地域通所介護52</t>
  </si>
  <si>
    <t>地域通所介護53</t>
  </si>
  <si>
    <t>地域通所介護54</t>
  </si>
  <si>
    <t>地域通所介護55</t>
  </si>
  <si>
    <t>8時間以上9時間未満</t>
    <rPh sb="1" eb="5">
      <t>ジカンイジョウ</t>
    </rPh>
    <rPh sb="6" eb="8">
      <t>ジカン</t>
    </rPh>
    <rPh sb="8" eb="10">
      <t>ミマン</t>
    </rPh>
    <phoneticPr fontId="53"/>
  </si>
  <si>
    <t>地域密着型通所介護付随サービス</t>
    <rPh sb="0" eb="9">
      <t>チイキミッチャクガタツウショカイゴ</t>
    </rPh>
    <rPh sb="9" eb="11">
      <t>フズイ</t>
    </rPh>
    <phoneticPr fontId="53"/>
  </si>
  <si>
    <t>地域通所介護61</t>
    <phoneticPr fontId="53"/>
  </si>
  <si>
    <t>サービス名</t>
    <rPh sb="4" eb="5">
      <t>メイ</t>
    </rPh>
    <phoneticPr fontId="53"/>
  </si>
  <si>
    <t>内容</t>
    <rPh sb="0" eb="2">
      <t>ナイヨウ</t>
    </rPh>
    <phoneticPr fontId="53"/>
  </si>
  <si>
    <t>料金</t>
    <rPh sb="0" eb="2">
      <t>リョウキン</t>
    </rPh>
    <phoneticPr fontId="53"/>
  </si>
  <si>
    <t>地域通所介護62</t>
  </si>
  <si>
    <t>朝食サービス</t>
    <rPh sb="0" eb="2">
      <t>チョウショク</t>
    </rPh>
    <phoneticPr fontId="53"/>
  </si>
  <si>
    <t>地域通所介護63</t>
  </si>
  <si>
    <t>地域通所介護64</t>
  </si>
  <si>
    <t>昼食サービス</t>
    <rPh sb="0" eb="2">
      <t>チュウショク</t>
    </rPh>
    <phoneticPr fontId="53"/>
  </si>
  <si>
    <t>地域通所介護65</t>
  </si>
  <si>
    <t>夕食サービス</t>
    <rPh sb="0" eb="2">
      <t>ユウショク</t>
    </rPh>
    <phoneticPr fontId="53"/>
  </si>
  <si>
    <t>＊上記金額は10割金額となります</t>
    <phoneticPr fontId="16"/>
  </si>
  <si>
    <t>介護保険外サービス（1割負担の場合）</t>
    <rPh sb="0" eb="2">
      <t>カイゴ</t>
    </rPh>
    <rPh sb="2" eb="4">
      <t>ホケン</t>
    </rPh>
    <rPh sb="4" eb="5">
      <t>ガイ</t>
    </rPh>
    <rPh sb="11" eb="12">
      <t>ワリ</t>
    </rPh>
    <rPh sb="12" eb="14">
      <t>フタン</t>
    </rPh>
    <rPh sb="15" eb="17">
      <t>バアイ</t>
    </rPh>
    <phoneticPr fontId="53"/>
  </si>
  <si>
    <t>保険外通所介護
サービス</t>
    <phoneticPr fontId="53"/>
  </si>
  <si>
    <t>要介護1・2</t>
    <rPh sb="0" eb="1">
      <t>ヨウ</t>
    </rPh>
    <rPh sb="1" eb="3">
      <t>カイゴ</t>
    </rPh>
    <phoneticPr fontId="53"/>
  </si>
  <si>
    <t>要介護3～5</t>
    <rPh sb="0" eb="1">
      <t>ヨウ</t>
    </rPh>
    <rPh sb="1" eb="3">
      <t>カイゴ</t>
    </rPh>
    <phoneticPr fontId="53"/>
  </si>
  <si>
    <t>夜間サポートサービス</t>
    <phoneticPr fontId="53"/>
  </si>
  <si>
    <t>付き添いサービス</t>
    <rPh sb="0" eb="1">
      <t>ツ</t>
    </rPh>
    <rPh sb="2" eb="3">
      <t>ソ</t>
    </rPh>
    <phoneticPr fontId="53"/>
  </si>
  <si>
    <t>主にご家庭で通院介助ができない場合、代行して通院介助を行います。
※ただし、公共の交通機関もしくは介護タクシーを使用します。（別途、実費相当額を徴収いたします。）</t>
    <phoneticPr fontId="53"/>
  </si>
  <si>
    <t>時間外サービス</t>
    <rPh sb="0" eb="2">
      <t>ジカン</t>
    </rPh>
    <rPh sb="2" eb="3">
      <t>ガイ</t>
    </rPh>
    <phoneticPr fontId="53"/>
  </si>
  <si>
    <t>おむつサービス</t>
    <phoneticPr fontId="53"/>
  </si>
  <si>
    <t>おむつ・リハビリパンツ</t>
    <phoneticPr fontId="53"/>
  </si>
  <si>
    <t>パッド</t>
    <phoneticPr fontId="53"/>
  </si>
  <si>
    <t>電話：</t>
    <rPh sb="0" eb="2">
      <t>デンワ</t>
    </rPh>
    <phoneticPr fontId="16"/>
  </si>
  <si>
    <t>FAX：</t>
    <phoneticPr fontId="16"/>
  </si>
  <si>
    <t>担当：</t>
    <rPh sb="0" eb="2">
      <t>タントウ</t>
    </rPh>
    <phoneticPr fontId="16"/>
  </si>
  <si>
    <t>お泊まり利用料金概算見積一覧表</t>
    <rPh sb="1" eb="2">
      <t>ト</t>
    </rPh>
    <rPh sb="4" eb="6">
      <t>リヨウ</t>
    </rPh>
    <rPh sb="6" eb="8">
      <t>リョウキン</t>
    </rPh>
    <rPh sb="8" eb="10">
      <t>ガイサン</t>
    </rPh>
    <rPh sb="10" eb="12">
      <t>ミツモリ</t>
    </rPh>
    <rPh sb="12" eb="14">
      <t>イチラン</t>
    </rPh>
    <rPh sb="14" eb="15">
      <t>ヒョウ</t>
    </rPh>
    <phoneticPr fontId="53"/>
  </si>
  <si>
    <t>※初日は朝からご利用され、最終日は夕方お送りするというケースの料金表ですので実際は多少前後します。　</t>
    <phoneticPr fontId="53"/>
  </si>
  <si>
    <t>ご利用者の負担割合</t>
    <rPh sb="1" eb="4">
      <t>リヨウシャ</t>
    </rPh>
    <rPh sb="5" eb="7">
      <t>フタン</t>
    </rPh>
    <rPh sb="7" eb="9">
      <t>ワリアイ</t>
    </rPh>
    <phoneticPr fontId="53"/>
  </si>
  <si>
    <t>1割負担</t>
    <rPh sb="1" eb="2">
      <t>ワリ</t>
    </rPh>
    <rPh sb="2" eb="4">
      <t>フタン</t>
    </rPh>
    <phoneticPr fontId="0"/>
  </si>
  <si>
    <t>地域区分</t>
    <rPh sb="0" eb="2">
      <t>チイキ</t>
    </rPh>
    <rPh sb="2" eb="4">
      <t>クブン</t>
    </rPh>
    <phoneticPr fontId="0"/>
  </si>
  <si>
    <t>↓【マスター】からリンク↓</t>
    <phoneticPr fontId="53"/>
  </si>
  <si>
    <t>要介護１</t>
    <rPh sb="0" eb="3">
      <t>ヨウカイゴ</t>
    </rPh>
    <phoneticPr fontId="12"/>
  </si>
  <si>
    <t>要介護２</t>
    <rPh sb="0" eb="3">
      <t>ヨウカイゴ</t>
    </rPh>
    <phoneticPr fontId="12"/>
  </si>
  <si>
    <t>要介護３</t>
    <rPh sb="0" eb="3">
      <t>ヨウカイゴ</t>
    </rPh>
    <phoneticPr fontId="12"/>
  </si>
  <si>
    <t>要介護４</t>
    <rPh sb="0" eb="3">
      <t>ヨウカイゴ</t>
    </rPh>
    <phoneticPr fontId="12"/>
  </si>
  <si>
    <t>要介護５</t>
    <rPh sb="0" eb="3">
      <t>ヨウカイゴ</t>
    </rPh>
    <phoneticPr fontId="12"/>
  </si>
  <si>
    <t>生活保護</t>
    <rPh sb="0" eb="2">
      <t>セイカツ</t>
    </rPh>
    <rPh sb="2" eb="4">
      <t>ホゴ</t>
    </rPh>
    <phoneticPr fontId="0"/>
  </si>
  <si>
    <t>10割</t>
    <rPh sb="2" eb="3">
      <t>ワリ</t>
    </rPh>
    <phoneticPr fontId="127"/>
  </si>
  <si>
    <t>1泊2日</t>
    <rPh sb="1" eb="2">
      <t>パク</t>
    </rPh>
    <rPh sb="3" eb="4">
      <t>ニチ</t>
    </rPh>
    <phoneticPr fontId="12"/>
  </si>
  <si>
    <t>9割</t>
    <rPh sb="1" eb="2">
      <t>ワリ</t>
    </rPh>
    <phoneticPr fontId="127"/>
  </si>
  <si>
    <t>2割負担</t>
    <rPh sb="1" eb="2">
      <t>ワリ</t>
    </rPh>
    <rPh sb="2" eb="4">
      <t>フタン</t>
    </rPh>
    <phoneticPr fontId="0"/>
  </si>
  <si>
    <t>8割</t>
    <rPh sb="1" eb="2">
      <t>ワリ</t>
    </rPh>
    <phoneticPr fontId="127"/>
  </si>
  <si>
    <t>送迎減算</t>
    <rPh sb="0" eb="2">
      <t>ソウゲイ</t>
    </rPh>
    <rPh sb="2" eb="4">
      <t>ゲンサン</t>
    </rPh>
    <phoneticPr fontId="53"/>
  </si>
  <si>
    <t>3割負担</t>
    <rPh sb="1" eb="2">
      <t>ワリ</t>
    </rPh>
    <rPh sb="2" eb="4">
      <t>フタン</t>
    </rPh>
    <phoneticPr fontId="0"/>
  </si>
  <si>
    <t>7割</t>
    <rPh sb="1" eb="2">
      <t>ワリ</t>
    </rPh>
    <phoneticPr fontId="127"/>
  </si>
  <si>
    <t>生活保護による控除</t>
    <rPh sb="0" eb="2">
      <t>セイカツ</t>
    </rPh>
    <rPh sb="2" eb="4">
      <t>ホゴ</t>
    </rPh>
    <rPh sb="7" eb="9">
      <t>コウジョ</t>
    </rPh>
    <phoneticPr fontId="53"/>
  </si>
  <si>
    <t>↓保険内MAX利用回数</t>
    <rPh sb="1" eb="3">
      <t>ホケン</t>
    </rPh>
    <rPh sb="3" eb="4">
      <t>ナイ</t>
    </rPh>
    <rPh sb="7" eb="9">
      <t>リヨウ</t>
    </rPh>
    <rPh sb="9" eb="11">
      <t>カイスウ</t>
    </rPh>
    <phoneticPr fontId="53"/>
  </si>
  <si>
    <t>夜間サポートサービス</t>
    <rPh sb="0" eb="2">
      <t>ヤカン</t>
    </rPh>
    <phoneticPr fontId="53"/>
  </si>
  <si>
    <t>合計</t>
    <rPh sb="0" eb="2">
      <t>ゴウケイ</t>
    </rPh>
    <phoneticPr fontId="53"/>
  </si>
  <si>
    <t>2泊3日</t>
    <rPh sb="1" eb="2">
      <t>パク</t>
    </rPh>
    <rPh sb="3" eb="4">
      <t>ニチ</t>
    </rPh>
    <phoneticPr fontId="12"/>
  </si>
  <si>
    <t>↑保険外利用回数</t>
    <rPh sb="1" eb="3">
      <t>ホケン</t>
    </rPh>
    <rPh sb="3" eb="4">
      <t>ガイ</t>
    </rPh>
    <rPh sb="4" eb="6">
      <t>リヨウ</t>
    </rPh>
    <rPh sb="6" eb="8">
      <t>カイスウ</t>
    </rPh>
    <phoneticPr fontId="53"/>
  </si>
  <si>
    <t>昼食</t>
    <rPh sb="0" eb="2">
      <t>チュウショク</t>
    </rPh>
    <phoneticPr fontId="53"/>
  </si>
  <si>
    <t>朝食</t>
    <rPh sb="0" eb="2">
      <t>チョウショク</t>
    </rPh>
    <phoneticPr fontId="53"/>
  </si>
  <si>
    <t>夕食</t>
    <rPh sb="0" eb="2">
      <t>ユウショク</t>
    </rPh>
    <phoneticPr fontId="53"/>
  </si>
  <si>
    <t>夜間</t>
    <rPh sb="0" eb="2">
      <t>ヤカン</t>
    </rPh>
    <phoneticPr fontId="53"/>
  </si>
  <si>
    <t>7泊8日</t>
    <rPh sb="1" eb="2">
      <t>パク</t>
    </rPh>
    <rPh sb="3" eb="4">
      <t>ニチ</t>
    </rPh>
    <phoneticPr fontId="12"/>
  </si>
  <si>
    <t>保険外1.2</t>
    <rPh sb="0" eb="2">
      <t>ホケン</t>
    </rPh>
    <rPh sb="2" eb="3">
      <t>ガイ</t>
    </rPh>
    <phoneticPr fontId="53"/>
  </si>
  <si>
    <t>14泊15日</t>
    <rPh sb="2" eb="3">
      <t>ハク</t>
    </rPh>
    <rPh sb="5" eb="6">
      <t>ニチ</t>
    </rPh>
    <phoneticPr fontId="12"/>
  </si>
  <si>
    <t>保険外3.4.5</t>
    <rPh sb="0" eb="2">
      <t>ホケン</t>
    </rPh>
    <rPh sb="2" eb="3">
      <t>ガイ</t>
    </rPh>
    <phoneticPr fontId="53"/>
  </si>
  <si>
    <t>※おむつ代、リハビリパンツ代、パッド代および通院が必要な場合の通院費用・医療費は別途必要です。</t>
    <phoneticPr fontId="0"/>
  </si>
  <si>
    <t>※各種加算を算定する日は、1日当たり以下の料金が発生します。（生活保護の方の負担はありません。）＊概算</t>
    <rPh sb="18" eb="20">
      <t>イカ</t>
    </rPh>
    <phoneticPr fontId="0"/>
  </si>
  <si>
    <t>各種加算</t>
    <rPh sb="0" eb="2">
      <t>カクシュ</t>
    </rPh>
    <rPh sb="2" eb="4">
      <t>カサン</t>
    </rPh>
    <phoneticPr fontId="0"/>
  </si>
  <si>
    <t>加算名</t>
    <rPh sb="0" eb="2">
      <t>カサン</t>
    </rPh>
    <rPh sb="2" eb="3">
      <t>メイ</t>
    </rPh>
    <phoneticPr fontId="0"/>
  </si>
  <si>
    <t>処遇改善加算</t>
    <rPh sb="0" eb="6">
      <t>ショグウカイゼンカサン</t>
    </rPh>
    <phoneticPr fontId="0"/>
  </si>
  <si>
    <t>特定処遇改善加算</t>
    <rPh sb="0" eb="2">
      <t>トクテイ</t>
    </rPh>
    <rPh sb="2" eb="8">
      <t>ショグウカイゼンカサン</t>
    </rPh>
    <phoneticPr fontId="0"/>
  </si>
  <si>
    <t>30泊31日</t>
    <rPh sb="2" eb="3">
      <t>ハク</t>
    </rPh>
    <rPh sb="5" eb="6">
      <t>ニチ</t>
    </rPh>
    <phoneticPr fontId="12"/>
  </si>
  <si>
    <t>（事業の目的）</t>
    <phoneticPr fontId="16"/>
  </si>
  <si>
    <t>（運営の方針）</t>
    <phoneticPr fontId="16"/>
  </si>
  <si>
    <t>　事業所の地域密着型通所介護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います。
　事業の実施にあたっては、利用者がお住まいの市区町村、居宅介護支援事業者、在宅介護支援センター、地域包括支援センター、地域の保健・医療・福祉サービスとの綿密な連携を図り、総合的なサービスの提供に努めます。</t>
    <phoneticPr fontId="16"/>
  </si>
  <si>
    <t>（事業所の名称等）</t>
    <rPh sb="1" eb="4">
      <t>ジギョウショ</t>
    </rPh>
    <rPh sb="5" eb="7">
      <t>メイショウ</t>
    </rPh>
    <rPh sb="7" eb="8">
      <t>トウ</t>
    </rPh>
    <phoneticPr fontId="16"/>
  </si>
  <si>
    <t>地域密着型通所介護事業者（法人）の概要</t>
  </si>
  <si>
    <t>地域密着型通所介護（</t>
    <rPh sb="8" eb="9">
      <t>マモル</t>
    </rPh>
    <phoneticPr fontId="16"/>
  </si>
  <si>
    <t>看 護 職 員</t>
    <rPh sb="0" eb="1">
      <t>ミ</t>
    </rPh>
    <rPh sb="2" eb="3">
      <t>マモル</t>
    </rPh>
    <rPh sb="4" eb="5">
      <t>ショク</t>
    </rPh>
    <rPh sb="6" eb="7">
      <t>イン</t>
    </rPh>
    <phoneticPr fontId="16"/>
  </si>
  <si>
    <t>健康管理、その他介護業務等</t>
    <rPh sb="0" eb="2">
      <t>ケンコウ</t>
    </rPh>
    <rPh sb="2" eb="4">
      <t>カンリ</t>
    </rPh>
    <rPh sb="7" eb="8">
      <t>タ</t>
    </rPh>
    <rPh sb="8" eb="10">
      <t>カイゴ</t>
    </rPh>
    <rPh sb="10" eb="12">
      <t>ギョウム</t>
    </rPh>
    <rPh sb="12" eb="13">
      <t>トウ</t>
    </rPh>
    <phoneticPr fontId="16"/>
  </si>
  <si>
    <t>（サービスの内容と費用）　※費用については別表の通り</t>
    <rPh sb="9" eb="11">
      <t>ヒヨウ</t>
    </rPh>
    <rPh sb="14" eb="16">
      <t>ヒヨウ</t>
    </rPh>
    <rPh sb="21" eb="23">
      <t>ベッピョウ</t>
    </rPh>
    <rPh sb="24" eb="25">
      <t>トオ</t>
    </rPh>
    <phoneticPr fontId="16"/>
  </si>
  <si>
    <t>個人浴槽です。介助が必要な方には職員が個別対応します。</t>
    <phoneticPr fontId="16"/>
  </si>
  <si>
    <t>利用者の状況に適した機能訓練を行い、身体機能の低下を防止するよう努めます。</t>
    <phoneticPr fontId="16"/>
  </si>
  <si>
    <t>利用者の生活面での指導・援助を行います。
各種レクリエーションや健康体操等を実施します。</t>
    <phoneticPr fontId="16"/>
  </si>
  <si>
    <t>利用者と利用者の家族からの各種ご相談に問題解決に向けて取り組みます。</t>
  </si>
  <si>
    <t>ご自宅から施設内までの送迎を行います。但し、ご希望があれば、利用者の家族が行なうことも可能です。</t>
  </si>
  <si>
    <t>：</t>
    <phoneticPr fontId="16"/>
  </si>
  <si>
    <t>　パット</t>
    <phoneticPr fontId="16"/>
  </si>
  <si>
    <t>（事業所の特色等）</t>
    <phoneticPr fontId="16"/>
  </si>
  <si>
    <t>事業の目的</t>
    <phoneticPr fontId="16"/>
  </si>
  <si>
    <t>運営方針</t>
    <phoneticPr fontId="16"/>
  </si>
  <si>
    <t>　わたしたちは、利用者様を尊敬し、その命を守り、責任を持って介護を行ないます。</t>
  </si>
  <si>
    <t>　わたしたちは、一人ひとりに「目配り・気配り・心配り」ができる個別ケアに真正面から取り組んでいます。</t>
    <phoneticPr fontId="16"/>
  </si>
  <si>
    <t>　わたしたちは、住み慣れた地域社会の中で、尊厳を保ちながら「自分が自分らしくありのまま」に生活できるようにお手伝いします。</t>
    <phoneticPr fontId="16"/>
  </si>
  <si>
    <t>　わたしたち職員全員が「介護職人」だと自負し、より質と満足度が高いケアを目指して取り組んでいます。</t>
    <phoneticPr fontId="16"/>
  </si>
  <si>
    <t>　わたしたちは、「必要な時」に「必要な量」の介護サービスを「必要な地域」で提供し、在宅生活をサポートします。</t>
    <phoneticPr fontId="16"/>
  </si>
  <si>
    <t>　わたしたちは、誰もが安心して生活できる地域社会づくりに、草の根から貢献します。</t>
    <phoneticPr fontId="16"/>
  </si>
  <si>
    <t>（サービス内容に関する苦情等相談窓口）</t>
    <phoneticPr fontId="16"/>
  </si>
  <si>
    <t>当事業所
お客様
相談窓口</t>
    <rPh sb="0" eb="1">
      <t>トウ</t>
    </rPh>
    <rPh sb="1" eb="4">
      <t>ジギョウショ</t>
    </rPh>
    <rPh sb="6" eb="8">
      <t>キャクサマ</t>
    </rPh>
    <rPh sb="9" eb="11">
      <t>ソウダン</t>
    </rPh>
    <rPh sb="11" eb="13">
      <t>マドグチ</t>
    </rPh>
    <phoneticPr fontId="16"/>
  </si>
  <si>
    <t>相談窓口</t>
    <phoneticPr fontId="16"/>
  </si>
  <si>
    <t>国保連
相談窓口</t>
    <rPh sb="0" eb="3">
      <t>コクホレン</t>
    </rPh>
    <rPh sb="4" eb="6">
      <t>ソウダン</t>
    </rPh>
    <rPh sb="6" eb="8">
      <t>マドグチ</t>
    </rPh>
    <phoneticPr fontId="16"/>
  </si>
  <si>
    <t>（高齢者虐待防止について）</t>
    <phoneticPr fontId="16"/>
  </si>
  <si>
    <t>　研修等を通じて、従業者の人権意識の向上や知識、技術の向上に努めます。</t>
    <phoneticPr fontId="16"/>
  </si>
  <si>
    <t>　個別支援計画の作成など適切な支援の実施に努めます。</t>
    <phoneticPr fontId="16"/>
  </si>
  <si>
    <t>　従業者が支援にあたっての悩みや苦労を相談できる体制を整えるほか、従業者が利用者等の権利擁護に取り組める環境の整備に努めます。</t>
  </si>
  <si>
    <t>（身体的拘束等について）</t>
    <rPh sb="3" eb="4">
      <t>テキ</t>
    </rPh>
    <rPh sb="6" eb="7">
      <t>トウ</t>
    </rPh>
    <phoneticPr fontId="16"/>
  </si>
  <si>
    <t>　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1" eb="22">
      <t>トウ</t>
    </rPh>
    <phoneticPr fontId="16"/>
  </si>
  <si>
    <t>　前項ただ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します。</t>
  </si>
  <si>
    <t>（提供するサービスの第三者評価の実施状況）</t>
    <phoneticPr fontId="16"/>
  </si>
  <si>
    <t>（その他運営についての留意事項）</t>
    <phoneticPr fontId="16"/>
  </si>
  <si>
    <t>　事業者は、業務上知り得た利用者またはその家族の秘密を保持します。また、従業者であった者に、業務上知り得た利用者またはその家族の秘密を保持するため、従業者でなくなった後においてもこれらの秘密を保持するべき旨を雇用契約の内容に明記します。</t>
  </si>
  <si>
    <t>　指定地域密着型通所介護の提供により、利用者に賠償すべき事故が発生した場合、損害賠償を速やかに行います。</t>
  </si>
  <si>
    <t>　事業所は、この事業を行うため、ケース記録、利用決定調書、利用者負担金徴収簿、その他必要な帳簿を整備します。</t>
  </si>
  <si>
    <t>地域密着型通所介護　運営規程</t>
    <rPh sb="10" eb="12">
      <t>ウンエイ</t>
    </rPh>
    <rPh sb="12" eb="14">
      <t>キテイ</t>
    </rPh>
    <phoneticPr fontId="16"/>
  </si>
  <si>
    <t>　事業所の地域密着型通所介護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う。</t>
  </si>
  <si>
    <t>　利用者の要介護状態の軽減若しくは悪化の防止に努め、その目標を設定し計画的に行う。</t>
  </si>
  <si>
    <t>　利用者の意見及び人格を尊重し、常に利用者の立場でサービスの提供に努めるものとする。</t>
  </si>
  <si>
    <t>　事業の実施にあたっては、利用者がお住まいの市区町村、居宅介護支援事業者、在宅介護支援センター、地域包括支援センター、地域の保健・医療・福祉サービスとの綿密な連携を図り、総合的なサービスの提供に努める。</t>
  </si>
  <si>
    <t>　指定地域密着型通所介護の提供に当たっては、懇切丁寧に行うことを旨とし、利用者又はその家族に対し、サービスの提供方法等について、理解しやすいように説明を行い、指定地域密着型通所介護の提供の終了に際しては、利用者又はその家族に対し、適切な指導を行うと共に居宅介護支援事業者への情報の提供を行う。</t>
  </si>
  <si>
    <t>（事業所の名称等）</t>
    <phoneticPr fontId="16"/>
  </si>
  <si>
    <t>　事業を行う事業所の名称及び所在地は、次のとおりとする。</t>
    <phoneticPr fontId="16"/>
  </si>
  <si>
    <t>名　称</t>
    <rPh sb="0" eb="1">
      <t>ナ</t>
    </rPh>
    <rPh sb="2" eb="3">
      <t>ショウ</t>
    </rPh>
    <phoneticPr fontId="16"/>
  </si>
  <si>
    <t>所在地</t>
    <rPh sb="0" eb="3">
      <t>ショザイチ</t>
    </rPh>
    <phoneticPr fontId="16"/>
  </si>
  <si>
    <t>（職員の職種、員数及び職務内容）</t>
    <phoneticPr fontId="16"/>
  </si>
  <si>
    <t>　事業所に勤務する職種、員数及び職務内容は次のとおりとする。</t>
    <phoneticPr fontId="16"/>
  </si>
  <si>
    <t>　管理者は、従業者の管理及び業務の管理を一元的に行うと共に、法令等において規定されている指定地域密着型通所介護の実施に関し、事業所の従業者に対し法令等を遵守させるために必要な指揮命令を行う。</t>
  </si>
  <si>
    <t>生活相談員</t>
    <phoneticPr fontId="16"/>
  </si>
  <si>
    <t>　生活相談員は、指定地域密着型通所介護の利用申込にかかる調整、利用者の生活相談、面接、身上調査、他の地域密着型通所介護従業者に対する相談援助及び助言を行い、また、他の従業者と協力して通所介護計画の作成等を行う。また、利用者に対し日常生活上の介護その他必要な業務の提供にあたる。</t>
  </si>
  <si>
    <t>介護職員</t>
    <phoneticPr fontId="16"/>
  </si>
  <si>
    <t>　介護職員は利用者の心身の状況等を的確に把握し、必要な日常生活上の介護や健康管理、その他必要な業務の提供にあたる。</t>
  </si>
  <si>
    <t>機能訓練指導員</t>
    <phoneticPr fontId="16"/>
  </si>
  <si>
    <t>　機能訓練指導員は、日常生活を営むのに必要な機能の減退を防止するための訓練指導、助言を行う。</t>
    <phoneticPr fontId="16"/>
  </si>
  <si>
    <t>（営業日及び営業時間）</t>
    <phoneticPr fontId="16"/>
  </si>
  <si>
    <t>　事業所の営業日及び営業時間は、次のとおりとする。</t>
    <phoneticPr fontId="16"/>
  </si>
  <si>
    <t>営業日</t>
    <rPh sb="0" eb="3">
      <t>エイギョウビ</t>
    </rPh>
    <phoneticPr fontId="20"/>
  </si>
  <si>
    <t>営業時間</t>
    <rPh sb="0" eb="2">
      <t>エイギョウ</t>
    </rPh>
    <rPh sb="2" eb="4">
      <t>ジカン</t>
    </rPh>
    <phoneticPr fontId="20"/>
  </si>
  <si>
    <t>サービス提供時間</t>
    <rPh sb="4" eb="6">
      <t>テイキョウ</t>
    </rPh>
    <rPh sb="6" eb="8">
      <t>ジカン</t>
    </rPh>
    <phoneticPr fontId="19"/>
  </si>
  <si>
    <t>延長サービス可能時間帯</t>
    <phoneticPr fontId="16"/>
  </si>
  <si>
    <t>（利用定員）</t>
    <phoneticPr fontId="16"/>
  </si>
  <si>
    <t>　事業所の利用者の定員は、下記のとおりとする。</t>
  </si>
  <si>
    <t>１単位</t>
    <rPh sb="1" eb="3">
      <t>タンイ</t>
    </rPh>
    <phoneticPr fontId="16"/>
  </si>
  <si>
    <t>（指定地域密着型通所介護の提供方法、内容）</t>
  </si>
  <si>
    <t>　指定地域密着型通所介護の内容は、居宅サービス計画に基づいてサービスを行うものとする。但し、緊急を要する場合にあっては、居宅サービス計画作成前であってもサービスを利用できるものとし、次に掲げるサービスから利用者が選定したサービスを提供する。</t>
  </si>
  <si>
    <t>身体介護に関すること</t>
    <phoneticPr fontId="16"/>
  </si>
  <si>
    <t>　日常生活動作能力の程度により、必要な支援及びサービスを提供する。</t>
    <phoneticPr fontId="16"/>
  </si>
  <si>
    <t>（排泄の介助、移動・移乗の介助、養護、その他必要な身体の介護）</t>
    <phoneticPr fontId="16"/>
  </si>
  <si>
    <t>入浴に関すること</t>
    <phoneticPr fontId="16"/>
  </si>
  <si>
    <t>　家庭において入浴することが困難な利用者に対して、必要な入浴サービスを提供する。</t>
  </si>
  <si>
    <t>（衣類着脱の介護、身体の清拭、整髪、洗身、その他必要な入浴の介助）</t>
    <phoneticPr fontId="16"/>
  </si>
  <si>
    <t>食事に関すること</t>
    <phoneticPr fontId="16"/>
  </si>
  <si>
    <t>　給食を希望する利用者に対して、必要な食事のサービスを提供する。</t>
  </si>
  <si>
    <t>（食事の準備、配膳下膳の介助、食事摂取の介助、その他必要な食事の介助）</t>
    <phoneticPr fontId="16"/>
  </si>
  <si>
    <t>機能訓練に関すること</t>
    <phoneticPr fontId="16"/>
  </si>
  <si>
    <t>　体力や機能の低下を防ぐために必要な訓練及び日常生活に必要な基本的動作を獲得するための訓練を行う。</t>
    <phoneticPr fontId="16"/>
  </si>
  <si>
    <t>アクティビティ・サービスに関すること</t>
    <phoneticPr fontId="16"/>
  </si>
  <si>
    <t>　利用者が、生きがいのある快適で豊かな日常生活を送ることができるよう、アクティビティ・サービスを実施する。これらの活動を通じて仲間づくり、老いや障害の受容、心身機能の維持・向上、自信の回復や情緒安定を図る。</t>
  </si>
  <si>
    <t>（レクリエーション、生活リハビリテーション、音楽活動、制作活動、行事的活動、体操）</t>
    <phoneticPr fontId="16"/>
  </si>
  <si>
    <t>送迎に関すること</t>
    <phoneticPr fontId="16"/>
  </si>
  <si>
    <t>　送迎を必要とする利用者に対し送迎サービスを提供する。送迎時は利用者の状況に応じ必要な介護を行う。</t>
  </si>
  <si>
    <t>（送迎、移動、移乗動作の介助）</t>
    <phoneticPr fontId="16"/>
  </si>
  <si>
    <t>相談・助言に関すること</t>
    <phoneticPr fontId="16"/>
  </si>
  <si>
    <t>　利用者及びその家族の日常生活における介護等に関する相談及び助言を行う。</t>
  </si>
  <si>
    <t>（指定居宅介護支援事業者との連携等）</t>
    <phoneticPr fontId="16"/>
  </si>
  <si>
    <t>　指定地域密着型通所介護の提供にあたっては、利用者にかかる指定居宅介護支援事業者が開催するサービス担当者会議等を通じて、利用者の心身の状況、その置かれている環境、他の保健・医療・福祉サービスの利用状況等の把握に努める。</t>
  </si>
  <si>
    <t>　利用者の生活状況の変化、サービス利用方法・内容の変更希望があった場合、当該利用者担当の指定居宅介護支援事業者に連絡すると共に、綿密な連携に努める。</t>
  </si>
  <si>
    <t>　正当な理由なく指定地域密着型通所介護の提供を拒まない。但し、通常の事業実施地域等を勘案し、利用希望者に対して地域密着型通所介護の提供が困難と認めた場合、当該利用者にかかる指定居宅介護支援事業者と連携し、必要な措置を講ずる。</t>
  </si>
  <si>
    <t>（地域密着型通所介護計画の作成等）</t>
  </si>
  <si>
    <t>　地域密着型通所介護の提供を開始する際には、利用者の心身の状況、希望及びその置かれている状況並びに家族等介護者の状況を十分把握し、地域密着型通所介護計画を作成する。また、既に居宅サービス計画が作成されている場合は、その内容に沿った地域密着型通所介護計画を作成する。</t>
    <phoneticPr fontId="16"/>
  </si>
  <si>
    <t>　地域密着型通所介護計画の作成・変更の際には、利用者又は家族に対し、当該計画の内容を説明し、同意を得る。</t>
    <phoneticPr fontId="16"/>
  </si>
  <si>
    <t>　利用者に対し、地域密着型通所介護計画に基づいて各種サービスを提供すると共に、継続的なサービスの管理、評価を行う。</t>
    <phoneticPr fontId="16"/>
  </si>
  <si>
    <t>（サービスの提供記録の記載）</t>
    <phoneticPr fontId="16"/>
  </si>
  <si>
    <t>　地域密着型通所介護従業者は、指定地域密着型通所介護を提供した際には、その提供日・内容、当該指定地域密着型通所介護について、利用者に代わって支払いを受ける保険給付の額、その他必要な記録を所定の書面に記載する。</t>
    <phoneticPr fontId="16"/>
  </si>
  <si>
    <t>　地域密着型通所介護従業者は、利用者に対する地域密着型通所介護サービスの実施状況等に関する記録を整備し、その完結の日から５年間保存する。</t>
    <rPh sb="15" eb="17">
      <t>リヨウ</t>
    </rPh>
    <rPh sb="17" eb="18">
      <t>シャ</t>
    </rPh>
    <phoneticPr fontId="16"/>
  </si>
  <si>
    <t>（指定地域密着型通所介護の利用料等及び支払いの方法）</t>
  </si>
  <si>
    <t>　指定地域密着型通所介護を提供した場合の利用料の額は、介護報酬告示上の額とし、介護保険の適用がある場合は、負担割合証及び料金表別表の通りの負担額となる。
　ただし、次に掲げる項目については、別に利用料金の支払いを受けるものとする。</t>
    <rPh sb="53" eb="58">
      <t>フタンワリアイショウ</t>
    </rPh>
    <rPh sb="58" eb="59">
      <t>オヨ</t>
    </rPh>
    <phoneticPr fontId="16"/>
  </si>
  <si>
    <t>　延長加算算定時の朝食及び夕食の提供に要する費用について、以下の通り徴収する。</t>
    <rPh sb="1" eb="3">
      <t>エンチョウ</t>
    </rPh>
    <rPh sb="3" eb="5">
      <t>カサン</t>
    </rPh>
    <rPh sb="5" eb="7">
      <t>サンテイ</t>
    </rPh>
    <rPh sb="7" eb="8">
      <t>ジ</t>
    </rPh>
    <rPh sb="9" eb="11">
      <t>チョウショク</t>
    </rPh>
    <rPh sb="11" eb="12">
      <t>オヨ</t>
    </rPh>
    <rPh sb="13" eb="15">
      <t>ユウショク</t>
    </rPh>
    <rPh sb="16" eb="18">
      <t>テイキョウ</t>
    </rPh>
    <rPh sb="19" eb="20">
      <t>ヨウ</t>
    </rPh>
    <rPh sb="22" eb="24">
      <t>ヒヨウ</t>
    </rPh>
    <rPh sb="29" eb="31">
      <t>イカ</t>
    </rPh>
    <rPh sb="32" eb="33">
      <t>トオ</t>
    </rPh>
    <rPh sb="34" eb="36">
      <t>チョウシュウ</t>
    </rPh>
    <phoneticPr fontId="16"/>
  </si>
  <si>
    <t>朝　食</t>
    <rPh sb="0" eb="1">
      <t>アサ</t>
    </rPh>
    <rPh sb="2" eb="3">
      <t>ショク</t>
    </rPh>
    <phoneticPr fontId="16"/>
  </si>
  <si>
    <t>円</t>
    <rPh sb="0" eb="1">
      <t>エン</t>
    </rPh>
    <phoneticPr fontId="16"/>
  </si>
  <si>
    <t>夕　食</t>
    <rPh sb="0" eb="1">
      <t>ユウ</t>
    </rPh>
    <rPh sb="2" eb="3">
      <t>ショク</t>
    </rPh>
    <phoneticPr fontId="16"/>
  </si>
  <si>
    <t>　おむつ代については、以下の通り徴収する。</t>
    <rPh sb="4" eb="5">
      <t>ダイ</t>
    </rPh>
    <rPh sb="11" eb="13">
      <t>イカ</t>
    </rPh>
    <rPh sb="14" eb="15">
      <t>トオ</t>
    </rPh>
    <rPh sb="16" eb="18">
      <t>チョウシュウ</t>
    </rPh>
    <phoneticPr fontId="16"/>
  </si>
  <si>
    <t>　その他、指定地域密着型通所介護において提供される便宜のうち、日常生活においても通常必要となるものに係る費用で、利用者が負担することが適当と認められる費用については、実費を徴収する。</t>
  </si>
  <si>
    <t>　前１～５項の利用料の支払いを受けたときは、利用料とその他の費用（個別の費用毎に区分）について記載した領収書を交付する。</t>
    <phoneticPr fontId="16"/>
  </si>
  <si>
    <t>　指定地域密着型通所介護の提供の開始に際し、あらかじめ利用者又はその家族に対し、利用料並びにその他の費用の内容及び金額に関し事前に説明した上で、支払に関する同意を得る。</t>
  </si>
  <si>
    <t>　費用を変更する場合には、あらかじめ前項と同様に利用者又はその家族に対して事前に文章で説明した上で、支払に関する同意を得る。</t>
  </si>
  <si>
    <t>　法定代理受領サービスに該当しない指定地域密着型通所介護に係る利用料の支払を受けた場合は、提供した指定地域密着型通所介護の内容、費用の額その他必要と認められた事項を記載したサービス提供証明書を利用者に対して交付する。</t>
  </si>
  <si>
    <t>　指定地域密着型通所介護の利用者は、事業所の定める期日に、別途契約書で指定する方法により利用料等を納入することとする。</t>
  </si>
  <si>
    <t>（通常の事業の実施地域）</t>
    <phoneticPr fontId="16"/>
  </si>
  <si>
    <t>　通常の事業の実施地域は以下のとおりとする。</t>
    <phoneticPr fontId="16"/>
  </si>
  <si>
    <t>（</t>
    <phoneticPr fontId="16"/>
  </si>
  <si>
    <t>（契約書の作成）</t>
    <phoneticPr fontId="16"/>
  </si>
  <si>
    <t>　地域密着型通所介護の提供を開始するにあたって、本規程に沿った事業内容の詳細について、利用者に契約書の書面をもって説明し、同意を得た上で署名（記名押印）を受けることとする。</t>
  </si>
  <si>
    <t>　地域密着型通所介護従業者は、指定地域密着型通所介護を実施中に利用者の病状等に急変、その他緊急事態が生じたときは、速やかに主治医に連絡する等の措置を講ずると共に、管理者及び主治医に報告し、その指示に従って適切に対応しなければならない。主治医への連絡が困難な場合は、緊急搬送等の必要な措置を講じるものとする。</t>
  </si>
  <si>
    <t>　指定地域密着型通所介護を実施中に天災その他の災害が発生した場合、利用者の避難等の措置を講ずるほか、管理者に連絡の上その指示に従うものとする。</t>
  </si>
  <si>
    <t>３</t>
  </si>
  <si>
    <t>　利用者に対する指定地域密着型通所介護の提供により事故が発生した場合は、市区町村、利用者の家族、居宅介護支援事業者等に連絡すると共に必要な措置を講じるものとする。</t>
  </si>
  <si>
    <t>　利用者に対する指定地域密着型通所介護の提供により賠償すべき事故が発生した場合に備え、損害保険に加入し速やかに対応を行う。</t>
  </si>
  <si>
    <t>（非常災害対策）</t>
    <phoneticPr fontId="16"/>
  </si>
  <si>
    <t>　事業所は、非常災害に備えるため、消防計画・非常災害時マニュアルを作成し避難訓練等を次の通り行うと共に必要な設備を備える。</t>
    <phoneticPr fontId="16"/>
  </si>
  <si>
    <t>防火責任者</t>
    <rPh sb="0" eb="2">
      <t>ボウカ</t>
    </rPh>
    <rPh sb="2" eb="5">
      <t>セキニンシャ</t>
    </rPh>
    <phoneticPr fontId="50"/>
  </si>
  <si>
    <t>管理者</t>
    <rPh sb="0" eb="3">
      <t>カンリシャ</t>
    </rPh>
    <phoneticPr fontId="50"/>
  </si>
  <si>
    <t>総合防災訓練</t>
    <rPh sb="0" eb="2">
      <t>ソウゴウ</t>
    </rPh>
    <rPh sb="2" eb="4">
      <t>ボウサイ</t>
    </rPh>
    <rPh sb="4" eb="6">
      <t>クンレン</t>
    </rPh>
    <phoneticPr fontId="50"/>
  </si>
  <si>
    <t>年１回</t>
    <rPh sb="0" eb="1">
      <t>ネン</t>
    </rPh>
    <rPh sb="2" eb="3">
      <t>カイ</t>
    </rPh>
    <phoneticPr fontId="50"/>
  </si>
  <si>
    <t>消火訓練</t>
    <rPh sb="0" eb="2">
      <t>ショウカ</t>
    </rPh>
    <rPh sb="2" eb="4">
      <t>クンレン</t>
    </rPh>
    <phoneticPr fontId="50"/>
  </si>
  <si>
    <t>年２回</t>
    <rPh sb="0" eb="1">
      <t>ネン</t>
    </rPh>
    <rPh sb="2" eb="3">
      <t>カイ</t>
    </rPh>
    <phoneticPr fontId="50"/>
  </si>
  <si>
    <t>通報訓練</t>
    <rPh sb="0" eb="2">
      <t>ツウホウ</t>
    </rPh>
    <rPh sb="2" eb="4">
      <t>クンレン</t>
    </rPh>
    <phoneticPr fontId="50"/>
  </si>
  <si>
    <t>避難誘導訓練</t>
    <rPh sb="0" eb="2">
      <t>ヒナン</t>
    </rPh>
    <rPh sb="2" eb="4">
      <t>ユウドウ</t>
    </rPh>
    <rPh sb="4" eb="6">
      <t>クンレン</t>
    </rPh>
    <phoneticPr fontId="50"/>
  </si>
  <si>
    <t>（衛生管理及び従業者等の健康管理等）</t>
  </si>
  <si>
    <t>　地域密着型通所介護に使用する備品等は清潔に保持し、定期的な消毒を施すなど常に衛生管理に十分留意するものとする。</t>
  </si>
  <si>
    <t>　地域密着型通所介護従業者に対し感染症等に関する基礎知識の習得に努めると共に、年１回以上の健康診断を受診させるものとする。</t>
  </si>
  <si>
    <t>　事業所において感染症が発生し、又はまん延しないように必要な措置を講じると共に、必要に応じ保健所の助言、指導を求めるものとする。</t>
    <phoneticPr fontId="16"/>
  </si>
  <si>
    <t>（サービス利用にあたっての留意事項）</t>
    <phoneticPr fontId="16"/>
  </si>
  <si>
    <t>　利用者が入浴室及び機能訓練室等を利用する場合は、職員立会いのもとで使用すること。又、体調が思わしくない利用者にはその旨を説明し安全指導を図る。</t>
  </si>
  <si>
    <t>　利用者は指定地域密着型通所介護の提供を受ける際には、医師の診断や日常生活上の留意事項、利用当日の健康状態等を地域密着型通所介護従業者に連絡し、心身の状況に応じたサービスの提供を受けるよう留意する。</t>
  </si>
  <si>
    <t>（苦情対応）</t>
  </si>
  <si>
    <t>　指定地域密着型通所介護の提供に係る利用者及びその家族からの苦情に迅速かつ適切に対応するため、担当者を置き、事実関係の調査を実施し、改善措置を講じ、利用者及び家族に説明するものとする。</t>
  </si>
  <si>
    <t>　事業所は、提供した指定地域密着型通所介護に係る利用者からの苦情に関して国民健康保険団体連合会の調査に協力すると共に、国民健康保険団体連合会から指導又は助言を受けた場合は、当該指導又は助言に従って必要な改善を行うものとする。</t>
  </si>
  <si>
    <t>（個人情報の保護）</t>
    <phoneticPr fontId="16"/>
  </si>
  <si>
    <t>　事業所は、利用者の個人情報について「個人情報の保護に関する法律」及び厚生労働省が策定した「医療・介護関係事業者における個人情報の適切な取り扱いのためのガイダンス」を遵守し適切な取り扱いに努めるものとする。</t>
    <phoneticPr fontId="16"/>
  </si>
  <si>
    <t>　事業者が得た利用者の個人情報については、事業所での介護サービスの提供以外の目的では原則的に利用しないものとし、外部への情報提供については必要に応じて利用者またはその家族、代理人の了解を得るものとする。</t>
  </si>
  <si>
    <t>（虐待防止に関する事項）</t>
    <phoneticPr fontId="16"/>
  </si>
  <si>
    <t>　事業所は、利用者の人権の擁護・虐待の防止のために次の措置を講ずるものとする。</t>
  </si>
  <si>
    <t>虐待を防止するための従業者に対する研修の実施</t>
    <rPh sb="0" eb="2">
      <t>ギャクタイ</t>
    </rPh>
    <rPh sb="3" eb="5">
      <t>ボウシ</t>
    </rPh>
    <rPh sb="10" eb="13">
      <t>ジュウギョウシャ</t>
    </rPh>
    <rPh sb="14" eb="15">
      <t>タイ</t>
    </rPh>
    <rPh sb="17" eb="19">
      <t>ケンシュウ</t>
    </rPh>
    <rPh sb="20" eb="22">
      <t>ジッシ</t>
    </rPh>
    <phoneticPr fontId="20"/>
  </si>
  <si>
    <t>利用者及びその家族からの苦情対応体制の整備</t>
    <rPh sb="3" eb="4">
      <t>オヨ</t>
    </rPh>
    <rPh sb="16" eb="18">
      <t>タイセイ</t>
    </rPh>
    <rPh sb="19" eb="21">
      <t>セイビ</t>
    </rPh>
    <phoneticPr fontId="20"/>
  </si>
  <si>
    <t>その他虐待防止のために必要な措置</t>
    <rPh sb="2" eb="3">
      <t>タ</t>
    </rPh>
    <rPh sb="3" eb="5">
      <t>ギャクタイ</t>
    </rPh>
    <rPh sb="5" eb="7">
      <t>ボウシ</t>
    </rPh>
    <rPh sb="11" eb="13">
      <t>ヒツヨウ</t>
    </rPh>
    <rPh sb="14" eb="16">
      <t>ソチ</t>
    </rPh>
    <phoneticPr fontId="19"/>
  </si>
  <si>
    <t>　事業所は、サービス提供中に、当該事業所従業者及び養護者（利用者の家族等高齢者を現に養護する者）による虐待を受けたと思われる利用者を発見した場合は、速やかに、これを市区町村に通報するものとする。</t>
  </si>
  <si>
    <t>（身体的拘束等の禁止に関する事項）</t>
    <phoneticPr fontId="16"/>
  </si>
  <si>
    <t>　事業所は、サービス提供にあたり身体的拘束その他利用者の行動を制限する行為を行わない。但し利用者本人又は他の利用者等の生命又は身体を保護するため緊急やむを得ない場合はこの限りではない。</t>
  </si>
  <si>
    <t>　前項但し書きの規定に基づき身体的拘束等の行為を行った場合には、事業者は、直ちに、その日時、態様、利用者の心身の状況、緊急やむを得なかった理由、当該行為が必要と判断した職員等及び当該行為を行った職員等の氏名その他必要な事項について、サービス提供記録等に記録するものとする。</t>
    <rPh sb="3" eb="4">
      <t>タダ</t>
    </rPh>
    <phoneticPr fontId="16"/>
  </si>
  <si>
    <t>（暴力団排除に関する事項）</t>
    <rPh sb="4" eb="6">
      <t>ハイジョ</t>
    </rPh>
    <rPh sb="7" eb="8">
      <t>カン</t>
    </rPh>
    <rPh sb="10" eb="12">
      <t>ジコウ</t>
    </rPh>
    <phoneticPr fontId="16"/>
  </si>
  <si>
    <t>　事業所は、その運営について、暴力団員の支配を受けてはならない。</t>
  </si>
  <si>
    <t>（提供するサービスの第三者評価の実施状況）</t>
    <rPh sb="1" eb="3">
      <t>テイキョウ</t>
    </rPh>
    <rPh sb="10" eb="13">
      <t>ダイサンシャ</t>
    </rPh>
    <rPh sb="13" eb="15">
      <t>ヒョウカ</t>
    </rPh>
    <rPh sb="16" eb="18">
      <t>ジッシ</t>
    </rPh>
    <rPh sb="18" eb="20">
      <t>ジョウキョウ</t>
    </rPh>
    <phoneticPr fontId="16"/>
  </si>
  <si>
    <t>　事業所は、サービス提供の開始に当たって、あらかじめ、利用申込者又はその家族に対して、「第三者評価の実施の有無」、「実施した直近の年月日」、「実施した評価機関の名称」、「評価結果の開示状況」を重要事項説明書に明記し説明する。</t>
    <rPh sb="1" eb="4">
      <t>ジギョウショ</t>
    </rPh>
    <rPh sb="10" eb="12">
      <t>テイキョウ</t>
    </rPh>
    <rPh sb="13" eb="15">
      <t>カイシ</t>
    </rPh>
    <rPh sb="16" eb="17">
      <t>ア</t>
    </rPh>
    <phoneticPr fontId="16"/>
  </si>
  <si>
    <t>第２４条</t>
    <phoneticPr fontId="16"/>
  </si>
  <si>
    <t>　地域密着型通所介護従業者の質的向上を図るため研修の機会を次のとおり設けるものとし、業務体制を整備する。</t>
  </si>
  <si>
    <t>採用時研修</t>
    <rPh sb="0" eb="3">
      <t>サイヨウジ</t>
    </rPh>
    <rPh sb="3" eb="5">
      <t>ケンシュウ</t>
    </rPh>
    <phoneticPr fontId="20"/>
  </si>
  <si>
    <t>採用後１ヶ月以内</t>
    <rPh sb="0" eb="3">
      <t>サイヨウゴ</t>
    </rPh>
    <rPh sb="5" eb="6">
      <t>ゲツ</t>
    </rPh>
    <rPh sb="6" eb="8">
      <t>イナイ</t>
    </rPh>
    <phoneticPr fontId="20"/>
  </si>
  <si>
    <t>本部全体研修</t>
    <rPh sb="0" eb="2">
      <t>ホンブ</t>
    </rPh>
    <rPh sb="2" eb="4">
      <t>ゼンタイ</t>
    </rPh>
    <rPh sb="4" eb="6">
      <t>ケンシュウ</t>
    </rPh>
    <phoneticPr fontId="20"/>
  </si>
  <si>
    <t>年２回以上</t>
    <rPh sb="0" eb="1">
      <t>ネン</t>
    </rPh>
    <rPh sb="2" eb="3">
      <t>カイ</t>
    </rPh>
    <rPh sb="3" eb="5">
      <t>イジョウ</t>
    </rPh>
    <phoneticPr fontId="20"/>
  </si>
  <si>
    <t>事業所内研修</t>
    <rPh sb="0" eb="3">
      <t>ジギョウショ</t>
    </rPh>
    <rPh sb="3" eb="4">
      <t>ナイ</t>
    </rPh>
    <rPh sb="4" eb="6">
      <t>ケンシュウ</t>
    </rPh>
    <phoneticPr fontId="20"/>
  </si>
  <si>
    <t>年１２回</t>
    <rPh sb="0" eb="1">
      <t>ネン</t>
    </rPh>
    <rPh sb="3" eb="4">
      <t>カイ</t>
    </rPh>
    <phoneticPr fontId="20"/>
  </si>
  <si>
    <t>　事業者は、業務上知り得た利用者又はその家族の秘密を保持する。又、従業者であった者に、業務上知り得た利用者又はその家族の秘密を保持するため、従業者でなくなった後においてもこれらの秘密を保持するべき旨を雇用契約の内容に明記する。</t>
  </si>
  <si>
    <t>　事業所は、この事業を行うため、ケース記録、利用決定調書、利用者負担金徴収簿、その他必要な帳簿を整備し、その完結の日から５年間保存するものとする。</t>
  </si>
  <si>
    <t>2014.10.26　事業所名→“事業所”</t>
    <rPh sb="11" eb="14">
      <t>ジギョウショ</t>
    </rPh>
    <rPh sb="14" eb="15">
      <t>メイ</t>
    </rPh>
    <rPh sb="17" eb="19">
      <t>ジギョウ</t>
    </rPh>
    <rPh sb="19" eb="20">
      <t>ショ</t>
    </rPh>
    <phoneticPr fontId="16"/>
  </si>
  <si>
    <t>附　則</t>
    <rPh sb="0" eb="1">
      <t>フ</t>
    </rPh>
    <rPh sb="2" eb="3">
      <t>ノリ</t>
    </rPh>
    <phoneticPr fontId="16"/>
  </si>
  <si>
    <t>この規程は、</t>
    <rPh sb="2" eb="4">
      <t>キテイ</t>
    </rPh>
    <phoneticPr fontId="16"/>
  </si>
  <si>
    <t>から施行する。</t>
    <rPh sb="2" eb="4">
      <t>セコウ</t>
    </rPh>
    <phoneticPr fontId="16"/>
  </si>
  <si>
    <t>１名以上</t>
    <phoneticPr fontId="16"/>
  </si>
  <si>
    <t>　生活相談員は、指定地域密着型通所介護の利用申込にかかる調整、利用者の生活相談、面接、身上調査、他の地域密着型通所介護従業者に対する相談援助及び助言を行う。また、利用者に対し日常生活上の介護その他必要な業務の提供にあたる。</t>
  </si>
  <si>
    <t>１名以上</t>
    <rPh sb="1" eb="2">
      <t>メイ</t>
    </rPh>
    <phoneticPr fontId="16"/>
  </si>
  <si>
    <t>（地域密着型通所介護計画の作成等）</t>
    <rPh sb="1" eb="6">
      <t>チイキミッチャクガタ</t>
    </rPh>
    <phoneticPr fontId="16"/>
  </si>
  <si>
    <t>　地域密着型通所介護の提供を開始する際には、利用者の心身の状況、希望及びその置かれている状況並びに家族等介護者の状況を十分把握し、地域密着型通所介護計画を作成する。また、既に居宅サービス計画が作成されている場合は、その内容に沿った地域密着型通所介護計画を作成する。</t>
    <rPh sb="65" eb="70">
      <t>チイキミッチャクガタ</t>
    </rPh>
    <phoneticPr fontId="16"/>
  </si>
  <si>
    <t>　地域密着型通所介護従業者は、利用者に対する地域密着型通所介護サービスの実施状況等に関する記録を整備し、その完結の日から５年間保存する</t>
    <rPh sb="15" eb="17">
      <t>リヨウ</t>
    </rPh>
    <rPh sb="17" eb="18">
      <t>シャ</t>
    </rPh>
    <phoneticPr fontId="16"/>
  </si>
  <si>
    <t>４</t>
  </si>
  <si>
    <t>５</t>
  </si>
  <si>
    <t>　前１～４項の利用料の支払いを受けたときは、利用料とその他の費用（個別の費用毎に区分）について記載した領収書を交付する。</t>
    <phoneticPr fontId="16"/>
  </si>
  <si>
    <t>６</t>
  </si>
  <si>
    <t>７</t>
  </si>
  <si>
    <t>８</t>
  </si>
  <si>
    <t>９</t>
  </si>
  <si>
    <t>　事業所は、サービス提供にあたり身体的拘束等その他利用者の行動を制限する行為を行わない。但し利用者本人又は他の利用者等の生命又は身体を保護するため緊急やむを得ない場合はこの限りではない。</t>
    <rPh sb="21" eb="22">
      <t>ナド</t>
    </rPh>
    <phoneticPr fontId="16"/>
  </si>
  <si>
    <t>　事業所の介護サポートサービス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います。</t>
  </si>
  <si>
    <t>　事業の実施にあたっては、利用者がお住まいの市区町村、居宅介護支援事業者、在宅介護支援センター、地域包括支援センター、地域の保健・医療・福祉サービスとの綿密な連携を図り、総合的なサービスの提供に努めます。</t>
  </si>
  <si>
    <t>介護サポートサービス事業者（法人）の概要</t>
    <phoneticPr fontId="16"/>
  </si>
  <si>
    <t>事業所名称及び所在地</t>
    <rPh sb="7" eb="10">
      <t>ショザイチ</t>
    </rPh>
    <phoneticPr fontId="16"/>
  </si>
  <si>
    <t>（サービスの内容と費用）</t>
    <rPh sb="9" eb="11">
      <t>ヒヨウ</t>
    </rPh>
    <phoneticPr fontId="16"/>
  </si>
  <si>
    <t>主にご家庭で通院介助ができない場合、代行して通院介助を行います。
※ただし、公共の交通機関もしくは介護タクシーを使用します。（別途、実費相当額を徴収いたします。）</t>
    <phoneticPr fontId="16"/>
  </si>
  <si>
    <t>利用料等のお支払い方法については</t>
    <phoneticPr fontId="16"/>
  </si>
  <si>
    <t>その他のお支払い方法についてはご相談ください。</t>
    <phoneticPr fontId="16"/>
  </si>
  <si>
    <t>サービス内容に関する苦情等相談窓口</t>
    <phoneticPr fontId="16"/>
  </si>
  <si>
    <t>　事業者は、サービス提供にあたり身体的拘束等その他利用者の行動を制限する行為を行いません。但し、利用者又は他の利用者等の生命又は身体を保護するため緊急やむを得ない場合は、この限りではありません。</t>
    <rPh sb="21" eb="22">
      <t>ナド</t>
    </rPh>
    <phoneticPr fontId="16"/>
  </si>
  <si>
    <t>　指定通所介護の提供により、利用者に賠償すべき事故が発生した場合、損害賠償を速やかに行います。</t>
  </si>
  <si>
    <t>介護サポートサービス　運営規程</t>
    <rPh sb="0" eb="2">
      <t>カイゴ</t>
    </rPh>
    <rPh sb="11" eb="13">
      <t>ウンエイ</t>
    </rPh>
    <rPh sb="13" eb="15">
      <t>キテイ</t>
    </rPh>
    <phoneticPr fontId="16"/>
  </si>
  <si>
    <t>　事業所の従業者は、要介護状態等の心身の特徴を踏まえて、利用者が可能な限りその居宅において、その有する能力に応じ自立した日常生活を営むことができるよう、更に利用者の社会的孤立感の解消及び心身機能の維持並びに家族の身体的・精神的負担の軽減を図るために、必要な日常生活上の世話及び機能訓練等の介護、その他必要な援助を行う。</t>
  </si>
  <si>
    <t>2014.10.26　“介護外”→削除</t>
    <rPh sb="12" eb="14">
      <t>カイゴ</t>
    </rPh>
    <rPh sb="14" eb="15">
      <t>ガイ</t>
    </rPh>
    <rPh sb="17" eb="19">
      <t>サクジョ</t>
    </rPh>
    <phoneticPr fontId="16"/>
  </si>
  <si>
    <t>　介護サポートサービスの提供に当たっては、懇切丁寧に行うことを旨とし、利用者又はその家族に対し、サービスの提供方法等について、理解しやすいように説明を行い、介護サポートサービスの提供の終了に際しては、利用者又はその家族に対し、適切な指導を行うと共に居宅介護支援事業者への情報の提供を行う。</t>
    <rPh sb="1" eb="3">
      <t>カイゴ</t>
    </rPh>
    <phoneticPr fontId="16"/>
  </si>
  <si>
    <t>2014.10.27　「都道府県、市区町村において指定通所介護事業所等で提供する宿泊サービスの人員、設備及び運営に関する基準などが定められた場合は」→指定権者毎の内容に変更できるよう改訂</t>
    <rPh sb="75" eb="77">
      <t>シテイ</t>
    </rPh>
    <rPh sb="77" eb="78">
      <t>ケン</t>
    </rPh>
    <rPh sb="78" eb="79">
      <t>シャ</t>
    </rPh>
    <rPh sb="79" eb="80">
      <t>ゴト</t>
    </rPh>
    <rPh sb="81" eb="83">
      <t>ナイヨウ</t>
    </rPh>
    <rPh sb="84" eb="86">
      <t>ヘンコウ</t>
    </rPh>
    <rPh sb="91" eb="93">
      <t>カイテイ</t>
    </rPh>
    <phoneticPr fontId="16"/>
  </si>
  <si>
    <t>　事業に従事する従業者の職種、員数及び職務内容は次のとおりとする。</t>
    <phoneticPr fontId="16"/>
  </si>
  <si>
    <t>夜間帯の夜間サポートサービス従業者（介護職員）</t>
    <rPh sb="0" eb="2">
      <t>ヤカン</t>
    </rPh>
    <rPh sb="2" eb="3">
      <t>タイ</t>
    </rPh>
    <rPh sb="4" eb="6">
      <t>ヤカン</t>
    </rPh>
    <rPh sb="14" eb="17">
      <t>ジュウギョウシャ</t>
    </rPh>
    <rPh sb="18" eb="20">
      <t>カイゴ</t>
    </rPh>
    <rPh sb="20" eb="22">
      <t>ショクイン</t>
    </rPh>
    <phoneticPr fontId="16"/>
  </si>
  <si>
    <t>　夜間サポートサービス利用者の食事準備、食事介助、排泄介助、就寝準備、更衣介助、見守り等生活全般の支援を行う。</t>
  </si>
  <si>
    <t>繁忙時間帯</t>
    <rPh sb="0" eb="2">
      <t>ハンボウ</t>
    </rPh>
    <rPh sb="2" eb="4">
      <t>ジカン</t>
    </rPh>
    <rPh sb="4" eb="5">
      <t>タイ</t>
    </rPh>
    <phoneticPr fontId="19"/>
  </si>
  <si>
    <t>夕食及び朝食時間帯等</t>
    <rPh sb="0" eb="1">
      <t>ユウ</t>
    </rPh>
    <rPh sb="1" eb="2">
      <t>ショク</t>
    </rPh>
    <rPh sb="2" eb="3">
      <t>オヨ</t>
    </rPh>
    <rPh sb="4" eb="6">
      <t>チョウショク</t>
    </rPh>
    <rPh sb="6" eb="8">
      <t>ジカン</t>
    </rPh>
    <rPh sb="8" eb="9">
      <t>タイ</t>
    </rPh>
    <rPh sb="9" eb="10">
      <t>トウ</t>
    </rPh>
    <phoneticPr fontId="15"/>
  </si>
  <si>
    <t>職員配置２名以上</t>
    <rPh sb="0" eb="2">
      <t>ショクイン</t>
    </rPh>
    <rPh sb="2" eb="4">
      <t>ハイチ</t>
    </rPh>
    <rPh sb="5" eb="6">
      <t>メイ</t>
    </rPh>
    <rPh sb="6" eb="8">
      <t>イジョウ</t>
    </rPh>
    <phoneticPr fontId="15"/>
  </si>
  <si>
    <t>夜間就寝時間帯</t>
    <rPh sb="0" eb="2">
      <t>ヤカン</t>
    </rPh>
    <rPh sb="2" eb="4">
      <t>シュウシン</t>
    </rPh>
    <rPh sb="4" eb="6">
      <t>ジカン</t>
    </rPh>
    <rPh sb="6" eb="7">
      <t>タイ</t>
    </rPh>
    <phoneticPr fontId="19"/>
  </si>
  <si>
    <t>２０：００～翌朝８：００</t>
    <phoneticPr fontId="16"/>
  </si>
  <si>
    <t>職員配置１名</t>
    <rPh sb="0" eb="2">
      <t>ショクイン</t>
    </rPh>
    <rPh sb="2" eb="4">
      <t>ハイチ</t>
    </rPh>
    <rPh sb="5" eb="6">
      <t>メイ</t>
    </rPh>
    <phoneticPr fontId="15"/>
  </si>
  <si>
    <t>夜間帯の夜間サポートサービス以外の従業者</t>
    <rPh sb="4" eb="6">
      <t>ヤカン</t>
    </rPh>
    <phoneticPr fontId="16"/>
  </si>
  <si>
    <t>　介護保険サービス提供時間前後のサービス、付き添いサービス、保険外通所介護サービスを提供する。</t>
    <rPh sb="21" eb="22">
      <t>ツ</t>
    </rPh>
    <rPh sb="23" eb="24">
      <t>ソ</t>
    </rPh>
    <phoneticPr fontId="16"/>
  </si>
  <si>
    <t>管理者</t>
    <rPh sb="0" eb="3">
      <t>カンリシャ</t>
    </rPh>
    <phoneticPr fontId="19"/>
  </si>
  <si>
    <t>１名</t>
    <phoneticPr fontId="16"/>
  </si>
  <si>
    <t>　事業所の従業者の管理及び業務の管理を一元的に行う。</t>
    <phoneticPr fontId="16"/>
  </si>
  <si>
    <t>　介護サポートサービスの営業日及び営業時間は、次のとおりとする。</t>
    <rPh sb="1" eb="3">
      <t>カイゴ</t>
    </rPh>
    <phoneticPr fontId="16"/>
  </si>
  <si>
    <t>※夜間帯の時間外サービス</t>
    <rPh sb="1" eb="3">
      <t>ヤカン</t>
    </rPh>
    <rPh sb="3" eb="4">
      <t>タイ</t>
    </rPh>
    <rPh sb="5" eb="8">
      <t>ジカンガイ</t>
    </rPh>
    <phoneticPr fontId="15"/>
  </si>
  <si>
    <t>　介護サポートサービスの利用者の定員は、下記のとおりとする。</t>
  </si>
  <si>
    <t>夜間サポートサービス</t>
    <rPh sb="0" eb="2">
      <t>ヤカン</t>
    </rPh>
    <phoneticPr fontId="16"/>
  </si>
  <si>
    <t>その他のサービス</t>
    <rPh sb="2" eb="3">
      <t>タ</t>
    </rPh>
    <phoneticPr fontId="16"/>
  </si>
  <si>
    <t>通所介護の利用定員まで</t>
    <rPh sb="0" eb="2">
      <t>ツウショ</t>
    </rPh>
    <rPh sb="2" eb="4">
      <t>カイゴ</t>
    </rPh>
    <rPh sb="5" eb="7">
      <t>リヨウ</t>
    </rPh>
    <rPh sb="7" eb="9">
      <t>テイイン</t>
    </rPh>
    <phoneticPr fontId="16"/>
  </si>
  <si>
    <t>（介護サポートサービスの提供方法、内容）</t>
    <phoneticPr fontId="16"/>
  </si>
  <si>
    <t>　介護サポートサービスの内容は、次に掲げるサービスから利用者が選定したサービスを提供する。</t>
  </si>
  <si>
    <t>介護</t>
    <rPh sb="0" eb="2">
      <t>カイゴ</t>
    </rPh>
    <phoneticPr fontId="16"/>
  </si>
  <si>
    <t>　事業者は、利用者の心身の状況に応じ、利用者の自立の支援と日常生活の充実に資するよう、適切な技術をもって介護を行う。</t>
  </si>
  <si>
    <t>　事業者は、利用者の心身の状況に応じ、適切な方法により、排泄の自立について必要な援助を行う。</t>
  </si>
  <si>
    <t>　事業者は、おむつを使用せざるを得ない利用者のおむつを適切に取り換える。</t>
  </si>
  <si>
    <t>　事業者は、①から③までに定めるほか、利用者に対し、離床、着替え、整容その他日常生活上の支援を適切に行う。</t>
  </si>
  <si>
    <t>　事業者は、栄養並びに利用者の心身の状況及び嗜好を考慮した食事を適切な時間に提供する。</t>
  </si>
  <si>
    <t>　事業者は、利用者が適切な場所で食事を摂ることを支援する。</t>
  </si>
  <si>
    <t>健康への配慮</t>
    <phoneticPr fontId="16"/>
  </si>
  <si>
    <t>　事業者は、指定通所介護事業所において把握している利用者の健康に資する情報に基づき、必要に応じて主治医や居宅介護支援事業所等と連携し、常に利用者の状況に配慮して適切なサービスを提供する。</t>
  </si>
  <si>
    <t>相談及び援助</t>
    <phoneticPr fontId="16"/>
  </si>
  <si>
    <t>　事業者は、指定通所介護事業所において把握している利用者の健康に資する情報に基づき、必要に応じて主治医や居宅介護支援事業所等と連携し、常に利用者の状況に配慮して適切な介護サポートサービスを提供する。</t>
    <rPh sb="83" eb="85">
      <t>カイゴ</t>
    </rPh>
    <phoneticPr fontId="16"/>
  </si>
  <si>
    <t>2014.10.27　サービス→介護サポートサービス</t>
    <rPh sb="16" eb="18">
      <t>カイゴ</t>
    </rPh>
    <phoneticPr fontId="16"/>
  </si>
  <si>
    <t>2014.10.27　緊急時の対応→第１４条に記載があるため削除</t>
    <rPh sb="11" eb="14">
      <t>キンキュウジ</t>
    </rPh>
    <rPh sb="15" eb="17">
      <t>タイオウ</t>
    </rPh>
    <rPh sb="18" eb="19">
      <t>ダイ</t>
    </rPh>
    <rPh sb="21" eb="22">
      <t>ジョウ</t>
    </rPh>
    <rPh sb="23" eb="25">
      <t>キサイ</t>
    </rPh>
    <rPh sb="30" eb="32">
      <t>サクジョ</t>
    </rPh>
    <phoneticPr fontId="16"/>
  </si>
  <si>
    <t>　介護サポートサービスの内、指定通所介護サービス提供時間帯に提供する場合は、介護保険サービスの提供に支障がないよう留意する。</t>
    <phoneticPr fontId="16"/>
  </si>
  <si>
    <t>（介護保険外サービス計画の作成等）</t>
    <phoneticPr fontId="16"/>
  </si>
  <si>
    <t>　介護サポートサービスの提供を開始する際には、利用者の心身の状況、希望及びその置かれている状況並びに家族等介護者の状況を十分把握し、計画を作成する。又、既に居宅サービス計画が作成されている場合は、その内容に沿った介護保険外サービス計画を作成する。</t>
  </si>
  <si>
    <t>　利用者に対し、介護保険外サービス計画に基づいて各種サービスを提供するとともに、継続的なサービスの管理、評価を行う。</t>
  </si>
  <si>
    <t>（勤務体制の確保）</t>
    <phoneticPr fontId="16"/>
  </si>
  <si>
    <t>　事業者は、利用者に対し適切なサービスを提供できるよう、従業者の勤務体制を定めておく。</t>
  </si>
  <si>
    <t>　事業者は、当該従業者によってサービスを提供する。ただし、利用者の処遇に直接影響を及ぼさない業務については、この限りではない。</t>
  </si>
  <si>
    <t>　事業者は、介護サポートサービスを提供した際には、提供日、提供した具体的な内容及び利用者の心身の状況その他必要な事項を記録するとともに、利用者から申し出があった場合には、文書の交付その他適切な方法により、その情報を提供する。</t>
  </si>
  <si>
    <t>（介護サポートサービスの利用料等及び支払いの方法）</t>
    <phoneticPr fontId="16"/>
  </si>
  <si>
    <t>　保険外通所介護サービスの費用については、１回あたり以下の通り徴収する。</t>
    <rPh sb="22" eb="23">
      <t>カイ</t>
    </rPh>
    <rPh sb="26" eb="28">
      <t>イカ</t>
    </rPh>
    <rPh sb="29" eb="30">
      <t>トオ</t>
    </rPh>
    <phoneticPr fontId="16"/>
  </si>
  <si>
    <t>要介護１～２の方：</t>
    <phoneticPr fontId="16"/>
  </si>
  <si>
    <t>要介護３～５の方：</t>
    <phoneticPr fontId="16"/>
  </si>
  <si>
    <t>　食事の提供に要する費用については、以下の通り徴収する。</t>
    <rPh sb="18" eb="20">
      <t>イカ</t>
    </rPh>
    <rPh sb="21" eb="22">
      <t>トオ</t>
    </rPh>
    <phoneticPr fontId="16"/>
  </si>
  <si>
    <t>おむつ・リハビリパンツ</t>
    <phoneticPr fontId="16"/>
  </si>
  <si>
    <t>パッド</t>
  </si>
  <si>
    <t>　その他、介護サポートサービスにおいて提供される便宜のうち、日常生活においても通常必要となるものに係る費用で、利用者が負担することが適当と認められる費用については、実費を徴収する。</t>
  </si>
  <si>
    <t>2014.10.27　介護外→介護サポート</t>
    <rPh sb="11" eb="13">
      <t>カイゴ</t>
    </rPh>
    <rPh sb="13" eb="14">
      <t>ガイ</t>
    </rPh>
    <rPh sb="15" eb="17">
      <t>カイゴ</t>
    </rPh>
    <phoneticPr fontId="16"/>
  </si>
  <si>
    <t>　前１～７項の利用料の支払いを受けたときは、利用料とその他の費用（個別の費用毎に区分）について記載した領収書を交付する。</t>
    <phoneticPr fontId="16"/>
  </si>
  <si>
    <t>2014.10.27　１～５→１～８</t>
    <phoneticPr fontId="16"/>
  </si>
  <si>
    <t>　介護サポートサービスの提供の開始に際し、あらかじめ利用者又はその家族に対し、利用料並びにその他の費用の内容及び金額に関し事前に説明した上で、支払に関する同意を得る。</t>
  </si>
  <si>
    <t>１０</t>
    <phoneticPr fontId="16"/>
  </si>
  <si>
    <t>１１</t>
    <phoneticPr fontId="16"/>
  </si>
  <si>
    <t>　介護サポートサービスの利用者は、事業所の定める期日に、別途契約書で指定する方法により利用料等を納入することとする。</t>
  </si>
  <si>
    <t>2014.10.27　本事業所→事業所</t>
    <rPh sb="11" eb="12">
      <t>ホン</t>
    </rPh>
    <rPh sb="12" eb="14">
      <t>ジギョウ</t>
    </rPh>
    <rPh sb="14" eb="15">
      <t>ショ</t>
    </rPh>
    <rPh sb="16" eb="19">
      <t>ジギョウショ</t>
    </rPh>
    <phoneticPr fontId="16"/>
  </si>
  <si>
    <t>　事業の実施地域は当該指定地域密着型通所介護事業所に準じるが、可能な限り柔軟に対応する。</t>
    <rPh sb="13" eb="15">
      <t>チイキ</t>
    </rPh>
    <rPh sb="15" eb="18">
      <t>ミッチャクガタ</t>
    </rPh>
    <phoneticPr fontId="16"/>
  </si>
  <si>
    <t>　介護サポートサービスの提供を開始するにあたって、本規程に沿った事業内容の詳細について、利用者に契約書の書面をもって説明し、同意を得た上で署名（記名押印）を受けることとする。</t>
  </si>
  <si>
    <t>　従業者は、介護サポートサービスを実施中に利用者の病状等に急変、その他緊急事態が生じたときは、速やかに主治医に連絡する等の措置を講ずると共に、管理者及び主治医に報告し、その指示に従って適切に対応しなければならない。主治医への連絡が困難な場合は、緊急搬送等の必要な措置を講じるものとする。</t>
    <rPh sb="2" eb="3">
      <t>ギョウ</t>
    </rPh>
    <phoneticPr fontId="16"/>
  </si>
  <si>
    <t>　介護サポートサービスを実施中に天災その他の災害が発生した場合、利用者の避難等の措置を講ずるほか、管理者に連絡の上その指示に従うものとする。</t>
  </si>
  <si>
    <t>　利用者に対する介護サポートサービスの提供により事故が発生した場合は、市区町村、利用者の家族、関連機関等に連絡すると共に必要な措置を講じるものとする。又、事故の状況及び事故に際して採った処置について記録すること。</t>
  </si>
  <si>
    <t>　利用者に対する介護サポートサービスの提供により賠償すべき事故が発生した場合に備え、損害保険に加入し速やかに対応を行う。</t>
  </si>
  <si>
    <t>　事業者は、非常災害に備えるため、消防計画・非常災害時マニュアルに準じて避難訓練等を次の通り行うと共に必要な設備を備える。</t>
    <rPh sb="1" eb="4">
      <t>ジギョウシャ</t>
    </rPh>
    <rPh sb="33" eb="34">
      <t>ジュン</t>
    </rPh>
    <phoneticPr fontId="16"/>
  </si>
  <si>
    <t>2014.10.27　追加</t>
    <rPh sb="11" eb="13">
      <t>ツイカ</t>
    </rPh>
    <phoneticPr fontId="16"/>
  </si>
  <si>
    <t>夜間想定避難誘導訓練</t>
    <rPh sb="0" eb="2">
      <t>ヤカン</t>
    </rPh>
    <rPh sb="2" eb="4">
      <t>ソウテイ</t>
    </rPh>
    <rPh sb="4" eb="6">
      <t>ヒナン</t>
    </rPh>
    <rPh sb="6" eb="8">
      <t>ユウドウ</t>
    </rPh>
    <rPh sb="8" eb="10">
      <t>クンレン</t>
    </rPh>
    <phoneticPr fontId="50"/>
  </si>
  <si>
    <t>　介護サポートサービスの提供に係る利用者及びその家族からの苦情に迅速かつ適切に対応するため、担当窓口を置き、事実関係調査を実施し、改善措置を講じる。</t>
    <rPh sb="1" eb="3">
      <t>カイゴ</t>
    </rPh>
    <rPh sb="12" eb="14">
      <t>テイキョウ</t>
    </rPh>
    <phoneticPr fontId="16"/>
  </si>
  <si>
    <t>　事業者は、苦情を受け付けた場合には、当該苦情の内容等を記録する。</t>
    <phoneticPr fontId="16"/>
  </si>
  <si>
    <t>　介護サポートサービスに使用する備品等は清潔に保持し、定期的な消毒を施すなど常に衛生管理に十分留意するものとする。</t>
    <phoneticPr fontId="16"/>
  </si>
  <si>
    <t>　従業者に対し感染症等に関する基礎知識の習得に努めると共に、年１回以上の健康診断を受診させるものとする。</t>
  </si>
  <si>
    <t>　利用者は介護サポートサービスの提供を受ける際には、主治医の診断や日常生活上の留意事項、利用当日の健康状態等を従業者に連絡し、心身の状況に応じたサービスの提供を受けるよう留意する。</t>
  </si>
  <si>
    <t>　事業者が得た利用者の個人情報については、事業所での介護サポートサービスの提供以外の目的では原則的に利用しないものとし、外部への情報提供については必要に応じて利用者またはその家族、代理人の了解を得るものとする。</t>
  </si>
  <si>
    <t>（秘密保持等の体制）</t>
    <phoneticPr fontId="16"/>
  </si>
  <si>
    <t>　従業者は、正当な理由なく、その業務上知り得た利用者又はその家族の秘密を漏らさないものとする。</t>
  </si>
  <si>
    <t>　事業者は、介護サポートサービス従業者であった者が、正当な理由がなく、業務上知り得た利用者又はその家族の秘密を漏らすことがないよう、必要な措置を講じる。</t>
  </si>
  <si>
    <t>　事業者は、指定居宅介護支援事業者等との連携において、事業所における利用者の個人の情報を用いる場合は利用者の同意を、利用者の家族の個人情報を用いる場合は当該家族の同意をあらかじめ文書により得ておく。</t>
  </si>
  <si>
    <t>（虐待防止のために必要な措置）</t>
    <phoneticPr fontId="16"/>
  </si>
  <si>
    <t>　事業者は、介護サポートサービス提供中に、当該従業者及び養護者（利用者の家族等高齢者を現に養護する者）による虐待を受けたと思われる利用者を発見した場合は、速やかに、これを市区町村に通報するものとする。</t>
  </si>
  <si>
    <t>（掲示）</t>
    <rPh sb="1" eb="3">
      <t>ケイジ</t>
    </rPh>
    <phoneticPr fontId="16"/>
  </si>
  <si>
    <t>　事業者は、当該介護サポートサービス事業所の見えやすい場所に、本規程の概要、責任者の氏名、従業者等の勤務の体制、苦情対応の概要その他、利用申込者のサービスの選択に資すると認められる重要事項を掲示する。</t>
  </si>
  <si>
    <t>第２３条</t>
    <phoneticPr fontId="16"/>
  </si>
  <si>
    <t>　従業者の質的向上を図るため研修の機会を設けるものとし、業務体制を整備する。</t>
  </si>
  <si>
    <t>　事業者は、この事業を行うため、ケース記録、利用者負担金徴収簿、その他必要な帳簿を整備し、その完結の日から５年間保存するものとする。</t>
  </si>
  <si>
    <t>　事業所は、当該事業所について広告をする場合においては、その内容に虚偽又は誇大なものとしない。</t>
    <phoneticPr fontId="16"/>
  </si>
  <si>
    <t>　事業者は利用者の心身の状況を踏まえ、妥当かつ適切なサービスが行われているかどうかを確認するために都道府県及び市町村が行う調査に協力するとともに、指導又は助言を受けた場合には必要な改善を行う。</t>
  </si>
  <si>
    <t>個人情報に関する基本方針</t>
    <rPh sb="0" eb="2">
      <t>コジン</t>
    </rPh>
    <rPh sb="2" eb="4">
      <t>ジョウホウ</t>
    </rPh>
    <rPh sb="5" eb="6">
      <t>カン</t>
    </rPh>
    <rPh sb="8" eb="10">
      <t>キホン</t>
    </rPh>
    <rPh sb="10" eb="12">
      <t>ホウシン</t>
    </rPh>
    <phoneticPr fontId="53"/>
  </si>
  <si>
    <t>　事業者が、保有する利用者等の個人情報に関し、適正かつ適切な取り扱いに努力すると共に、広く社会からの信頼を得る為に、自主的なルール及び体制を確立し、秘密保持及び、個人情報の保護を図ることをここに宣言します。</t>
  </si>
  <si>
    <t>秘密保持等の体制及び個人情報に関する基本方針</t>
    <phoneticPr fontId="16"/>
  </si>
  <si>
    <t>《秘密保持等の体制》</t>
    <phoneticPr fontId="16"/>
  </si>
  <si>
    <t>（１）</t>
    <phoneticPr fontId="14"/>
  </si>
  <si>
    <t>事業者及びその従業者は、正当な理由なく、その業務上知り得た利用者またはその家族の秘密を漏らしません。</t>
  </si>
  <si>
    <t>（２）</t>
    <phoneticPr fontId="14"/>
  </si>
  <si>
    <t>事業者は、従業者であった者が、正当な理由なく、業務上知り得た利用者、またはその家族の秘密を漏らすことがないよう、必要な措置を講じます。</t>
  </si>
  <si>
    <t>（３）</t>
    <phoneticPr fontId="14"/>
  </si>
  <si>
    <t>事業者は、指定居宅介護支援事業者等との連携において、利用者の個人の情報を用いる場合は利用者の同意を、利用者の家族の個人情報を用いる場合は当該家族の同意をあらかじめ文書により得ることとします。</t>
  </si>
  <si>
    <t>《個人情報に関する基本方針》</t>
    <rPh sb="6" eb="7">
      <t>カン</t>
    </rPh>
    <rPh sb="9" eb="11">
      <t>キホン</t>
    </rPh>
    <rPh sb="11" eb="13">
      <t>ホウシン</t>
    </rPh>
    <phoneticPr fontId="14"/>
  </si>
  <si>
    <t>　事業者は、保有する利用者等の個人情報に関し、適正かつ適切な取扱いに努力するとともに、広く社会からの信頼を得る為に以下のルール及び体制を確立し、個人情報に関連する法令、その他関係法令及び厚生労働省のガイダンス（以下、「個人情報に関連する法令等」という。）を遵守し、個人情報の保護を図ります。</t>
    <rPh sb="1" eb="4">
      <t>ジギョウシャ</t>
    </rPh>
    <rPh sb="45" eb="47">
      <t>シャカイ</t>
    </rPh>
    <phoneticPr fontId="14"/>
  </si>
  <si>
    <t>個人情報の取得にあたり、利用目的を明示した上で、必要な範囲の情報を取得し、利用目的を通知または公表し、その範囲内で利用することとします。</t>
    <phoneticPr fontId="16"/>
  </si>
  <si>
    <t>個人情報の取得・利用・第三者提供にあたり、本人の同意を得ることとします。</t>
    <phoneticPr fontId="16"/>
  </si>
  <si>
    <t>③</t>
    <phoneticPr fontId="14"/>
  </si>
  <si>
    <t>事業者が依託をする医療・介護関係事業者は、業務の委託にあたり、個人情報に関連する法令等の趣旨を理解し、それに沿った対応を行う事業者を選定し、かつ個人情報に関わる契約を締結した上で情報提供し、委託先への適切な監督をすることとします。</t>
    <phoneticPr fontId="16"/>
  </si>
  <si>
    <t>①</t>
    <phoneticPr fontId="14"/>
  </si>
  <si>
    <t>事業者は、個人情報保護の取組みを全役職員等に周知徹底させるために、個人情報に関する規則類を整備し、必要な教育を継続的に行うこと。</t>
    <phoneticPr fontId="16"/>
  </si>
  <si>
    <t>個人情報への不正アクセス、個人情報の漏洩、滅失、または棄損の予防及び訂正のため、事業所内において規則類を整備し安全対策に努めることとします。</t>
    <phoneticPr fontId="16"/>
  </si>
  <si>
    <t>事業者は、本人が自己の個人情報について、開示・訂正・更新・利用停止・削除・第三者提供の停止等の申し出がある場合には、速やかに対応することとします。</t>
    <phoneticPr fontId="16"/>
  </si>
  <si>
    <t>　　　　</t>
    <phoneticPr fontId="14"/>
  </si>
  <si>
    <t>事業者は、個人情報取扱に関する苦情に対し、適切かつ迅速に対応することとします。</t>
    <phoneticPr fontId="16"/>
  </si>
  <si>
    <t>《個人情報の利用目的》</t>
    <phoneticPr fontId="16"/>
  </si>
  <si>
    <t>　　事業者が利用者及びその家族の個人情報を利用する目的は以下の通りとします。</t>
    <rPh sb="2" eb="5">
      <t>ジギョウシャ</t>
    </rPh>
    <phoneticPr fontId="14"/>
  </si>
  <si>
    <t>事業者</t>
    <phoneticPr fontId="16"/>
  </si>
  <si>
    <t>105010701_001_150801</t>
  </si>
  <si>
    <t>介護経過表</t>
    <rPh sb="0" eb="1">
      <t>スケ</t>
    </rPh>
    <rPh sb="1" eb="2">
      <t>マモル</t>
    </rPh>
    <rPh sb="2" eb="3">
      <t>ヘ</t>
    </rPh>
    <rPh sb="3" eb="4">
      <t>カ</t>
    </rPh>
    <rPh sb="4" eb="5">
      <t>ヒョウ</t>
    </rPh>
    <phoneticPr fontId="12"/>
  </si>
  <si>
    <t>氏名：</t>
    <rPh sb="0" eb="2">
      <t>シメイ</t>
    </rPh>
    <phoneticPr fontId="12"/>
  </si>
  <si>
    <t>様</t>
    <rPh sb="0" eb="1">
      <t>サマ</t>
    </rPh>
    <phoneticPr fontId="12"/>
  </si>
  <si>
    <t>出力ご利用者様番号</t>
    <rPh sb="0" eb="2">
      <t>シュツリョク</t>
    </rPh>
    <rPh sb="3" eb="5">
      <t>リヨウ</t>
    </rPh>
    <rPh sb="5" eb="7">
      <t>シャサマ</t>
    </rPh>
    <rPh sb="7" eb="9">
      <t>バンゴウ</t>
    </rPh>
    <phoneticPr fontId="16"/>
  </si>
  <si>
    <t>※ご利用者様名の左にある数字を入力してください</t>
    <rPh sb="2" eb="4">
      <t>リヨウ</t>
    </rPh>
    <rPh sb="4" eb="6">
      <t>シャサマ</t>
    </rPh>
    <rPh sb="6" eb="7">
      <t>メイ</t>
    </rPh>
    <rPh sb="8" eb="9">
      <t>ヒダリ</t>
    </rPh>
    <rPh sb="12" eb="14">
      <t>スウジ</t>
    </rPh>
    <rPh sb="15" eb="17">
      <t>ニュウリョク</t>
    </rPh>
    <phoneticPr fontId="16"/>
  </si>
  <si>
    <t>利用状況</t>
    <rPh sb="0" eb="2">
      <t>リヨウ</t>
    </rPh>
    <rPh sb="2" eb="4">
      <t>ジョウキョウ</t>
    </rPh>
    <phoneticPr fontId="12"/>
  </si>
  <si>
    <t>利用</t>
    <rPh sb="0" eb="2">
      <t>リヨウ</t>
    </rPh>
    <phoneticPr fontId="12"/>
  </si>
  <si>
    <t>・</t>
  </si>
  <si>
    <t>キャンセル</t>
  </si>
  <si>
    <t>送迎状況</t>
    <rPh sb="0" eb="2">
      <t>ソウゲイ</t>
    </rPh>
    <rPh sb="2" eb="4">
      <t>ジョウキョウ</t>
    </rPh>
    <phoneticPr fontId="12"/>
  </si>
  <si>
    <t>送り</t>
    <rPh sb="0" eb="1">
      <t>オク</t>
    </rPh>
    <phoneticPr fontId="53"/>
  </si>
  <si>
    <t>有・Fa・無</t>
    <rPh sb="0" eb="1">
      <t>ア</t>
    </rPh>
    <rPh sb="5" eb="6">
      <t>ナ</t>
    </rPh>
    <phoneticPr fontId="53"/>
  </si>
  <si>
    <t>迎え</t>
    <rPh sb="0" eb="1">
      <t>ムカ</t>
    </rPh>
    <phoneticPr fontId="53"/>
  </si>
  <si>
    <t>該当日</t>
    <rPh sb="0" eb="2">
      <t>ガイトウ</t>
    </rPh>
    <rPh sb="2" eb="3">
      <t>ビ</t>
    </rPh>
    <phoneticPr fontId="16"/>
  </si>
  <si>
    <t>到着時バイタル</t>
    <rPh sb="0" eb="2">
      <t>トウチャク</t>
    </rPh>
    <rPh sb="2" eb="3">
      <t>ジ</t>
    </rPh>
    <phoneticPr fontId="12"/>
  </si>
  <si>
    <t>入浴実施時間</t>
    <rPh sb="0" eb="2">
      <t>ニュウヨク</t>
    </rPh>
    <rPh sb="2" eb="4">
      <t>ジッシ</t>
    </rPh>
    <rPh sb="4" eb="6">
      <t>ジカン</t>
    </rPh>
    <phoneticPr fontId="12"/>
  </si>
  <si>
    <t>入浴前バイタル</t>
    <rPh sb="0" eb="2">
      <t>ニュウヨク</t>
    </rPh>
    <rPh sb="2" eb="3">
      <t>マエ</t>
    </rPh>
    <phoneticPr fontId="12"/>
  </si>
  <si>
    <r>
      <t>活動内容</t>
    </r>
    <r>
      <rPr>
        <sz val="9"/>
        <rFont val="ＭＳ 明朝"/>
        <family val="1"/>
        <charset val="128"/>
      </rPr>
      <t>　（中止の場合には、中止理由）</t>
    </r>
    <rPh sb="0" eb="2">
      <t>カツドウ</t>
    </rPh>
    <rPh sb="2" eb="4">
      <t>ナイヨウ</t>
    </rPh>
    <rPh sb="6" eb="8">
      <t>チュウシ</t>
    </rPh>
    <rPh sb="9" eb="11">
      <t>バアイ</t>
    </rPh>
    <rPh sb="14" eb="16">
      <t>チュウシ</t>
    </rPh>
    <rPh sb="16" eb="18">
      <t>リユウ</t>
    </rPh>
    <phoneticPr fontId="12"/>
  </si>
  <si>
    <t>血圧</t>
    <rPh sb="0" eb="2">
      <t>ケツアツ</t>
    </rPh>
    <phoneticPr fontId="12"/>
  </si>
  <si>
    <t>/</t>
  </si>
  <si>
    <t>：</t>
  </si>
  <si>
    <t>脈</t>
    <rPh sb="0" eb="1">
      <t>ミャク</t>
    </rPh>
    <phoneticPr fontId="12"/>
  </si>
  <si>
    <t>※中止理由</t>
    <rPh sb="1" eb="3">
      <t>チュウシ</t>
    </rPh>
    <rPh sb="3" eb="5">
      <t>リユウ</t>
    </rPh>
    <phoneticPr fontId="12"/>
  </si>
  <si>
    <t>特変内容</t>
    <rPh sb="0" eb="1">
      <t>トク</t>
    </rPh>
    <rPh sb="1" eb="2">
      <t>ヘン</t>
    </rPh>
    <rPh sb="2" eb="4">
      <t>ナイヨウ</t>
    </rPh>
    <phoneticPr fontId="12"/>
  </si>
  <si>
    <t>体温</t>
    <rPh sb="0" eb="2">
      <t>タイオン</t>
    </rPh>
    <phoneticPr fontId="12"/>
  </si>
  <si>
    <t>℃</t>
  </si>
  <si>
    <t>食事提供</t>
    <rPh sb="0" eb="2">
      <t>ショクジ</t>
    </rPh>
    <rPh sb="2" eb="4">
      <t>テイキョウ</t>
    </rPh>
    <phoneticPr fontId="12"/>
  </si>
  <si>
    <t>服　薬</t>
    <rPh sb="0" eb="1">
      <t>フク</t>
    </rPh>
    <rPh sb="2" eb="3">
      <t>クスリ</t>
    </rPh>
    <phoneticPr fontId="12"/>
  </si>
  <si>
    <t>朝食前</t>
    <rPh sb="0" eb="2">
      <t>チョウショク</t>
    </rPh>
    <rPh sb="2" eb="3">
      <t>マエ</t>
    </rPh>
    <phoneticPr fontId="16"/>
  </si>
  <si>
    <t>朝食後</t>
    <rPh sb="0" eb="2">
      <t>チョウショク</t>
    </rPh>
    <rPh sb="2" eb="3">
      <t>ゴ</t>
    </rPh>
    <phoneticPr fontId="16"/>
  </si>
  <si>
    <t>昼食前</t>
    <rPh sb="0" eb="2">
      <t>チュウショク</t>
    </rPh>
    <rPh sb="2" eb="3">
      <t>マエ</t>
    </rPh>
    <phoneticPr fontId="16"/>
  </si>
  <si>
    <t>昼食後</t>
    <rPh sb="0" eb="3">
      <t>チュウショクゴゴ</t>
    </rPh>
    <phoneticPr fontId="16"/>
  </si>
  <si>
    <t>夕食前</t>
    <rPh sb="0" eb="2">
      <t>ユウショク</t>
    </rPh>
    <rPh sb="2" eb="3">
      <t>マエ</t>
    </rPh>
    <phoneticPr fontId="16"/>
  </si>
  <si>
    <t>夕食後</t>
    <rPh sb="0" eb="3">
      <t>ユウショクゴゴ</t>
    </rPh>
    <phoneticPr fontId="16"/>
  </si>
  <si>
    <t>延長加算算定時間</t>
    <rPh sb="0" eb="2">
      <t>エンチョウ</t>
    </rPh>
    <rPh sb="2" eb="4">
      <t>カサン</t>
    </rPh>
    <rPh sb="4" eb="6">
      <t>サンテイ</t>
    </rPh>
    <rPh sb="6" eb="8">
      <t>ジカン</t>
    </rPh>
    <phoneticPr fontId="16"/>
  </si>
  <si>
    <t>居宅内介助</t>
    <rPh sb="0" eb="2">
      <t>キョタク</t>
    </rPh>
    <rPh sb="2" eb="3">
      <t>ナイ</t>
    </rPh>
    <rPh sb="3" eb="5">
      <t>カイジョ</t>
    </rPh>
    <phoneticPr fontId="16"/>
  </si>
  <si>
    <t>排　尿</t>
    <rPh sb="0" eb="1">
      <t>ハイ</t>
    </rPh>
    <rPh sb="2" eb="3">
      <t>ニョウ</t>
    </rPh>
    <phoneticPr fontId="12"/>
  </si>
  <si>
    <t>迎え</t>
    <rPh sb="0" eb="1">
      <t>ムカ</t>
    </rPh>
    <phoneticPr fontId="16"/>
  </si>
  <si>
    <t>送り</t>
    <rPh sb="0" eb="1">
      <t>オク</t>
    </rPh>
    <phoneticPr fontId="16"/>
  </si>
  <si>
    <t>排　便</t>
    <rPh sb="0" eb="1">
      <t>ハイ</t>
    </rPh>
    <rPh sb="2" eb="3">
      <t>ビン</t>
    </rPh>
    <phoneticPr fontId="12"/>
  </si>
  <si>
    <t>オムツ</t>
    <phoneticPr fontId="12"/>
  </si>
  <si>
    <t>水　分</t>
    <rPh sb="0" eb="1">
      <t>スイ</t>
    </rPh>
    <rPh sb="2" eb="3">
      <t>ブン</t>
    </rPh>
    <phoneticPr fontId="12"/>
  </si>
  <si>
    <t>項目</t>
    <rPh sb="0" eb="2">
      <t>コウモク</t>
    </rPh>
    <phoneticPr fontId="12"/>
  </si>
  <si>
    <t>内容（様子）</t>
    <rPh sb="0" eb="1">
      <t>ウチ</t>
    </rPh>
    <rPh sb="1" eb="2">
      <t>カタチ</t>
    </rPh>
    <rPh sb="3" eb="4">
      <t>サマ</t>
    </rPh>
    <rPh sb="4" eb="5">
      <t>コ</t>
    </rPh>
    <phoneticPr fontId="12"/>
  </si>
  <si>
    <t>管理者印</t>
    <rPh sb="0" eb="3">
      <t>カンリシャ</t>
    </rPh>
    <rPh sb="3" eb="4">
      <t>イン</t>
    </rPh>
    <phoneticPr fontId="12"/>
  </si>
  <si>
    <t>105010702_001_150801</t>
  </si>
  <si>
    <t>介護Ｓ経過表</t>
    <rPh sb="0" eb="1">
      <t>スケ</t>
    </rPh>
    <rPh sb="1" eb="2">
      <t>マモル</t>
    </rPh>
    <rPh sb="3" eb="4">
      <t>ヘ</t>
    </rPh>
    <rPh sb="4" eb="5">
      <t>カ</t>
    </rPh>
    <rPh sb="5" eb="6">
      <t>ヒョウ</t>
    </rPh>
    <phoneticPr fontId="12"/>
  </si>
  <si>
    <t>キャンセル</t>
    <phoneticPr fontId="12"/>
  </si>
  <si>
    <t>迎</t>
    <rPh sb="0" eb="1">
      <t>ムカ</t>
    </rPh>
    <phoneticPr fontId="12"/>
  </si>
  <si>
    <t>送</t>
    <rPh sb="0" eb="1">
      <t>ソウ</t>
    </rPh>
    <phoneticPr fontId="12"/>
  </si>
  <si>
    <t>/</t>
    <phoneticPr fontId="12"/>
  </si>
  <si>
    <t>：</t>
    <phoneticPr fontId="12"/>
  </si>
  <si>
    <t>℃</t>
    <phoneticPr fontId="12"/>
  </si>
  <si>
    <t>服薬</t>
    <rPh sb="0" eb="2">
      <t>フクヤク</t>
    </rPh>
    <phoneticPr fontId="12"/>
  </si>
  <si>
    <t>朝</t>
    <rPh sb="0" eb="1">
      <t>アサ</t>
    </rPh>
    <phoneticPr fontId="12"/>
  </si>
  <si>
    <t>昼</t>
    <rPh sb="0" eb="1">
      <t>ヒル</t>
    </rPh>
    <phoneticPr fontId="16"/>
  </si>
  <si>
    <t>夕</t>
    <rPh sb="0" eb="1">
      <t>ユウ</t>
    </rPh>
    <phoneticPr fontId="12"/>
  </si>
  <si>
    <t>就</t>
    <rPh sb="0" eb="1">
      <t>シュウ</t>
    </rPh>
    <phoneticPr fontId="12"/>
  </si>
  <si>
    <t>巡　回</t>
    <rPh sb="0" eb="1">
      <t>ジュン</t>
    </rPh>
    <rPh sb="2" eb="3">
      <t>カイ</t>
    </rPh>
    <phoneticPr fontId="12"/>
  </si>
  <si>
    <t>夜間Ｓ</t>
    <rPh sb="0" eb="2">
      <t>ヤカン</t>
    </rPh>
    <phoneticPr fontId="12"/>
  </si>
  <si>
    <t>有</t>
    <rPh sb="0" eb="1">
      <t>アリ</t>
    </rPh>
    <phoneticPr fontId="12"/>
  </si>
  <si>
    <t>夜間Ｓのみ</t>
    <rPh sb="0" eb="2">
      <t>ヤカン</t>
    </rPh>
    <phoneticPr fontId="12"/>
  </si>
  <si>
    <t>時間</t>
    <rPh sb="0" eb="2">
      <t>ジカン</t>
    </rPh>
    <phoneticPr fontId="16"/>
  </si>
  <si>
    <t>内容（様子）</t>
    <rPh sb="0" eb="2">
      <t>ナイヨウ</t>
    </rPh>
    <rPh sb="3" eb="5">
      <t>ヨウス</t>
    </rPh>
    <phoneticPr fontId="12"/>
  </si>
  <si>
    <t>（運営推進会議）</t>
    <rPh sb="1" eb="3">
      <t>ウンエイ</t>
    </rPh>
    <rPh sb="3" eb="5">
      <t>スイシン</t>
    </rPh>
    <rPh sb="5" eb="7">
      <t>カイギ</t>
    </rPh>
    <phoneticPr fontId="16"/>
  </si>
  <si>
    <t xml:space="preserve">　地域密着型通所介護事業所の適正な運営の確保とサービスの質の向上に寄与し、地域密着型通所介護を地域に開かれたサービスにするために、運営推進会議を設置する。
</t>
    <rPh sb="1" eb="10">
      <t>チイキミッチャクガタツウショカイゴ</t>
    </rPh>
    <rPh sb="10" eb="13">
      <t>ジギョウショ</t>
    </rPh>
    <rPh sb="14" eb="16">
      <t>テキセイ</t>
    </rPh>
    <rPh sb="17" eb="19">
      <t>ウンエイ</t>
    </rPh>
    <rPh sb="20" eb="22">
      <t>カクホ</t>
    </rPh>
    <rPh sb="28" eb="29">
      <t>シツ</t>
    </rPh>
    <rPh sb="30" eb="32">
      <t>コウジョウ</t>
    </rPh>
    <rPh sb="33" eb="35">
      <t>キヨ</t>
    </rPh>
    <rPh sb="37" eb="39">
      <t>チイキ</t>
    </rPh>
    <rPh sb="39" eb="41">
      <t>ミッチャク</t>
    </rPh>
    <rPh sb="41" eb="42">
      <t>ガタ</t>
    </rPh>
    <rPh sb="42" eb="44">
      <t>ツウショ</t>
    </rPh>
    <rPh sb="44" eb="46">
      <t>カイゴ</t>
    </rPh>
    <rPh sb="47" eb="49">
      <t>チイキ</t>
    </rPh>
    <rPh sb="50" eb="51">
      <t>ヒラ</t>
    </rPh>
    <rPh sb="65" eb="67">
      <t>ウンエイ</t>
    </rPh>
    <rPh sb="67" eb="69">
      <t>スイシン</t>
    </rPh>
    <rPh sb="69" eb="71">
      <t>カイギ</t>
    </rPh>
    <rPh sb="72" eb="74">
      <t>セッチ</t>
    </rPh>
    <phoneticPr fontId="16"/>
  </si>
  <si>
    <t>運営推進会議の開催はおおむね６カ月に1回以上とする。</t>
    <rPh sb="0" eb="2">
      <t>ウンエイ</t>
    </rPh>
    <rPh sb="2" eb="4">
      <t>スイシン</t>
    </rPh>
    <rPh sb="4" eb="6">
      <t>カイギ</t>
    </rPh>
    <rPh sb="7" eb="9">
      <t>カイサイ</t>
    </rPh>
    <rPh sb="16" eb="17">
      <t>ゲツ</t>
    </rPh>
    <rPh sb="19" eb="20">
      <t>カイ</t>
    </rPh>
    <rPh sb="20" eb="22">
      <t>イジョウ</t>
    </rPh>
    <phoneticPr fontId="16"/>
  </si>
  <si>
    <t>第２５条</t>
    <phoneticPr fontId="16"/>
  </si>
  <si>
    <t>運営推進会議の報告、評価、要望、助言等についての記録を作成するとともに、当該記録を公表する。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6" eb="38">
      <t>トウガイ</t>
    </rPh>
    <rPh sb="38" eb="40">
      <t>キロク</t>
    </rPh>
    <rPh sb="41" eb="43">
      <t>コウヒョウ</t>
    </rPh>
    <phoneticPr fontId="16"/>
  </si>
  <si>
    <t>料金</t>
    <rPh sb="0" eb="2">
      <t>リョウキン</t>
    </rPh>
    <phoneticPr fontId="16"/>
  </si>
  <si>
    <t>（サービス提供時間前後の利用にかかる
合計時間が６０分以上で発生）</t>
    <phoneticPr fontId="16"/>
  </si>
  <si>
    <t>（５）</t>
    <phoneticPr fontId="16"/>
  </si>
  <si>
    <t>　看護職員は、利用者の健康管理及び心身状態の把握、その他介護業務を行う。</t>
    <rPh sb="1" eb="3">
      <t>カンゴ</t>
    </rPh>
    <rPh sb="3" eb="5">
      <t>ショクイン</t>
    </rPh>
    <rPh sb="7" eb="10">
      <t>リヨウシャ</t>
    </rPh>
    <rPh sb="11" eb="13">
      <t>ケンコウ</t>
    </rPh>
    <rPh sb="13" eb="15">
      <t>カンリ</t>
    </rPh>
    <rPh sb="15" eb="16">
      <t>オヨ</t>
    </rPh>
    <rPh sb="17" eb="19">
      <t>シンシン</t>
    </rPh>
    <rPh sb="19" eb="21">
      <t>ジョウタイ</t>
    </rPh>
    <rPh sb="22" eb="24">
      <t>ハアク</t>
    </rPh>
    <rPh sb="27" eb="28">
      <t>タ</t>
    </rPh>
    <rPh sb="28" eb="30">
      <t>カイゴ</t>
    </rPh>
    <rPh sb="30" eb="32">
      <t>ギョウム</t>
    </rPh>
    <rPh sb="33" eb="34">
      <t>オコナ</t>
    </rPh>
    <phoneticPr fontId="16"/>
  </si>
  <si>
    <t>（付き添いサービスの利用時間が
６０分までの場合に発生）</t>
    <rPh sb="1" eb="2">
      <t>ツ</t>
    </rPh>
    <rPh sb="3" eb="4">
      <t>ソ</t>
    </rPh>
    <rPh sb="10" eb="12">
      <t>リヨウ</t>
    </rPh>
    <rPh sb="12" eb="14">
      <t>ジカン</t>
    </rPh>
    <rPh sb="22" eb="24">
      <t>バアイ</t>
    </rPh>
    <phoneticPr fontId="16"/>
  </si>
  <si>
    <t>（付き添いサービスの利用時間が６0分を
超えた場合、３０分毎に発生）</t>
    <rPh sb="1" eb="2">
      <t>ツ</t>
    </rPh>
    <rPh sb="3" eb="4">
      <t>ソ</t>
    </rPh>
    <rPh sb="20" eb="21">
      <t>コ</t>
    </rPh>
    <rPh sb="23" eb="25">
      <t>バアイ</t>
    </rPh>
    <rPh sb="28" eb="29">
      <t>フン</t>
    </rPh>
    <rPh sb="29" eb="30">
      <t>ゴト</t>
    </rPh>
    <phoneticPr fontId="16"/>
  </si>
  <si>
    <t>　事業所は、提供した指定地域密着型通所介護に関し、介護保険法第２３条の規定により市区町村が行う文書その他の物件の提供若しくは提示の求め又は当該市区町村から指導又は助言を受けた場合は、当該指導又は助言に従って必要な改善を行うものとする。</t>
    <phoneticPr fontId="16"/>
  </si>
  <si>
    <t>事業を運営する当該法人の役員及び指定地域密着型通所介護事業所の管理者その他の従業者は、暴力団員（暴力団員による不当な行為の防止等に関する法律（平成３年法律第７７号）第２条第６項に規定する暴力団をいう。次項において同じ。）ではありません。</t>
    <rPh sb="46" eb="47">
      <t>イン</t>
    </rPh>
    <phoneticPr fontId="16"/>
  </si>
  <si>
    <t>（別紙）【料金表別表】</t>
    <rPh sb="1" eb="3">
      <t>ベッシ</t>
    </rPh>
    <phoneticPr fontId="16"/>
  </si>
  <si>
    <t xml:space="preserve">　事業を運営する事業者の役員及び指定地域密着型通所介護事業所の管理者その他の従業者は、暴力団員（暴力団員による不当な行為の防止等に関する法律（平成３年法律第７７号）第２条第６項に規定する暴力団をいう。次項において同じ。）であってはならない。
</t>
    <rPh sb="8" eb="11">
      <t>ジギョウシャ</t>
    </rPh>
    <rPh sb="46" eb="47">
      <t>イン</t>
    </rPh>
    <phoneticPr fontId="16"/>
  </si>
  <si>
    <t>○</t>
  </si>
  <si>
    <t>９：００</t>
    <phoneticPr fontId="16"/>
  </si>
  <si>
    <t>１７：００</t>
    <phoneticPr fontId="16"/>
  </si>
  <si>
    <t>入浴介助加算(Ⅰ）</t>
    <phoneticPr fontId="16"/>
  </si>
  <si>
    <t>入浴介助加算（Ⅱ）</t>
    <phoneticPr fontId="16"/>
  </si>
  <si>
    <t>個別機能訓練加算（Ⅰ）イ</t>
    <rPh sb="0" eb="1">
      <t>コ</t>
    </rPh>
    <rPh sb="1" eb="2">
      <t>ベツ</t>
    </rPh>
    <rPh sb="2" eb="3">
      <t>キ</t>
    </rPh>
    <rPh sb="3" eb="4">
      <t>ノウ</t>
    </rPh>
    <rPh sb="4" eb="5">
      <t>クン</t>
    </rPh>
    <rPh sb="5" eb="6">
      <t>ネリ</t>
    </rPh>
    <rPh sb="6" eb="7">
      <t>カ</t>
    </rPh>
    <rPh sb="7" eb="8">
      <t>カゾ</t>
    </rPh>
    <phoneticPr fontId="12"/>
  </si>
  <si>
    <t>個別機能訓練加算（Ⅰ）ロ</t>
    <rPh sb="0" eb="1">
      <t>コ</t>
    </rPh>
    <rPh sb="1" eb="2">
      <t>ベツ</t>
    </rPh>
    <rPh sb="2" eb="3">
      <t>キ</t>
    </rPh>
    <rPh sb="3" eb="4">
      <t>ノウ</t>
    </rPh>
    <rPh sb="4" eb="5">
      <t>クン</t>
    </rPh>
    <rPh sb="5" eb="6">
      <t>ネリ</t>
    </rPh>
    <rPh sb="6" eb="7">
      <t>カ</t>
    </rPh>
    <rPh sb="7" eb="8">
      <t>カゾ</t>
    </rPh>
    <phoneticPr fontId="12"/>
  </si>
  <si>
    <t>個別機能訓練加算（Ⅱ）/月</t>
    <rPh sb="0" eb="1">
      <t>コ</t>
    </rPh>
    <rPh sb="1" eb="2">
      <t>ベツ</t>
    </rPh>
    <rPh sb="2" eb="3">
      <t>キ</t>
    </rPh>
    <rPh sb="3" eb="4">
      <t>ノウ</t>
    </rPh>
    <rPh sb="4" eb="5">
      <t>クン</t>
    </rPh>
    <rPh sb="5" eb="6">
      <t>ネリ</t>
    </rPh>
    <rPh sb="6" eb="7">
      <t>カ</t>
    </rPh>
    <rPh sb="7" eb="8">
      <t>カゾ</t>
    </rPh>
    <rPh sb="12" eb="13">
      <t>ツキ</t>
    </rPh>
    <phoneticPr fontId="12"/>
  </si>
  <si>
    <t>サービス提供体制強化加算（Ⅰ）</t>
    <phoneticPr fontId="16"/>
  </si>
  <si>
    <t>サービス提供体制強化加算（Ⅲ）</t>
    <phoneticPr fontId="16"/>
  </si>
  <si>
    <t>栄養アセスメント加算/月</t>
    <rPh sb="0" eb="1">
      <t>エイ</t>
    </rPh>
    <rPh sb="1" eb="2">
      <t>マモル</t>
    </rPh>
    <rPh sb="8" eb="10">
      <t>カサン</t>
    </rPh>
    <rPh sb="11" eb="12">
      <t>ツキ</t>
    </rPh>
    <phoneticPr fontId="12"/>
  </si>
  <si>
    <t>口腔・栄養スクリーニング加算（Ⅰ）</t>
    <rPh sb="0" eb="2">
      <t>コウクウ</t>
    </rPh>
    <rPh sb="3" eb="5">
      <t>エイヨウ</t>
    </rPh>
    <rPh sb="12" eb="14">
      <t>カサン</t>
    </rPh>
    <phoneticPr fontId="12"/>
  </si>
  <si>
    <t>口腔・栄養スクリーニング加算（Ⅱ）</t>
    <rPh sb="0" eb="2">
      <t>コウクウ</t>
    </rPh>
    <rPh sb="3" eb="5">
      <t>エイヨウ</t>
    </rPh>
    <rPh sb="12" eb="14">
      <t>カサン</t>
    </rPh>
    <phoneticPr fontId="12"/>
  </si>
  <si>
    <t>口腔機能向上加算（Ⅰ）</t>
    <rPh sb="0" eb="1">
      <t>クチ</t>
    </rPh>
    <rPh sb="1" eb="2">
      <t>コウ</t>
    </rPh>
    <rPh sb="2" eb="3">
      <t>キ</t>
    </rPh>
    <rPh sb="3" eb="4">
      <t>ノウ</t>
    </rPh>
    <rPh sb="4" eb="5">
      <t>ムケ</t>
    </rPh>
    <rPh sb="5" eb="6">
      <t>ウエ</t>
    </rPh>
    <rPh sb="6" eb="7">
      <t>カ</t>
    </rPh>
    <rPh sb="7" eb="8">
      <t>サン</t>
    </rPh>
    <phoneticPr fontId="12"/>
  </si>
  <si>
    <t>口腔機能向上加算（Ⅱ）</t>
    <rPh sb="0" eb="1">
      <t>クチ</t>
    </rPh>
    <rPh sb="1" eb="2">
      <t>コウ</t>
    </rPh>
    <rPh sb="2" eb="3">
      <t>キ</t>
    </rPh>
    <rPh sb="3" eb="4">
      <t>ノウ</t>
    </rPh>
    <rPh sb="4" eb="5">
      <t>ムケ</t>
    </rPh>
    <rPh sb="5" eb="6">
      <t>ウエ</t>
    </rPh>
    <rPh sb="6" eb="7">
      <t>カ</t>
    </rPh>
    <rPh sb="7" eb="8">
      <t>サン</t>
    </rPh>
    <phoneticPr fontId="12"/>
  </si>
  <si>
    <t>ＡＤＬ維持等加算（Ⅲ）</t>
    <phoneticPr fontId="16"/>
  </si>
  <si>
    <t>生活機能向上連携加算（Ⅰ）/月</t>
    <rPh sb="14" eb="15">
      <t>ツキ</t>
    </rPh>
    <phoneticPr fontId="16"/>
  </si>
  <si>
    <t>生活機能向上連携加算（Ⅱ）/月</t>
    <rPh sb="14" eb="15">
      <t>ツキ</t>
    </rPh>
    <phoneticPr fontId="16"/>
  </si>
  <si>
    <t>科学的介護推進体制加算</t>
    <rPh sb="0" eb="5">
      <t>カガクテキカイゴ</t>
    </rPh>
    <rPh sb="5" eb="7">
      <t>スイシン</t>
    </rPh>
    <rPh sb="7" eb="9">
      <t>タイセイ</t>
    </rPh>
    <rPh sb="9" eb="11">
      <t>カサン</t>
    </rPh>
    <phoneticPr fontId="16"/>
  </si>
  <si>
    <t>入浴介助加算（Ⅰ）</t>
    <phoneticPr fontId="16"/>
  </si>
  <si>
    <t>栄養アセスメント加算</t>
    <rPh sb="0" eb="2">
      <t>エイヨウ</t>
    </rPh>
    <rPh sb="8" eb="10">
      <t>カサン</t>
    </rPh>
    <phoneticPr fontId="16"/>
  </si>
  <si>
    <t>生活機能向上連携加算（Ⅰ）</t>
    <rPh sb="0" eb="2">
      <t>セイカツ</t>
    </rPh>
    <rPh sb="2" eb="4">
      <t>キノウ</t>
    </rPh>
    <rPh sb="4" eb="6">
      <t>コウジョウ</t>
    </rPh>
    <rPh sb="6" eb="8">
      <t>レンケイ</t>
    </rPh>
    <rPh sb="8" eb="10">
      <t>カサン</t>
    </rPh>
    <phoneticPr fontId="16"/>
  </si>
  <si>
    <t>生活機能向上連携加算（Ⅱ）</t>
    <rPh sb="0" eb="2">
      <t>セイカツ</t>
    </rPh>
    <rPh sb="2" eb="4">
      <t>キノウ</t>
    </rPh>
    <rPh sb="4" eb="6">
      <t>コウジョウ</t>
    </rPh>
    <rPh sb="6" eb="8">
      <t>レンケイ</t>
    </rPh>
    <rPh sb="8" eb="10">
      <t>カサン</t>
    </rPh>
    <phoneticPr fontId="16"/>
  </si>
  <si>
    <t>科学的介護推進体制加算</t>
    <rPh sb="0" eb="3">
      <t>カガクテキ</t>
    </rPh>
    <rPh sb="3" eb="7">
      <t>カイゴスイシン</t>
    </rPh>
    <rPh sb="7" eb="11">
      <t>タイセイカサン</t>
    </rPh>
    <phoneticPr fontId="16"/>
  </si>
  <si>
    <t>科学的介護推進体制加算</t>
    <rPh sb="0" eb="2">
      <t>カガク</t>
    </rPh>
    <rPh sb="2" eb="3">
      <t>テキ</t>
    </rPh>
    <rPh sb="3" eb="5">
      <t>カイゴ</t>
    </rPh>
    <rPh sb="5" eb="7">
      <t>スイシン</t>
    </rPh>
    <rPh sb="7" eb="9">
      <t>タイセイ</t>
    </rPh>
    <rPh sb="9" eb="11">
      <t>カサン</t>
    </rPh>
    <phoneticPr fontId="16"/>
  </si>
  <si>
    <t>←ハラスメント防止対策について追記</t>
    <rPh sb="7" eb="9">
      <t>ボウシ</t>
    </rPh>
    <rPh sb="9" eb="11">
      <t>タイサク</t>
    </rPh>
    <rPh sb="15" eb="17">
      <t>ツイキ</t>
    </rPh>
    <phoneticPr fontId="16"/>
  </si>
  <si>
    <t>←ハラスメント防止対策について追記</t>
  </si>
  <si>
    <t>←追加・変更</t>
    <rPh sb="1" eb="3">
      <t>ツイカ</t>
    </rPh>
    <rPh sb="4" eb="6">
      <t>ヘンコウ</t>
    </rPh>
    <phoneticPr fontId="16"/>
  </si>
  <si>
    <t>栄養アセスメント加算</t>
    <rPh sb="0" eb="1">
      <t>エイ</t>
    </rPh>
    <rPh sb="1" eb="2">
      <t>マモル</t>
    </rPh>
    <rPh sb="8" eb="10">
      <t>カサン</t>
    </rPh>
    <phoneticPr fontId="12"/>
  </si>
  <si>
    <t>生活機能向上連携加算（Ⅰ）</t>
    <phoneticPr fontId="16"/>
  </si>
  <si>
    <t>生活機能向上連携加算（Ⅱ）</t>
    <phoneticPr fontId="16"/>
  </si>
  <si>
    <t>科学的介護推進体制加算</t>
    <rPh sb="0" eb="11">
      <t>カガクテキカイゴスイシンタイセイカサン</t>
    </rPh>
    <phoneticPr fontId="16"/>
  </si>
  <si>
    <t>口腔機能向上加算（Ⅰ）</t>
    <rPh sb="0" eb="2">
      <t>コウクウ</t>
    </rPh>
    <rPh sb="2" eb="4">
      <t>キノウ</t>
    </rPh>
    <rPh sb="4" eb="6">
      <t>コウジョウ</t>
    </rPh>
    <rPh sb="6" eb="8">
      <t>カサン</t>
    </rPh>
    <phoneticPr fontId="12"/>
  </si>
  <si>
    <t>口腔機能向上加算（Ⅱ）</t>
    <rPh sb="0" eb="2">
      <t>コウクウ</t>
    </rPh>
    <rPh sb="2" eb="4">
      <t>キノウ</t>
    </rPh>
    <rPh sb="4" eb="6">
      <t>コウジョウ</t>
    </rPh>
    <rPh sb="6" eb="8">
      <t>カサン</t>
    </rPh>
    <phoneticPr fontId="12"/>
  </si>
  <si>
    <t>加算(Ⅰ)の取り組みに加え、口腔機能改善管理指導計画等の情報を厚生労働省に提出(LIFEを活用)し、口腔機能向上サービスの実施にあたって、当該情報その他口腔衛生の管理の適切かつ有効な実施のために必要な情報を活用している場合、１月に２回を限度として加算の対象となります。</t>
    <phoneticPr fontId="16"/>
  </si>
  <si>
    <t>８時間以上９時間未満の指定通所介護の前後に日常生活上の世話を行い、通算した時間が９時間以上となった場合に加算の対象となります。</t>
    <rPh sb="1" eb="5">
      <t>ジカンイジョウ</t>
    </rPh>
    <rPh sb="6" eb="8">
      <t>ジカン</t>
    </rPh>
    <rPh sb="8" eb="10">
      <t>ミマン</t>
    </rPh>
    <rPh sb="11" eb="13">
      <t>シテイ</t>
    </rPh>
    <rPh sb="18" eb="20">
      <t>ゼンゴ</t>
    </rPh>
    <rPh sb="21" eb="23">
      <t>ニチジョウ</t>
    </rPh>
    <rPh sb="23" eb="25">
      <t>セイカツ</t>
    </rPh>
    <rPh sb="25" eb="26">
      <t>ジョウ</t>
    </rPh>
    <rPh sb="27" eb="29">
      <t>セワ</t>
    </rPh>
    <rPh sb="30" eb="31">
      <t>オコナ</t>
    </rPh>
    <rPh sb="33" eb="35">
      <t>ツウサン</t>
    </rPh>
    <rPh sb="37" eb="39">
      <t>ジカン</t>
    </rPh>
    <rPh sb="41" eb="45">
      <t>ジカンイジョウ</t>
    </rPh>
    <rPh sb="49" eb="51">
      <t>バアイ</t>
    </rPh>
    <rPh sb="52" eb="54">
      <t>カサン</t>
    </rPh>
    <rPh sb="55" eb="57">
      <t>タイショウ</t>
    </rPh>
    <phoneticPr fontId="16"/>
  </si>
  <si>
    <t>入浴介助加算（Ⅰ）</t>
    <phoneticPr fontId="12"/>
  </si>
  <si>
    <t>入浴介助加算（Ⅱ）</t>
    <phoneticPr fontId="12"/>
  </si>
  <si>
    <t>生活機能向上連携加算（Ⅰ）</t>
    <phoneticPr fontId="12"/>
  </si>
  <si>
    <t>生活機能向上連携加算（Ⅱ）</t>
    <phoneticPr fontId="115"/>
  </si>
  <si>
    <t>個別機能訓練加算（Ⅰ）イ</t>
    <phoneticPr fontId="12"/>
  </si>
  <si>
    <t>個別機能訓練加算（Ⅰ）ロ</t>
    <phoneticPr fontId="12"/>
  </si>
  <si>
    <t>ＡＤＬ維持等加算（Ⅲ）</t>
    <phoneticPr fontId="12"/>
  </si>
  <si>
    <t>栄養アセスメント加算</t>
    <rPh sb="0" eb="2">
      <t>エイヨウ</t>
    </rPh>
    <rPh sb="8" eb="10">
      <t>カサン</t>
    </rPh>
    <phoneticPr fontId="12"/>
  </si>
  <si>
    <t>※6カ月に1回限度</t>
    <rPh sb="3" eb="4">
      <t>ゲツ</t>
    </rPh>
    <rPh sb="6" eb="7">
      <t>カイ</t>
    </rPh>
    <rPh sb="7" eb="9">
      <t>ゲンド</t>
    </rPh>
    <phoneticPr fontId="115"/>
  </si>
  <si>
    <t>口腔機能向上加算（Ⅰ）</t>
    <phoneticPr fontId="12"/>
  </si>
  <si>
    <t>口腔機能向上加算（Ⅱ）</t>
    <phoneticPr fontId="12"/>
  </si>
  <si>
    <t>延長加算及び時間外サービスを利用中の朝食提供。栄養バランスの取れた温かい食事を摂っていただけます。</t>
    <phoneticPr fontId="53"/>
  </si>
  <si>
    <t>通所介護及び保険外通所介護サービスを利用中の昼食提供。栄養バランスの取れた温かい食事を摂っていただけます。</t>
    <phoneticPr fontId="53"/>
  </si>
  <si>
    <t>(ハラスメント防止対策について)</t>
    <rPh sb="7" eb="9">
      <t>ボウシ</t>
    </rPh>
    <rPh sb="9" eb="11">
      <t>タイサク</t>
    </rPh>
    <phoneticPr fontId="16"/>
  </si>
  <si>
    <t>第２６条</t>
    <phoneticPr fontId="16"/>
  </si>
  <si>
    <t>介護職員の総数のうち、介護福祉士の占める割合が１００分の７０以上であるか、勤続１０年以上の介護福祉士が１００分の２５以上である場合に加算の対象となります。</t>
    <phoneticPr fontId="16"/>
  </si>
  <si>
    <t>介護職員の総数のうち、介護福祉士の占める割合が１００分の４０以上であるか、勤続７年以上の介護福祉士が１００分の３０以上である場合に加算の対象となります。</t>
    <phoneticPr fontId="16"/>
  </si>
  <si>
    <t>全利用者の心身の基本的な情報（ADL値や栄養状態、口腔機能・嚥下の状態、認知症の状態など）をLIFEへ提出し、そのフィードバックを十分に活用した場合に加算の対象となります。活用方法としては、ケアのあり方を検証してケアプランやサービス計画を見直しや、現場でPDCAサイクルを回すことが求められています。</t>
    <rPh sb="72" eb="74">
      <t>バアイ</t>
    </rPh>
    <rPh sb="75" eb="77">
      <t>カサン</t>
    </rPh>
    <rPh sb="78" eb="80">
      <t>タイショウ</t>
    </rPh>
    <rPh sb="86" eb="90">
      <t>カツヨウホウホウ</t>
    </rPh>
    <phoneticPr fontId="16"/>
  </si>
  <si>
    <t>日</t>
    <rPh sb="0" eb="1">
      <t>ヒ</t>
    </rPh>
    <phoneticPr fontId="115"/>
  </si>
  <si>
    <t>月</t>
    <rPh sb="0" eb="1">
      <t>ツキ</t>
    </rPh>
    <phoneticPr fontId="16"/>
  </si>
  <si>
    <t>（1）身体的な力を使って危害を及ぼす（及ばされそうになった）行為〈身体的暴力〉</t>
    <phoneticPr fontId="16"/>
  </si>
  <si>
    <t>（2）個人の尊厳や人格を言葉や態度によって傷つけたり、おとしめたりする行為
　　〈精神的暴力〉</t>
    <phoneticPr fontId="16"/>
  </si>
  <si>
    <t>上記の対象は、当該法人職員、取引先事業所の方、ご利用者及びその家族等となります。</t>
    <rPh sb="0" eb="2">
      <t>ジョウキ</t>
    </rPh>
    <phoneticPr fontId="16"/>
  </si>
  <si>
    <t xml:space="preserve">ハラスメントと判断された場合には行為者に対し、関係機関への連絡・相談、環境改善に対する必要な措置、利用契約の解約等の措置を講じます。
</t>
    <phoneticPr fontId="16"/>
  </si>
  <si>
    <t>職員に対し、ハラスメントに対する基本的な考え方について研修などを実施します。また定期的に話し合いの場を設け、介護現場におけるハラスメント発生状況の把握に努めます。</t>
    <rPh sb="3" eb="4">
      <t>タイ</t>
    </rPh>
    <rPh sb="27" eb="29">
      <t>ケンシュウ</t>
    </rPh>
    <rPh sb="32" eb="34">
      <t>ジッシ</t>
    </rPh>
    <phoneticPr fontId="16"/>
  </si>
  <si>
    <t>１１　ハラスメント防止対策について</t>
    <rPh sb="9" eb="11">
      <t>ボウシ</t>
    </rPh>
    <rPh sb="11" eb="13">
      <t>タイサク</t>
    </rPh>
    <phoneticPr fontId="16"/>
  </si>
  <si>
    <t>１２　サービス利用に当たっての留意事項</t>
    <phoneticPr fontId="16"/>
  </si>
  <si>
    <t>１３　秘密保持等の体制及び個人情報に関する基本方針</t>
    <phoneticPr fontId="16"/>
  </si>
  <si>
    <t>１４　暴力団排除について</t>
    <rPh sb="6" eb="8">
      <t>ハイジョ</t>
    </rPh>
    <phoneticPr fontId="16"/>
  </si>
  <si>
    <t>１５　提供するサービスの第三者評価の実施状況</t>
    <rPh sb="3" eb="5">
      <t>テイキョウ</t>
    </rPh>
    <rPh sb="12" eb="15">
      <t>ダイサンシャ</t>
    </rPh>
    <rPh sb="15" eb="17">
      <t>ヒョウカ</t>
    </rPh>
    <rPh sb="18" eb="20">
      <t>ジッシ</t>
    </rPh>
    <rPh sb="20" eb="22">
      <t>ジョウキョウ</t>
    </rPh>
    <phoneticPr fontId="16"/>
  </si>
  <si>
    <t>（ハラスメント防止対策について）</t>
    <phoneticPr fontId="16"/>
  </si>
  <si>
    <t>　乙は、乙の現場で働く職員の安全確保と安心して働き続けられる労働環境が築けるようハラスメントの防止に向け取り組みます。</t>
    <rPh sb="1" eb="2">
      <t>オツ</t>
    </rPh>
    <rPh sb="4" eb="5">
      <t>オツ</t>
    </rPh>
    <phoneticPr fontId="16"/>
  </si>
  <si>
    <t>上記は乙が運営する法人職員、乙の取引先事業所者、甲及びその家族等を対象とします。</t>
    <rPh sb="0" eb="2">
      <t>ジョウキ</t>
    </rPh>
    <rPh sb="3" eb="4">
      <t>オツ</t>
    </rPh>
    <rPh sb="5" eb="7">
      <t>ウンエイ</t>
    </rPh>
    <rPh sb="14" eb="15">
      <t>オツ</t>
    </rPh>
    <rPh sb="22" eb="23">
      <t>シャ</t>
    </rPh>
    <rPh sb="24" eb="25">
      <t>コウ</t>
    </rPh>
    <rPh sb="33" eb="35">
      <t>タイショウ</t>
    </rPh>
    <phoneticPr fontId="16"/>
  </si>
  <si>
    <t>第１６条に基づき、甲がこの契約を解除したとき</t>
    <phoneticPr fontId="16"/>
  </si>
  <si>
    <t>第１４条３項又は第１７条に基づき、乙がこの契約を解除したとき</t>
    <phoneticPr fontId="16"/>
  </si>
  <si>
    <t>１０　ハラスメント防止対策について</t>
    <rPh sb="9" eb="11">
      <t>ボウシ</t>
    </rPh>
    <rPh sb="11" eb="13">
      <t>タイサク</t>
    </rPh>
    <phoneticPr fontId="16"/>
  </si>
  <si>
    <t>　乙は職員に対し、ハラスメントに対する基本的な考え方について研修などを実施します。また定期的に話し合いの場を設け、介護現場におけるハラスメント発生状況の把握に努めます。</t>
    <rPh sb="1" eb="2">
      <t>オツ</t>
    </rPh>
    <rPh sb="6" eb="7">
      <t>タイ</t>
    </rPh>
    <rPh sb="30" eb="32">
      <t>ケンシュウ</t>
    </rPh>
    <rPh sb="35" eb="37">
      <t>ジッシ</t>
    </rPh>
    <phoneticPr fontId="16"/>
  </si>
  <si>
    <t xml:space="preserve">　乙はハラスメントと判断された場合には行為者に対し、関係機関への連絡・相談、環境改善に対する必要な措置、利用契約の解約等の措置を講じます。
</t>
    <rPh sb="1" eb="2">
      <t>オツ</t>
    </rPh>
    <phoneticPr fontId="16"/>
  </si>
  <si>
    <t>上記は当該法人職員、取引先事業所の方、ご利用者及びその家族等を対象とする。</t>
    <rPh sb="0" eb="2">
      <t>ジョウキ</t>
    </rPh>
    <rPh sb="31" eb="33">
      <t>タイショウ</t>
    </rPh>
    <phoneticPr fontId="16"/>
  </si>
  <si>
    <t>職員に対し、ハラスメントに対する基本的な考え方について研修などを実施します。また定期的に話し合いの場を設け、介護現場におけるハラスメント発生状況の把握に努める。</t>
    <rPh sb="3" eb="4">
      <t>タイ</t>
    </rPh>
    <rPh sb="27" eb="29">
      <t>ケンシュウ</t>
    </rPh>
    <rPh sb="32" eb="34">
      <t>ジッシ</t>
    </rPh>
    <phoneticPr fontId="16"/>
  </si>
  <si>
    <t xml:space="preserve">ハラスメントと判断された場合には行為者に対し、関係機関への連絡・相談、環境改善に対する必要な措置、利用契約の解約等の措置を講じる。
</t>
    <phoneticPr fontId="16"/>
  </si>
  <si>
    <t>第２４条</t>
    <rPh sb="0" eb="1">
      <t>ダイ</t>
    </rPh>
    <rPh sb="3" eb="4">
      <t>ジョウ</t>
    </rPh>
    <phoneticPr fontId="16"/>
  </si>
  <si>
    <t>　事業者は、介護の現場で働く職員の安全確保と安心して働き続けられる労働環境が築けるようハラスメントの防止に向け取り組みます。</t>
    <phoneticPr fontId="16"/>
  </si>
  <si>
    <t>　事業者は、介護の現場で働く職員の安全確保と安心して働き続けられる労働環境が築けるようハラスメントの防止に向け取り組む。</t>
    <phoneticPr fontId="16"/>
  </si>
  <si>
    <t>機能訓練指導員が個別機能訓練計画に基づき、身体機能及び生活機能の向上を目的に計画的に行った個別機能訓練について
算定することができます。利用者が選択した項目ごとにグループに分かれ訓練を行います。機能訓練指導員の配置は必要ですが、配置時間の定めはありません。</t>
    <rPh sb="21" eb="25">
      <t>シンタイキノウ</t>
    </rPh>
    <rPh sb="25" eb="26">
      <t>オヨ</t>
    </rPh>
    <rPh sb="27" eb="31">
      <t>セイカツキノウ</t>
    </rPh>
    <rPh sb="32" eb="34">
      <t>コウジョウ</t>
    </rPh>
    <rPh sb="35" eb="37">
      <t>モクテキ</t>
    </rPh>
    <rPh sb="89" eb="91">
      <t>クンレン</t>
    </rPh>
    <rPh sb="92" eb="93">
      <t>オコナ</t>
    </rPh>
    <phoneticPr fontId="16"/>
  </si>
  <si>
    <t>地域通所介護延長サービス加算1</t>
    <phoneticPr fontId="16"/>
  </si>
  <si>
    <t>地域通所介護延長サービス加算2</t>
  </si>
  <si>
    <t>地域通所介護延長サービス加算3</t>
  </si>
  <si>
    <t>地域通所介護延長サービス加算4</t>
  </si>
  <si>
    <t>地域通所介護延長サービス加算5</t>
  </si>
  <si>
    <t>※3か月に1回程度</t>
    <rPh sb="3" eb="4">
      <t>ゲツ</t>
    </rPh>
    <rPh sb="6" eb="7">
      <t>カイ</t>
    </rPh>
    <rPh sb="7" eb="9">
      <t>テイド</t>
    </rPh>
    <phoneticPr fontId="16"/>
  </si>
  <si>
    <t>生活機能向上連携加算（Ⅰ）※3か月に1回程度</t>
    <phoneticPr fontId="12"/>
  </si>
  <si>
    <t>栄養改善加算※月2回限度</t>
    <phoneticPr fontId="16"/>
  </si>
  <si>
    <t>栄養スクリーニング加算（Ⅰ）※6カ月に1回限度</t>
    <phoneticPr fontId="12"/>
  </si>
  <si>
    <t>栄養スクリーニング加算（Ⅱ）※6カ月に1回限度</t>
    <phoneticPr fontId="12"/>
  </si>
  <si>
    <t>口腔機能向上加算（Ⅰ）※月2回限度</t>
    <phoneticPr fontId="12"/>
  </si>
  <si>
    <t>口腔機能向上加算（Ⅱ）※月2回限度</t>
    <phoneticPr fontId="12"/>
  </si>
  <si>
    <t>送迎減算※片道につき</t>
    <phoneticPr fontId="16"/>
  </si>
  <si>
    <t>入浴介助加算（Ⅱ）/日</t>
    <phoneticPr fontId="16"/>
  </si>
  <si>
    <t>認知症加算/日</t>
    <rPh sb="0" eb="1">
      <t>シノブ</t>
    </rPh>
    <rPh sb="1" eb="2">
      <t>チ</t>
    </rPh>
    <rPh sb="2" eb="3">
      <t>ショウ</t>
    </rPh>
    <rPh sb="3" eb="4">
      <t>カ</t>
    </rPh>
    <rPh sb="4" eb="5">
      <t>サン</t>
    </rPh>
    <phoneticPr fontId="16"/>
  </si>
  <si>
    <t>若年性認知症利用者受入加算/日</t>
    <phoneticPr fontId="16"/>
  </si>
  <si>
    <t>中重度者ケア体制加算/日</t>
    <rPh sb="0" eb="1">
      <t>チュウ</t>
    </rPh>
    <rPh sb="1" eb="3">
      <t>ジュウド</t>
    </rPh>
    <rPh sb="3" eb="4">
      <t>シャ</t>
    </rPh>
    <rPh sb="6" eb="7">
      <t>カラダ</t>
    </rPh>
    <rPh sb="7" eb="8">
      <t>セイ</t>
    </rPh>
    <rPh sb="8" eb="9">
      <t>カ</t>
    </rPh>
    <rPh sb="9" eb="10">
      <t>サン</t>
    </rPh>
    <phoneticPr fontId="16"/>
  </si>
  <si>
    <t>個別機能訓練加算（Ⅰ）イ/日</t>
    <rPh sb="0" eb="1">
      <t>コ</t>
    </rPh>
    <rPh sb="1" eb="2">
      <t>ベツ</t>
    </rPh>
    <rPh sb="2" eb="3">
      <t>キ</t>
    </rPh>
    <rPh sb="3" eb="4">
      <t>ノウ</t>
    </rPh>
    <rPh sb="4" eb="5">
      <t>クン</t>
    </rPh>
    <rPh sb="5" eb="6">
      <t>ネリ</t>
    </rPh>
    <rPh sb="6" eb="7">
      <t>カ</t>
    </rPh>
    <rPh sb="7" eb="8">
      <t>カゾ</t>
    </rPh>
    <phoneticPr fontId="12"/>
  </si>
  <si>
    <t>個別機能訓練加算（Ⅰ）ロ/日</t>
    <rPh sb="0" eb="1">
      <t>コ</t>
    </rPh>
    <rPh sb="1" eb="2">
      <t>ベツ</t>
    </rPh>
    <rPh sb="2" eb="3">
      <t>キ</t>
    </rPh>
    <rPh sb="3" eb="4">
      <t>ノウ</t>
    </rPh>
    <rPh sb="4" eb="5">
      <t>クン</t>
    </rPh>
    <rPh sb="5" eb="6">
      <t>ネリ</t>
    </rPh>
    <rPh sb="6" eb="7">
      <t>カ</t>
    </rPh>
    <rPh sb="7" eb="8">
      <t>カゾ</t>
    </rPh>
    <phoneticPr fontId="12"/>
  </si>
  <si>
    <t>サービス提供体制強化加算（Ⅰ）/日</t>
    <phoneticPr fontId="16"/>
  </si>
  <si>
    <t>サービス提供体制強化加算（Ⅱ）/日</t>
    <phoneticPr fontId="16"/>
  </si>
  <si>
    <t>サービス提供体制強化加算（Ⅲ）/日</t>
    <phoneticPr fontId="16"/>
  </si>
  <si>
    <t>栄養改善加算/回</t>
    <rPh sb="0" eb="1">
      <t>エイ</t>
    </rPh>
    <rPh sb="1" eb="2">
      <t>マモル</t>
    </rPh>
    <rPh sb="2" eb="3">
      <t>カイ</t>
    </rPh>
    <rPh sb="3" eb="4">
      <t>ゼン</t>
    </rPh>
    <rPh sb="4" eb="5">
      <t>カ</t>
    </rPh>
    <rPh sb="5" eb="6">
      <t>サン</t>
    </rPh>
    <rPh sb="7" eb="8">
      <t>カイ</t>
    </rPh>
    <phoneticPr fontId="12"/>
  </si>
  <si>
    <t>口腔・栄養スクリーニング加算（Ⅰ）/回</t>
    <rPh sb="0" eb="2">
      <t>コウクウ</t>
    </rPh>
    <rPh sb="3" eb="5">
      <t>エイヨウ</t>
    </rPh>
    <rPh sb="12" eb="14">
      <t>カサン</t>
    </rPh>
    <rPh sb="18" eb="19">
      <t>カイ</t>
    </rPh>
    <phoneticPr fontId="12"/>
  </si>
  <si>
    <t>口腔・栄養スクリーニング加算（Ⅱ）/回</t>
    <rPh sb="0" eb="2">
      <t>コウクウ</t>
    </rPh>
    <rPh sb="3" eb="5">
      <t>エイヨウ</t>
    </rPh>
    <rPh sb="12" eb="14">
      <t>カサン</t>
    </rPh>
    <phoneticPr fontId="12"/>
  </si>
  <si>
    <t>口腔機能向上加算（Ⅰ）/回</t>
    <rPh sb="0" eb="1">
      <t>クチ</t>
    </rPh>
    <rPh sb="1" eb="2">
      <t>コウ</t>
    </rPh>
    <rPh sb="2" eb="3">
      <t>キ</t>
    </rPh>
    <rPh sb="3" eb="4">
      <t>ノウ</t>
    </rPh>
    <rPh sb="4" eb="5">
      <t>ムケ</t>
    </rPh>
    <rPh sb="5" eb="6">
      <t>ウエ</t>
    </rPh>
    <rPh sb="6" eb="7">
      <t>カ</t>
    </rPh>
    <rPh sb="7" eb="8">
      <t>サン</t>
    </rPh>
    <phoneticPr fontId="12"/>
  </si>
  <si>
    <t>口腔機能向上加算（Ⅱ）/回</t>
    <rPh sb="0" eb="1">
      <t>クチ</t>
    </rPh>
    <rPh sb="1" eb="2">
      <t>コウ</t>
    </rPh>
    <rPh sb="2" eb="3">
      <t>キ</t>
    </rPh>
    <rPh sb="3" eb="4">
      <t>ノウ</t>
    </rPh>
    <rPh sb="4" eb="5">
      <t>ムケ</t>
    </rPh>
    <rPh sb="5" eb="6">
      <t>ウエ</t>
    </rPh>
    <rPh sb="6" eb="7">
      <t>カ</t>
    </rPh>
    <rPh sb="7" eb="8">
      <t>サン</t>
    </rPh>
    <phoneticPr fontId="12"/>
  </si>
  <si>
    <t>ＡＤＬ維持等加算（Ⅰ）/月</t>
    <rPh sb="12" eb="13">
      <t>ツキ</t>
    </rPh>
    <phoneticPr fontId="16"/>
  </si>
  <si>
    <t>ＡＤＬ維持等加算（Ⅱ）/月</t>
    <phoneticPr fontId="16"/>
  </si>
  <si>
    <t>ＡＤＬ維持等加算（Ⅲ）/月</t>
    <phoneticPr fontId="16"/>
  </si>
  <si>
    <t>延長加算（1時間当たり）/回</t>
    <rPh sb="0" eb="1">
      <t>ノベ</t>
    </rPh>
    <rPh sb="1" eb="2">
      <t>ナガ</t>
    </rPh>
    <rPh sb="2" eb="3">
      <t>カ</t>
    </rPh>
    <rPh sb="3" eb="4">
      <t>サン</t>
    </rPh>
    <rPh sb="6" eb="8">
      <t>ジカン</t>
    </rPh>
    <rPh sb="8" eb="9">
      <t>ア</t>
    </rPh>
    <rPh sb="13" eb="14">
      <t>カイ</t>
    </rPh>
    <phoneticPr fontId="16"/>
  </si>
  <si>
    <t>科学的介護推進体制加算/月</t>
    <rPh sb="0" eb="5">
      <t>カガクテキカイゴ</t>
    </rPh>
    <rPh sb="5" eb="7">
      <t>スイシン</t>
    </rPh>
    <rPh sb="7" eb="9">
      <t>タイセイ</t>
    </rPh>
    <rPh sb="9" eb="11">
      <t>カサン</t>
    </rPh>
    <phoneticPr fontId="16"/>
  </si>
  <si>
    <t xml:space="preserve">　事業者は、介護の現場で働く職員の安全確保と安心して働き続けられる労働環境が築けるようハラスメントの防止に向け取り組みます。
</t>
    <phoneticPr fontId="16"/>
  </si>
  <si>
    <t>事業所内において行われる優越的な関係を背景とした言動や、業務上必要かつ相当な範囲を超えるような下記の行為は組織として許容しません。</t>
    <phoneticPr fontId="16"/>
  </si>
  <si>
    <t xml:space="preserve">（3）意に沿わない性的な言動、好意的態度の要求等、性的ないやがらせ行為
　　〈セクシュアルハラスメント〉
</t>
    <phoneticPr fontId="16"/>
  </si>
  <si>
    <t>ハラスメント事案が発生した場合、マニュアルなどを基に即座に対応し、再発防止会議などにより、同事案が発生しないための再発防止策を検討します。</t>
    <rPh sb="6" eb="8">
      <t>ジアン</t>
    </rPh>
    <rPh sb="24" eb="25">
      <t>モト</t>
    </rPh>
    <phoneticPr fontId="16"/>
  </si>
  <si>
    <t>事業所内において行われる優越的な関係を背景とした言動や、業務上必要かつ相当な範囲を超えるような下記の行為は乙として許容しません。</t>
    <rPh sb="53" eb="54">
      <t>オツ</t>
    </rPh>
    <phoneticPr fontId="16"/>
  </si>
  <si>
    <t>（3）意に沿わない性的な言動、好意的態度の要求等、性的ないやがらせ行為
　　〈セクシュアルハラスメント〉</t>
    <phoneticPr fontId="16"/>
  </si>
  <si>
    <t>　ハラスメント事案が発生した場合、乙はマニュアルなどを基に即座に対応し、再発防止会議などにより、同事案が発生しないための再発防止策を検討します。</t>
    <rPh sb="7" eb="9">
      <t>ジアン</t>
    </rPh>
    <rPh sb="17" eb="18">
      <t>オツ</t>
    </rPh>
    <rPh sb="27" eb="28">
      <t>モト</t>
    </rPh>
    <phoneticPr fontId="16"/>
  </si>
  <si>
    <t>事業所内において行われる優越的な関係を背景とした言動や、業務上必要かつ相当な範囲を超えるような下記の行為は組織として許容しない。</t>
    <phoneticPr fontId="16"/>
  </si>
  <si>
    <t>ハラスメント事案が発生した場合、マニュアルなどを基に即座に対応し、再発防止会議などにより、同事案が発生しないための再発防止策を検討する。</t>
    <rPh sb="6" eb="8">
      <t>ジアン</t>
    </rPh>
    <rPh sb="24" eb="25">
      <t>モト</t>
    </rPh>
    <phoneticPr fontId="16"/>
  </si>
  <si>
    <t>[要介護１]９時間以上１０時間未満</t>
    <phoneticPr fontId="16"/>
  </si>
  <si>
    <t>[要介護１]１０時間以上１１時間未満</t>
    <phoneticPr fontId="16"/>
  </si>
  <si>
    <t>[要介護１]１１時間以上１２時間未満</t>
    <phoneticPr fontId="16"/>
  </si>
  <si>
    <t>[要介護１]１２時間以上１３時間未満</t>
    <phoneticPr fontId="16"/>
  </si>
  <si>
    <t>[要介護１]１３時間以上１４時間未満</t>
    <phoneticPr fontId="16"/>
  </si>
  <si>
    <t>[要介護２]９時間以上１０時間未満</t>
    <phoneticPr fontId="16"/>
  </si>
  <si>
    <t>[要介護２]１０時間以上１１時間未満</t>
    <phoneticPr fontId="16"/>
  </si>
  <si>
    <t>[要介護２]１１時間以上１２時間未満</t>
    <phoneticPr fontId="16"/>
  </si>
  <si>
    <t>[要介護２]１２時間以上１３時間未満</t>
    <phoneticPr fontId="16"/>
  </si>
  <si>
    <t>[要介護２]１３時間以上１４時間未満</t>
    <phoneticPr fontId="16"/>
  </si>
  <si>
    <t>[要介護３]９時間以上１０時間未満</t>
    <phoneticPr fontId="16"/>
  </si>
  <si>
    <t>[要介護３]１０時間以上１１時間未満</t>
    <phoneticPr fontId="16"/>
  </si>
  <si>
    <t>[要介護３]１１時間以上１２時間未満</t>
    <phoneticPr fontId="16"/>
  </si>
  <si>
    <t>[要介護３]１２時間以上１３時間未満</t>
    <phoneticPr fontId="16"/>
  </si>
  <si>
    <t>[要介護３]１３時間以上１４時間未満</t>
    <phoneticPr fontId="16"/>
  </si>
  <si>
    <t>[要介護４]９時間以上１０時間未満</t>
    <phoneticPr fontId="16"/>
  </si>
  <si>
    <t>[要介護４]１０時間以上１１時間未満</t>
    <phoneticPr fontId="16"/>
  </si>
  <si>
    <t>[要介護４]１１時間以上１２時間未満</t>
    <phoneticPr fontId="16"/>
  </si>
  <si>
    <t>[要介護４]１２時間以上１３時間未満</t>
    <phoneticPr fontId="16"/>
  </si>
  <si>
    <t>[要介護４]１３時間以上１４時間未満</t>
    <phoneticPr fontId="16"/>
  </si>
  <si>
    <t>[要介護５]９時間以上１０時間未満</t>
    <phoneticPr fontId="16"/>
  </si>
  <si>
    <t>[要介護５]１０時間以上１１時間未満</t>
    <phoneticPr fontId="16"/>
  </si>
  <si>
    <t>[要介護５]１１時間以上１２時間未満</t>
    <phoneticPr fontId="16"/>
  </si>
  <si>
    <t>[要介護５]１２時間以上１３時間未満</t>
    <phoneticPr fontId="16"/>
  </si>
  <si>
    <t>[要介護５]１３時間以上１４時間未満</t>
    <phoneticPr fontId="16"/>
  </si>
  <si>
    <t>（Ⅰ）</t>
    <phoneticPr fontId="16"/>
  </si>
  <si>
    <t>（Ⅲ）</t>
    <phoneticPr fontId="16"/>
  </si>
  <si>
    <t>（Ⅱ）</t>
    <phoneticPr fontId="16"/>
  </si>
  <si>
    <t>感染症等による
3%加算</t>
    <rPh sb="0" eb="3">
      <t>カンセンショウ</t>
    </rPh>
    <rPh sb="3" eb="4">
      <t>ナド</t>
    </rPh>
    <phoneticPr fontId="16"/>
  </si>
  <si>
    <r>
      <t xml:space="preserve">総合計単位数
</t>
    </r>
    <r>
      <rPr>
        <b/>
        <sz val="6"/>
        <color theme="1"/>
        <rFont val="游ゴシック"/>
        <family val="3"/>
        <charset val="128"/>
      </rPr>
      <t>区分支給限度額を超えている
場合は区分支給限度額</t>
    </r>
    <rPh sb="0" eb="1">
      <t>ソウ</t>
    </rPh>
    <rPh sb="1" eb="3">
      <t>ゴウケイ</t>
    </rPh>
    <rPh sb="3" eb="6">
      <t>タンイスウ</t>
    </rPh>
    <phoneticPr fontId="12"/>
  </si>
  <si>
    <t>←サービス提供体制強化加算計算用</t>
    <rPh sb="5" eb="7">
      <t>テイキョウ</t>
    </rPh>
    <rPh sb="7" eb="9">
      <t>タイセイ</t>
    </rPh>
    <rPh sb="9" eb="11">
      <t>キョウカ</t>
    </rPh>
    <rPh sb="11" eb="13">
      <t>カサン</t>
    </rPh>
    <rPh sb="13" eb="15">
      <t>ケイサン</t>
    </rPh>
    <rPh sb="15" eb="16">
      <t>ヨウ</t>
    </rPh>
    <phoneticPr fontId="53"/>
  </si>
  <si>
    <t>←中山間地域計算用</t>
    <rPh sb="1" eb="6">
      <t>チュウサンカンチイキ</t>
    </rPh>
    <rPh sb="6" eb="9">
      <t>ケイサンヨウ</t>
    </rPh>
    <phoneticPr fontId="53"/>
  </si>
  <si>
    <t>⑩</t>
    <phoneticPr fontId="16"/>
  </si>
  <si>
    <t>←3%加計算用</t>
    <rPh sb="3" eb="4">
      <t>カ</t>
    </rPh>
    <rPh sb="4" eb="6">
      <t>ケイサン</t>
    </rPh>
    <rPh sb="6" eb="7">
      <t>ヨウ</t>
    </rPh>
    <phoneticPr fontId="53"/>
  </si>
  <si>
    <t>科学的介護推進体制加算</t>
    <rPh sb="0" eb="7">
      <t>カガクテキカイゴスイシン</t>
    </rPh>
    <rPh sb="7" eb="9">
      <t>タイセイ</t>
    </rPh>
    <rPh sb="9" eb="11">
      <t>カサン</t>
    </rPh>
    <phoneticPr fontId="53"/>
  </si>
  <si>
    <t>科学的介護推進体制加算</t>
    <rPh sb="7" eb="9">
      <t>タイセイ</t>
    </rPh>
    <phoneticPr fontId="53"/>
  </si>
  <si>
    <t>月</t>
    <rPh sb="0" eb="1">
      <t>ツキ</t>
    </rPh>
    <phoneticPr fontId="53"/>
  </si>
  <si>
    <t>⑪</t>
    <phoneticPr fontId="12"/>
  </si>
  <si>
    <t>⑫</t>
    <phoneticPr fontId="12"/>
  </si>
  <si>
    <t>入浴介助加算（Ⅰ）/日</t>
    <rPh sb="10" eb="11">
      <t>ニチ</t>
    </rPh>
    <phoneticPr fontId="16"/>
  </si>
  <si>
    <t>料金</t>
    <rPh sb="0" eb="2">
      <t>リョウキン</t>
    </rPh>
    <phoneticPr fontId="0"/>
  </si>
  <si>
    <t>運営推進会議は、利用者、利用者の家族、地域住民の代表者、市職員又は、事業所が所在
する地域を管轄する地域包括支援センターの職員及び地域密着型通所介護について知見を
有する者で構成するものとする。</t>
    <rPh sb="0" eb="2">
      <t>ウンエイ</t>
    </rPh>
    <rPh sb="2" eb="4">
      <t>スイシン</t>
    </rPh>
    <rPh sb="4" eb="6">
      <t>カイギ</t>
    </rPh>
    <rPh sb="8" eb="11">
      <t>リヨウシャ</t>
    </rPh>
    <rPh sb="12" eb="15">
      <t>リヨウシャ</t>
    </rPh>
    <rPh sb="16" eb="18">
      <t>カゾク</t>
    </rPh>
    <rPh sb="19" eb="21">
      <t>チイキ</t>
    </rPh>
    <rPh sb="21" eb="23">
      <t>ジュウミン</t>
    </rPh>
    <rPh sb="24" eb="27">
      <t>ダイヒョウシャ</t>
    </rPh>
    <rPh sb="28" eb="31">
      <t>シショクイン</t>
    </rPh>
    <rPh sb="31" eb="32">
      <t>マタ</t>
    </rPh>
    <rPh sb="34" eb="37">
      <t>ジギョウショ</t>
    </rPh>
    <rPh sb="38" eb="40">
      <t>ショザイ</t>
    </rPh>
    <rPh sb="43" eb="45">
      <t>チイキ</t>
    </rPh>
    <rPh sb="46" eb="48">
      <t>カンカツ</t>
    </rPh>
    <rPh sb="50" eb="52">
      <t>チイキ</t>
    </rPh>
    <rPh sb="52" eb="54">
      <t>ホウカツ</t>
    </rPh>
    <rPh sb="54" eb="56">
      <t>シエン</t>
    </rPh>
    <rPh sb="61" eb="63">
      <t>ショクイン</t>
    </rPh>
    <rPh sb="63" eb="64">
      <t>オヨ</t>
    </rPh>
    <rPh sb="65" eb="67">
      <t>チイキ</t>
    </rPh>
    <rPh sb="67" eb="70">
      <t>ミッチャクガタ</t>
    </rPh>
    <rPh sb="70" eb="72">
      <t>ツウショ</t>
    </rPh>
    <rPh sb="72" eb="74">
      <t>カイゴ</t>
    </rPh>
    <rPh sb="78" eb="80">
      <t>チケン</t>
    </rPh>
    <rPh sb="82" eb="83">
      <t>ユウ</t>
    </rPh>
    <rPh sb="85" eb="86">
      <t>モノ</t>
    </rPh>
    <rPh sb="87" eb="89">
      <t>コウセイ</t>
    </rPh>
    <phoneticPr fontId="16"/>
  </si>
  <si>
    <t>口腔・栄養スクリーニング加算（Ⅰ）</t>
    <phoneticPr fontId="12"/>
  </si>
  <si>
    <t>口腔・栄養スクリーニング加算（Ⅱ）</t>
    <phoneticPr fontId="12"/>
  </si>
  <si>
    <t>医師・理学療法士・作業療法士、介護福祉士、介護支援専門員等が利用者宅を訪ねて、浴室の環境を確認し、それを踏まえて“個別入浴計画に相当する内容を通所介護計画の中に記載”し、計画に基づき個別の入浴介助を行う場合に算定されます。</t>
    <phoneticPr fontId="16"/>
  </si>
  <si>
    <t>延長加算及び時間外サービスを利用中の夕食提供。栄養バランスの取れた温かい食事を摂っていただけます。</t>
    <phoneticPr fontId="53"/>
  </si>
  <si>
    <t>食事（昼食及び延長加算算定時の朝食、夕食）を提供します。</t>
    <rPh sb="0" eb="2">
      <t>ショクジ</t>
    </rPh>
    <rPh sb="3" eb="5">
      <t>チュウショク</t>
    </rPh>
    <rPh sb="5" eb="6">
      <t>オヨ</t>
    </rPh>
    <rPh sb="7" eb="9">
      <t>エンチョウ</t>
    </rPh>
    <rPh sb="9" eb="11">
      <t>カサン</t>
    </rPh>
    <rPh sb="11" eb="13">
      <t>サンテイ</t>
    </rPh>
    <rPh sb="13" eb="14">
      <t>ジ</t>
    </rPh>
    <rPh sb="15" eb="17">
      <t>チョウショク</t>
    </rPh>
    <rPh sb="18" eb="20">
      <t>ユウショク</t>
    </rPh>
    <rPh sb="22" eb="24">
      <t>テイキョウ</t>
    </rPh>
    <phoneticPr fontId="16"/>
  </si>
  <si>
    <t>地域単価</t>
    <rPh sb="0" eb="4">
      <t>チイキタンカ</t>
    </rPh>
    <phoneticPr fontId="16"/>
  </si>
  <si>
    <t>　乙は、乙の定めた極度額の範囲で発生した債務を、身元引受人兼連帯保証人に請求できるものとします。極度額の範囲は上限を１，０００万円とします。</t>
    <rPh sb="1" eb="2">
      <t>オツ</t>
    </rPh>
    <rPh sb="4" eb="5">
      <t>オツ</t>
    </rPh>
    <rPh sb="6" eb="7">
      <t>サダ</t>
    </rPh>
    <rPh sb="13" eb="15">
      <t>ハンイ</t>
    </rPh>
    <rPh sb="16" eb="18">
      <t>ハッセイ</t>
    </rPh>
    <rPh sb="29" eb="30">
      <t>ケン</t>
    </rPh>
    <rPh sb="30" eb="32">
      <t>レンタイ</t>
    </rPh>
    <rPh sb="48" eb="51">
      <t>キョクドガク</t>
    </rPh>
    <rPh sb="52" eb="54">
      <t>ハンイ</t>
    </rPh>
    <rPh sb="55" eb="57">
      <t>ジョウゲン</t>
    </rPh>
    <rPh sb="63" eb="64">
      <t>マン</t>
    </rPh>
    <rPh sb="64" eb="65">
      <t>エン</t>
    </rPh>
    <phoneticPr fontId="16"/>
  </si>
  <si>
    <t>=⑧</t>
    <phoneticPr fontId="16"/>
  </si>
  <si>
    <t>⑨</t>
    <phoneticPr fontId="16"/>
  </si>
  <si>
    <t>利用者負担分（⑨－⑩）※限度額オーバーがある場合はその分を含む</t>
    <phoneticPr fontId="16"/>
  </si>
  <si>
    <t>利用者負担分（⑨－⑩）</t>
    <rPh sb="0" eb="3">
      <t>リヨウシャ</t>
    </rPh>
    <rPh sb="3" eb="5">
      <t>フタン</t>
    </rPh>
    <rPh sb="5" eb="6">
      <t>ブン</t>
    </rPh>
    <phoneticPr fontId="12"/>
  </si>
  <si>
    <t>保険外計（⑫）</t>
    <rPh sb="0" eb="2">
      <t>ホケン</t>
    </rPh>
    <rPh sb="2" eb="3">
      <t>ガイ</t>
    </rPh>
    <rPh sb="3" eb="4">
      <t>ケイ</t>
    </rPh>
    <phoneticPr fontId="12"/>
  </si>
  <si>
    <t>⑬</t>
    <phoneticPr fontId="12"/>
  </si>
  <si>
    <t>①身体的な力を使って危害を及ぼす（及ばされそうになった）行為〈身体的暴力〉</t>
    <phoneticPr fontId="16"/>
  </si>
  <si>
    <t>②個人の尊厳や人格を言葉や態度によって傷つけたり、おとしめたりする行為
　　〈精神的暴力〉</t>
    <phoneticPr fontId="16"/>
  </si>
  <si>
    <t xml:space="preserve">③意に沿わない性的な言動、好意的態度の要求等、性的ないやがらせ行為
　　〈セクシュアルハラスメント〉
</t>
    <phoneticPr fontId="16"/>
  </si>
  <si>
    <t>利用者負担分（⑨－⑩）</t>
    <phoneticPr fontId="12"/>
  </si>
  <si>
    <t>⑬</t>
    <phoneticPr fontId="16"/>
  </si>
  <si>
    <t>※この概算見積もりには各種処遇改善加算や中山間地域居住者へのサービス提供加算、感染症や災害等による３％加算等の特例的な加算は含まれません。</t>
    <phoneticPr fontId="16"/>
  </si>
  <si>
    <t>ベースアップ等支援加算</t>
    <rPh sb="6" eb="7">
      <t>ナド</t>
    </rPh>
    <rPh sb="7" eb="9">
      <t>シエン</t>
    </rPh>
    <rPh sb="9" eb="11">
      <t>カサン</t>
    </rPh>
    <phoneticPr fontId="16"/>
  </si>
  <si>
    <t>算定あり</t>
    <rPh sb="0" eb="2">
      <t>サンテイ</t>
    </rPh>
    <phoneticPr fontId="116"/>
  </si>
  <si>
    <t>②個人の尊厳や人格を言葉や態度によって傷つけたり、おとしめたりする行為〈精神的暴力〉</t>
    <phoneticPr fontId="16"/>
  </si>
  <si>
    <t xml:space="preserve">③意に沿わない性的な言動、好意的態度の要求等、性的ないやがらせ行為〈セクシュアルハラスメント〉
</t>
    <phoneticPr fontId="16"/>
  </si>
  <si>
    <t>２</t>
    <phoneticPr fontId="16"/>
  </si>
  <si>
    <t>４</t>
    <phoneticPr fontId="16"/>
  </si>
  <si>
    <t>介護保険適用時の自己負担額</t>
  </si>
  <si>
    <t>←マスターを参照</t>
    <rPh sb="6" eb="8">
      <t>サンショウ</t>
    </rPh>
    <phoneticPr fontId="16"/>
  </si>
  <si>
    <t>同一建物減算</t>
    <rPh sb="0" eb="4">
      <t>ドウイツタテモノ</t>
    </rPh>
    <rPh sb="4" eb="6">
      <t>ゲンサン</t>
    </rPh>
    <phoneticPr fontId="16"/>
  </si>
  <si>
    <t>同一建物減</t>
    <rPh sb="0" eb="2">
      <t>ドウイツ</t>
    </rPh>
    <rPh sb="2" eb="4">
      <t>タテモノ</t>
    </rPh>
    <rPh sb="4" eb="5">
      <t>ゲン</t>
    </rPh>
    <phoneticPr fontId="16"/>
  </si>
  <si>
    <t>同一建物減算</t>
    <rPh sb="5" eb="6">
      <t>サン</t>
    </rPh>
    <phoneticPr fontId="16"/>
  </si>
  <si>
    <t>同一建物減算</t>
    <rPh sb="0" eb="6">
      <t>ドウイツタテモノゲンサン</t>
    </rPh>
    <phoneticPr fontId="16"/>
  </si>
  <si>
    <t>事業所と同一建物に居住する利用者に対して、サービスを提供した場合に減算の対象となります。</t>
    <phoneticPr fontId="16"/>
  </si>
  <si>
    <t>保険外費用一覧</t>
    <rPh sb="0" eb="2">
      <t>ホケン</t>
    </rPh>
    <rPh sb="2" eb="3">
      <t>ガイ</t>
    </rPh>
    <rPh sb="3" eb="5">
      <t>ヒヨウ</t>
    </rPh>
    <rPh sb="5" eb="7">
      <t>イチラン</t>
    </rPh>
    <phoneticPr fontId="16"/>
  </si>
  <si>
    <t>費用</t>
    <rPh sb="0" eb="2">
      <t>ヒヨウ</t>
    </rPh>
    <phoneticPr fontId="16"/>
  </si>
  <si>
    <t>回</t>
    <rPh sb="0" eb="1">
      <t>カイ</t>
    </rPh>
    <phoneticPr fontId="16"/>
  </si>
  <si>
    <t>枚</t>
    <rPh sb="0" eb="1">
      <t>マイ</t>
    </rPh>
    <phoneticPr fontId="16"/>
  </si>
  <si>
    <t>同一建物</t>
    <rPh sb="0" eb="2">
      <t>ドウイツ</t>
    </rPh>
    <rPh sb="2" eb="4">
      <t>タテモノ</t>
    </rPh>
    <phoneticPr fontId="16"/>
  </si>
  <si>
    <t>区分支給限度額</t>
    <rPh sb="0" eb="2">
      <t>クブン</t>
    </rPh>
    <rPh sb="2" eb="4">
      <t>シキュウ</t>
    </rPh>
    <rPh sb="4" eb="6">
      <t>ゲンド</t>
    </rPh>
    <rPh sb="6" eb="7">
      <t>ガク</t>
    </rPh>
    <phoneticPr fontId="16"/>
  </si>
  <si>
    <t>MAX利用時</t>
    <rPh sb="3" eb="5">
      <t>リヨウ</t>
    </rPh>
    <rPh sb="5" eb="6">
      <t>ジ</t>
    </rPh>
    <phoneticPr fontId="16"/>
  </si>
  <si>
    <t>10割負担</t>
    <rPh sb="2" eb="3">
      <t>ワリ</t>
    </rPh>
    <rPh sb="3" eb="5">
      <t>フタン</t>
    </rPh>
    <phoneticPr fontId="16"/>
  </si>
  <si>
    <t>＜支給限度額＞</t>
    <rPh sb="1" eb="3">
      <t>シキュウ</t>
    </rPh>
    <rPh sb="3" eb="5">
      <t>ゲンド</t>
    </rPh>
    <rPh sb="5" eb="6">
      <t>ガク</t>
    </rPh>
    <phoneticPr fontId="16"/>
  </si>
  <si>
    <t>※料金等要確認</t>
    <rPh sb="1" eb="4">
      <t>リョウキントウ</t>
    </rPh>
    <rPh sb="4" eb="5">
      <t>ヨウ</t>
    </rPh>
    <rPh sb="5" eb="7">
      <t>カクニン</t>
    </rPh>
    <phoneticPr fontId="16"/>
  </si>
  <si>
    <t>愛知県における指定通所介護事業所等で提供する宿泊サービス事業の指針</t>
    <phoneticPr fontId="16"/>
  </si>
  <si>
    <t>実施していない</t>
    <rPh sb="0" eb="2">
      <t xml:space="preserve">ジッシ </t>
    </rPh>
    <phoneticPr fontId="16"/>
  </si>
  <si>
    <r>
      <t>▶</t>
    </r>
    <r>
      <rPr>
        <sz val="10"/>
        <rFont val="Apple Color Emoji"/>
        <family val="3"/>
      </rPr>
      <t>️</t>
    </r>
    <phoneticPr fontId="16"/>
  </si>
  <si>
    <t>１７：１５</t>
    <phoneticPr fontId="16"/>
  </si>
  <si>
    <t>愛知県名古屋市東区泉一丁目6番5号</t>
    <phoneticPr fontId="16"/>
  </si>
  <si>
    <t>052-971-4165</t>
    <phoneticPr fontId="16"/>
  </si>
  <si>
    <t>成年後見制度の利用支援</t>
    <phoneticPr fontId="179"/>
  </si>
  <si>
    <t>虐待を防止するための従業者に対する研修の実施</t>
    <phoneticPr fontId="179"/>
  </si>
  <si>
    <t>苦情解決体制の整備</t>
    <phoneticPr fontId="179"/>
  </si>
  <si>
    <t>虐待の防止のための対策を検討する委員会の設置</t>
    <phoneticPr fontId="179"/>
  </si>
  <si>
    <t>　（２）</t>
  </si>
  <si>
    <t>　（３）</t>
  </si>
  <si>
    <t>　（４）</t>
  </si>
  <si>
    <t>　（５）</t>
  </si>
  <si>
    <r>
      <t>虐待の防止に関する</t>
    </r>
    <r>
      <rPr>
        <u/>
        <sz val="12"/>
        <rFont val="ＭＳ 明朝"/>
        <family val="1"/>
        <charset val="128"/>
      </rPr>
      <t>責任者の選定</t>
    </r>
    <phoneticPr fontId="179"/>
  </si>
  <si>
    <t>事業者は、サービス提供中に当該事業所従業者又は養護者（利用者の家族等高齢者を現に養護する者）による虐待を受けたと思われる利用者を発見した場合は、速やかに、これを指定権者に通報します。</t>
    <phoneticPr fontId="16"/>
  </si>
  <si>
    <t>事業所は、身体拘束等の適正化を図るため、次の措置を講ずるものとします。</t>
    <phoneticPr fontId="16"/>
  </si>
  <si>
    <t>身体拘束等の適正化のための責任者の選定</t>
    <phoneticPr fontId="179"/>
  </si>
  <si>
    <t>身体拘束等の適正化のための指針の整備</t>
    <phoneticPr fontId="179"/>
  </si>
  <si>
    <t>身体拘束等の適正化のための研修の実施</t>
    <phoneticPr fontId="179"/>
  </si>
  <si>
    <t>身体拘束等の適正化のための対策を検討する委員会の設置</t>
    <phoneticPr fontId="179"/>
  </si>
  <si>
    <t>　当事業者は、介護サポート契約書及び重要事項説明書に基づいて、介護サポートのサービス内容及び重要事項の説明をしました。</t>
    <rPh sb="21" eb="23">
      <t>カイゴ</t>
    </rPh>
    <phoneticPr fontId="16"/>
  </si>
  <si>
    <t>　私は、介護サポート契約書及び重要事項説明書に基づいて、介護サポートのサービス内容及び重要事項の説明を受け、同意しました。</t>
    <phoneticPr fontId="16"/>
  </si>
  <si>
    <t>450</t>
    <phoneticPr fontId="16"/>
  </si>
  <si>
    <t>520</t>
    <phoneticPr fontId="16"/>
  </si>
  <si>
    <t>580</t>
    <phoneticPr fontId="16"/>
  </si>
  <si>
    <t>3500</t>
    <phoneticPr fontId="16"/>
  </si>
  <si>
    <t>2000</t>
    <phoneticPr fontId="16"/>
  </si>
  <si>
    <t>　乙は、サービス提供中に、当該事業所従業者又は養護者（利用者の家族等高齢者を現に養護する者）による虐待を受けたと思われる利用者を発見した場合は、速やかに、これを指定権者及び市町村に通報します。</t>
    <rPh sb="84" eb="85">
      <t>オヨ</t>
    </rPh>
    <rPh sb="86" eb="89">
      <t>シチョウソン</t>
    </rPh>
    <phoneticPr fontId="16"/>
  </si>
  <si>
    <t>　前項但し書きの規定に基づき身体的拘束等の行為を行った場合には、乙は、直ちに、その日時、態様、甲の心身の状況、緊急やむを得なかった理由、当該行為が必要と判断した職員等及び当該行為を行った職員等の氏名その他必要な事項について、サービス提供記録等に記録します。</t>
    <rPh sb="3" eb="4">
      <t>タダ</t>
    </rPh>
    <phoneticPr fontId="16"/>
  </si>
  <si>
    <t xml:space="preserve">　私は、地域密着型通所介護契約書及び重要事項説明書に基づいて、地域密着型通所介護の契約、サービス内容及び重要事項の説明を受け、同意しました。																			
																			</t>
    <rPh sb="4" eb="9">
      <t xml:space="preserve">チイキミッチャクガタ </t>
    </rPh>
    <rPh sb="31" eb="36">
      <t xml:space="preserve">チイキミッチャクガタ </t>
    </rPh>
    <rPh sb="41" eb="43">
      <t xml:space="preserve">ケイヤク </t>
    </rPh>
    <phoneticPr fontId="16"/>
  </si>
  <si>
    <t>　当事業者は、地域密着型通所介護契約書及び重要事項説明書に基づいて、地域密着型通所介護の契約、サービス内容及び重要事項の説明をしました。																			
																			た。</t>
    <rPh sb="44" eb="46">
      <t xml:space="preserve">ケイヤク </t>
    </rPh>
    <phoneticPr fontId="16"/>
  </si>
  <si>
    <t>17:30</t>
    <phoneticPr fontId="16"/>
  </si>
  <si>
    <t>代表取締役</t>
    <rPh sb="0" eb="5">
      <t>ダイヒョウト</t>
    </rPh>
    <phoneticPr fontId="16"/>
  </si>
  <si>
    <t>３，５００</t>
  </si>
  <si>
    <t>相談窓口受付時間</t>
  </si>
  <si>
    <t>あいおいニッセイ同和損害保険株式会社</t>
    <rPh sb="8" eb="10">
      <t>ドウワ</t>
    </rPh>
    <rPh sb="10" eb="12">
      <t>ソンガイ</t>
    </rPh>
    <rPh sb="12" eb="14">
      <t>ホケン</t>
    </rPh>
    <rPh sb="14" eb="16">
      <t>カブシキ</t>
    </rPh>
    <rPh sb="16" eb="18">
      <t>カイシャ</t>
    </rPh>
    <phoneticPr fontId="16"/>
  </si>
  <si>
    <t>介護保険・社会福祉事業者総合保険</t>
    <rPh sb="0" eb="2">
      <t>カイゴ</t>
    </rPh>
    <rPh sb="2" eb="4">
      <t>ホケン</t>
    </rPh>
    <rPh sb="5" eb="7">
      <t>シャカイ</t>
    </rPh>
    <rPh sb="7" eb="9">
      <t>フクシ</t>
    </rPh>
    <rPh sb="9" eb="12">
      <t>ジギョウシャ</t>
    </rPh>
    <rPh sb="12" eb="14">
      <t>ソウゴウ</t>
    </rPh>
    <rPh sb="14" eb="16">
      <t>ホケン</t>
    </rPh>
    <phoneticPr fontId="16"/>
  </si>
  <si>
    <t>月</t>
  </si>
  <si>
    <t>3,500</t>
    <phoneticPr fontId="16"/>
  </si>
  <si>
    <t>【料金表】2024年4月1日改正</t>
    <phoneticPr fontId="12"/>
  </si>
  <si>
    <t>介護職員等処遇改善加算（Ⅰ）</t>
    <rPh sb="0" eb="1">
      <t>カイ</t>
    </rPh>
    <rPh sb="1" eb="2">
      <t>マモル</t>
    </rPh>
    <rPh sb="2" eb="3">
      <t>ショク</t>
    </rPh>
    <rPh sb="3" eb="4">
      <t>イン</t>
    </rPh>
    <rPh sb="4" eb="5">
      <t xml:space="preserve">ナド </t>
    </rPh>
    <phoneticPr fontId="12"/>
  </si>
  <si>
    <t>介護職員等処遇改善加算（Ⅱ）</t>
    <rPh sb="0" eb="1">
      <t>カイ</t>
    </rPh>
    <rPh sb="1" eb="2">
      <t>マモル</t>
    </rPh>
    <rPh sb="2" eb="3">
      <t>ショク</t>
    </rPh>
    <rPh sb="3" eb="4">
      <t>イン</t>
    </rPh>
    <rPh sb="4" eb="5">
      <t xml:space="preserve">ナド </t>
    </rPh>
    <phoneticPr fontId="12"/>
  </si>
  <si>
    <t>介護職員等処遇改善加算（Ⅲ）</t>
    <rPh sb="0" eb="1">
      <t>カイ</t>
    </rPh>
    <rPh sb="1" eb="2">
      <t>マモル</t>
    </rPh>
    <rPh sb="2" eb="3">
      <t>ショク</t>
    </rPh>
    <rPh sb="3" eb="4">
      <t>イン</t>
    </rPh>
    <rPh sb="4" eb="5">
      <t xml:space="preserve">ナド </t>
    </rPh>
    <phoneticPr fontId="12"/>
  </si>
  <si>
    <r>
      <rPr>
        <sz val="10"/>
        <color rgb="FFFF0000"/>
        <rFont val="メイリオ"/>
        <family val="3"/>
        <charset val="128"/>
      </rPr>
      <t>9.2</t>
    </r>
    <r>
      <rPr>
        <sz val="10"/>
        <rFont val="メイリオ"/>
        <family val="3"/>
        <charset val="128"/>
      </rPr>
      <t>%（1ヶ月の利用合計単位数に乗じる）</t>
    </r>
    <phoneticPr fontId="16"/>
  </si>
  <si>
    <r>
      <rPr>
        <sz val="10"/>
        <color rgb="FFFF0000"/>
        <rFont val="メイリオ"/>
        <family val="3"/>
        <charset val="128"/>
      </rPr>
      <t>9.0</t>
    </r>
    <r>
      <rPr>
        <sz val="10"/>
        <rFont val="メイリオ"/>
        <family val="3"/>
        <charset val="128"/>
      </rPr>
      <t>%（1ヶ月の利用合計単位数に乗じる）</t>
    </r>
    <phoneticPr fontId="16"/>
  </si>
  <si>
    <t>8.0%（1ヶ月の利用合計単位数に乗じる）</t>
    <phoneticPr fontId="16"/>
  </si>
  <si>
    <t>介護職員等処遇改善加算（Ⅰ）～（Ⅲ）</t>
    <rPh sb="4" eb="5">
      <t xml:space="preserve">ナド </t>
    </rPh>
    <phoneticPr fontId="16"/>
  </si>
  <si>
    <t>介護職員の賃金改善の観点から、介護サービスに従事する介護職員等の賃金改善に充てることを目的とした加算です。
算定要件を満たし、計画を指定権者に提出した事業所のみが加算取得の対象となります。</t>
    <rPh sb="30" eb="31">
      <t xml:space="preserve">ナド </t>
    </rPh>
    <phoneticPr fontId="16"/>
  </si>
  <si>
    <t>介護職員等
処遇改善加算</t>
    <rPh sb="2" eb="4">
      <t>ショクイン</t>
    </rPh>
    <rPh sb="4" eb="5">
      <t xml:space="preserve">ナド </t>
    </rPh>
    <phoneticPr fontId="12"/>
  </si>
  <si>
    <t>サービス提供
体制強化加算</t>
  </si>
  <si>
    <t>中山間地域等
提供加算</t>
  </si>
  <si>
    <t>算定なし</t>
  </si>
  <si>
    <t>サービス提供体制強化加算</t>
  </si>
  <si>
    <t>中山間地域
等提供加算</t>
  </si>
  <si>
    <t>感染症等による
3%加算</t>
  </si>
  <si>
    <t>300</t>
    <phoneticPr fontId="16"/>
  </si>
  <si>
    <t>400</t>
    <phoneticPr fontId="16"/>
  </si>
  <si>
    <t>デイサービスサクラテイ</t>
    <phoneticPr fontId="16"/>
  </si>
  <si>
    <t>デイサービスさくら亭</t>
    <rPh sb="6" eb="7">
      <t>テイ</t>
    </rPh>
    <phoneticPr fontId="16"/>
  </si>
  <si>
    <t>愛知県豊橋市東田中郷町11番</t>
    <phoneticPr fontId="16"/>
  </si>
  <si>
    <t>0532-39-7855</t>
    <phoneticPr fontId="16"/>
  </si>
  <si>
    <t>0532-39-7856</t>
    <phoneticPr fontId="16"/>
  </si>
  <si>
    <t>6:30</t>
    <phoneticPr fontId="16"/>
  </si>
  <si>
    <t>20:30</t>
    <phoneticPr fontId="16"/>
  </si>
  <si>
    <t>9:30</t>
    <phoneticPr fontId="16"/>
  </si>
  <si>
    <t>17:31</t>
    <phoneticPr fontId="16"/>
  </si>
  <si>
    <t>9:29</t>
    <phoneticPr fontId="16"/>
  </si>
  <si>
    <t>豊橋市</t>
    <rPh sb="0" eb="3">
      <t xml:space="preserve">トヨハシシ </t>
    </rPh>
    <phoneticPr fontId="16"/>
  </si>
  <si>
    <t>豊川市</t>
    <rPh sb="0" eb="3">
      <t xml:space="preserve">トヨカワシ </t>
    </rPh>
    <phoneticPr fontId="16"/>
  </si>
  <si>
    <t>指定居宅サービスの事業の人員、設備及び運営に関する基準等を定める条例（平成24年12月25日）</t>
    <rPh sb="35" eb="37">
      <t>ヘイセイ</t>
    </rPh>
    <phoneticPr fontId="16"/>
  </si>
  <si>
    <t>株式会社ケアサポート</t>
    <rPh sb="0" eb="4">
      <t>カブシキカイシャ</t>
    </rPh>
    <phoneticPr fontId="16"/>
  </si>
  <si>
    <t>0013</t>
    <phoneticPr fontId="16"/>
  </si>
  <si>
    <t>愛知県豊川市大堀町293番地</t>
    <phoneticPr fontId="16"/>
  </si>
  <si>
    <t>0533-65-8702</t>
    <phoneticPr fontId="16"/>
  </si>
  <si>
    <t>0533-65-8703</t>
    <phoneticPr fontId="16"/>
  </si>
  <si>
    <t>本多 康夫</t>
    <rPh sb="0" eb="5">
      <t xml:space="preserve">ホンダヤスオ </t>
    </rPh>
    <phoneticPr fontId="16"/>
  </si>
  <si>
    <t>１，２００</t>
    <phoneticPr fontId="16"/>
  </si>
  <si>
    <t>２００</t>
    <phoneticPr fontId="16"/>
  </si>
  <si>
    <t>１００</t>
    <phoneticPr fontId="16"/>
  </si>
  <si>
    <t>５０</t>
    <phoneticPr fontId="16"/>
  </si>
  <si>
    <t>東三河広域連合</t>
    <rPh sb="0" eb="5">
      <t xml:space="preserve">ヒガシミカワコウイキ </t>
    </rPh>
    <rPh sb="5" eb="7">
      <t xml:space="preserve">レンゴウ </t>
    </rPh>
    <phoneticPr fontId="16"/>
  </si>
  <si>
    <t>愛知県豊橋市八町通２丁目16番地</t>
    <rPh sb="14" eb="16">
      <t xml:space="preserve">バンチ </t>
    </rPh>
    <phoneticPr fontId="16"/>
  </si>
  <si>
    <t>0532-26-8471</t>
    <phoneticPr fontId="16"/>
  </si>
  <si>
    <t>８：３０</t>
  </si>
  <si>
    <t>2024年6月1日改正</t>
    <rPh sb="4" eb="5">
      <t>ネン</t>
    </rPh>
    <rPh sb="6" eb="7">
      <t>ガツ</t>
    </rPh>
    <phoneticPr fontId="16"/>
  </si>
  <si>
    <t>0063</t>
    <phoneticPr fontId="16"/>
  </si>
  <si>
    <t>重　要　事　項　説　明　書</t>
    <rPh sb="0" eb="1">
      <t>ジュウ</t>
    </rPh>
    <rPh sb="2" eb="3">
      <t>ヨウ</t>
    </rPh>
    <rPh sb="4" eb="5">
      <t>コト</t>
    </rPh>
    <rPh sb="6" eb="7">
      <t>コウ</t>
    </rPh>
    <rPh sb="8" eb="9">
      <t>セツ</t>
    </rPh>
    <rPh sb="10" eb="11">
      <t>メイ</t>
    </rPh>
    <rPh sb="12" eb="13">
      <t>ショ</t>
    </rPh>
    <phoneticPr fontId="16"/>
  </si>
  <si>
    <t>（介護サポートサービス）</t>
    <rPh sb="1" eb="3">
      <t>カイゴ</t>
    </rPh>
    <phoneticPr fontId="16"/>
  </si>
  <si>
    <t>　介護保険外入浴</t>
    <phoneticPr fontId="16"/>
  </si>
  <si>
    <t>２００円</t>
    <phoneticPr fontId="16"/>
  </si>
  <si>
    <t>入浴</t>
    <rPh sb="0" eb="2">
      <t xml:space="preserve">ニュウヨク </t>
    </rPh>
    <phoneticPr fontId="16"/>
  </si>
  <si>
    <t>　介護保険で指定された入浴以外に、入浴を希望される場合は以下の通り料金がかかります。</t>
    <rPh sb="1" eb="5">
      <t xml:space="preserve">カイゴホケン </t>
    </rPh>
    <rPh sb="6" eb="8">
      <t xml:space="preserve">シテイ </t>
    </rPh>
    <rPh sb="11" eb="13">
      <t xml:space="preserve">ニュウヨク </t>
    </rPh>
    <rPh sb="13" eb="15">
      <t xml:space="preserve">イガイ </t>
    </rPh>
    <rPh sb="17" eb="19">
      <t xml:space="preserve">ニュウヨク </t>
    </rPh>
    <rPh sb="20" eb="22">
      <t xml:space="preserve">キボウ </t>
    </rPh>
    <rPh sb="25" eb="27">
      <t xml:space="preserve">バアイ </t>
    </rPh>
    <rPh sb="29" eb="31">
      <t xml:space="preserve">カキ </t>
    </rPh>
    <rPh sb="32" eb="34">
      <t xml:space="preserve">リョウキン </t>
    </rPh>
    <phoneticPr fontId="16"/>
  </si>
  <si>
    <t>利用者の希望により行う洗濯代</t>
    <rPh sb="0" eb="2">
      <t xml:space="preserve">センタク </t>
    </rPh>
    <rPh sb="2" eb="3">
      <t xml:space="preserve">ダイ </t>
    </rPh>
    <rPh sb="9" eb="10">
      <t xml:space="preserve">オコナウ </t>
    </rPh>
    <rPh sb="11" eb="13">
      <t xml:space="preserve">センタク </t>
    </rPh>
    <rPh sb="13" eb="14">
      <t xml:space="preserve">ダイ </t>
    </rPh>
    <phoneticPr fontId="16"/>
  </si>
  <si>
    <t>１５０円</t>
    <phoneticPr fontId="16"/>
  </si>
  <si>
    <t>保険外入浴</t>
    <rPh sb="3" eb="5">
      <t>ニュウヨク</t>
    </rPh>
    <phoneticPr fontId="53"/>
  </si>
  <si>
    <t>介護保険で指定された入浴以外に、入浴を希望される場合は料金がかかります。</t>
    <phoneticPr fontId="16"/>
  </si>
  <si>
    <t>200円/回</t>
    <rPh sb="3" eb="4">
      <t>エン</t>
    </rPh>
    <rPh sb="5" eb="6">
      <t>カイ</t>
    </rPh>
    <phoneticPr fontId="16"/>
  </si>
  <si>
    <t>洗濯代</t>
    <rPh sb="0" eb="3">
      <t>センタクダイ</t>
    </rPh>
    <phoneticPr fontId="16"/>
  </si>
  <si>
    <t>ご希望により行う洗濯代となります。　　　　　　　　　　　　　　　　　　　　　　　　　　　　　　　　　　　　　　　　　　　　　　　　　　　　　　又、連泊をされる方でベッドシーツの交換を行なった場合も洗濯代として頂戴いたします。</t>
    <rPh sb="1" eb="3">
      <t>キボウ</t>
    </rPh>
    <rPh sb="71" eb="72">
      <t>マタ</t>
    </rPh>
    <rPh sb="73" eb="75">
      <t>レンパク</t>
    </rPh>
    <rPh sb="79" eb="80">
      <t>カタ</t>
    </rPh>
    <rPh sb="88" eb="90">
      <t>コウカン</t>
    </rPh>
    <rPh sb="91" eb="92">
      <t>オコ</t>
    </rPh>
    <rPh sb="95" eb="97">
      <t>バアイ</t>
    </rPh>
    <rPh sb="98" eb="101">
      <t>センタクダイ</t>
    </rPh>
    <rPh sb="104" eb="106">
      <t>チョウダイ</t>
    </rPh>
    <phoneticPr fontId="16"/>
  </si>
  <si>
    <t>150円/回</t>
    <rPh sb="3" eb="4">
      <t>エン</t>
    </rPh>
    <rPh sb="5" eb="6">
      <t>カイ</t>
    </rPh>
    <phoneticPr fontId="16"/>
  </si>
  <si>
    <t>　　　令和6年10月1日～</t>
    <rPh sb="3" eb="5">
      <t>レイワ</t>
    </rPh>
    <rPh sb="6" eb="7">
      <t>ネン</t>
    </rPh>
    <rPh sb="9" eb="10">
      <t>ガツ</t>
    </rPh>
    <rPh sb="11" eb="12">
      <t>ニチ</t>
    </rPh>
    <phoneticPr fontId="16"/>
  </si>
  <si>
    <t>５００</t>
    <phoneticPr fontId="16"/>
  </si>
  <si>
    <t>５７０</t>
    <phoneticPr fontId="16"/>
  </si>
  <si>
    <t>６３０</t>
    <phoneticPr fontId="16"/>
  </si>
  <si>
    <t>7</t>
    <phoneticPr fontId="16"/>
  </si>
  <si>
    <t>小久保　幾生</t>
    <rPh sb="0" eb="3">
      <t>コクボ</t>
    </rPh>
    <rPh sb="4" eb="6">
      <t>イクオ</t>
    </rPh>
    <phoneticPr fontId="16"/>
  </si>
  <si>
    <t>R7</t>
    <phoneticPr fontId="16"/>
  </si>
  <si>
    <t>管理者　小久保　幾生</t>
    <rPh sb="0" eb="3">
      <t>カンリシャ</t>
    </rPh>
    <rPh sb="4" eb="7">
      <t>コクボ</t>
    </rPh>
    <rPh sb="8" eb="10">
      <t>イクオ</t>
    </rPh>
    <phoneticPr fontId="16"/>
  </si>
  <si>
    <t>（契約開始予定日）</t>
    <rPh sb="1" eb="3">
      <t>ケイヤク</t>
    </rPh>
    <phoneticPr fontId="16"/>
  </si>
  <si>
    <t>科学的介護推進体制加算</t>
    <phoneticPr fontId="16"/>
  </si>
  <si>
    <t>　　　　令和　7　年　　5　月 　28　日現在</t>
    <rPh sb="4" eb="6">
      <t>レイワ</t>
    </rPh>
    <rPh sb="9" eb="10">
      <t>ネン</t>
    </rPh>
    <rPh sb="14" eb="15">
      <t>ガツ</t>
    </rPh>
    <rPh sb="20" eb="21">
      <t>ニチ</t>
    </rPh>
    <rPh sb="21" eb="23">
      <t>ゲンザイ</t>
    </rPh>
    <phoneticPr fontId="12"/>
  </si>
  <si>
    <t>口腔機能向上加算（Ⅰ）</t>
    <phoneticPr fontId="16"/>
  </si>
  <si>
    <t>保険外入浴</t>
    <rPh sb="0" eb="3">
      <t>ホケンガイ</t>
    </rPh>
    <rPh sb="3" eb="5">
      <t>ニュウヨク</t>
    </rPh>
    <phoneticPr fontId="16"/>
  </si>
  <si>
    <t>　　　　　カトウ　　　　　　　シンイチ</t>
    <phoneticPr fontId="16"/>
  </si>
  <si>
    <t>令和 7 年 6 月3 日</t>
    <rPh sb="0" eb="2">
      <t>レイワ</t>
    </rPh>
    <phoneticPr fontId="16"/>
  </si>
  <si>
    <t>年　6　月　3　日</t>
    <phoneticPr fontId="16"/>
  </si>
  <si>
    <r>
      <rPr>
        <u/>
        <sz val="12"/>
        <rFont val="ＭＳ 明朝"/>
        <family val="1"/>
        <charset val="128"/>
      </rPr>
      <t>令和　7　年　 6  月　3  日</t>
    </r>
    <r>
      <rPr>
        <sz val="12"/>
        <rFont val="ＭＳ 明朝"/>
        <family val="1"/>
        <charset val="128"/>
      </rPr>
      <t>（利用開始予定日）</t>
    </r>
    <rPh sb="0" eb="2">
      <t>レイワ</t>
    </rPh>
    <phoneticPr fontId="16"/>
  </si>
  <si>
    <t>年　 6　月　 3　日</t>
    <phoneticPr fontId="16"/>
  </si>
  <si>
    <t>年　 6　月　3　日</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</si>
</sst>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6" formatCode="&quot;¥&quot;#,##0;[Red]&quot;¥&quot;\-#,##0"/>
    <numFmt numFmtId="176" formatCode="0_ "/>
    <numFmt numFmtId="177" formatCode="0_);[Red]\(0\)"/>
    <numFmt numFmtId="178" formatCode="0.00_ "/>
    <numFmt numFmtId="179" formatCode="0&quot;円&quot;"/>
    <numFmt numFmtId="180" formatCode="@&quot;単&quot;&quot;位&quot;"/>
    <numFmt numFmtId="181" formatCode="[$-F400]h:mm:ss\ AM/PM"/>
    <numFmt numFmtId="182" formatCode="@&quot;円&quot;"/>
    <numFmt numFmtId="183" formatCode="@\ &quot;殿&quot;"/>
    <numFmt numFmtId="184" formatCode="0&quot;単&quot;&quot;位&quot;"/>
    <numFmt numFmtId="185" formatCode="[$-411]ggge&quot;年&quot;m&quot;月&quot;d&quot;日&quot;;@"/>
    <numFmt numFmtId="186" formatCode="0;&quot;▲ &quot;0"/>
    <numFmt numFmtId="187" formatCode="\▲@&quot;単&quot;&quot;位&quot;"/>
    <numFmt numFmtId="188" formatCode="\▲@&quot;円&quot;"/>
    <numFmt numFmtId="189" formatCode="\(aaa\)"/>
    <numFmt numFmtId="190" formatCode="\(0.00\)"/>
    <numFmt numFmtId="191" formatCode="#,##0_);[Red]\(#,##0\)"/>
    <numFmt numFmtId="192" formatCode="#,##0&quot;円&quot;"/>
    <numFmt numFmtId="193" formatCode="\▲#,##0&quot;円&quot;"/>
  </numFmts>
  <fonts count="182">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メイリオ"/>
      <family val="2"/>
      <charset val="128"/>
    </font>
    <font>
      <sz val="11"/>
      <name val="ＭＳ ゴシック"/>
      <family val="3"/>
      <charset val="128"/>
    </font>
    <font>
      <sz val="6"/>
      <name val="ＭＳ Ｐゴシック"/>
      <family val="3"/>
      <charset val="128"/>
    </font>
    <font>
      <sz val="11"/>
      <name val="ＭＳ Ｐゴシック"/>
      <family val="3"/>
      <charset val="128"/>
    </font>
    <font>
      <u/>
      <sz val="11"/>
      <name val="ＭＳ Ｐゴシック"/>
      <family val="3"/>
      <charset val="128"/>
    </font>
    <font>
      <sz val="10"/>
      <color indexed="10"/>
      <name val="ＭＳ Ｐゴシック"/>
      <family val="3"/>
      <charset val="128"/>
    </font>
    <font>
      <sz val="6"/>
      <name val="ＭＳ ゴシック"/>
      <family val="3"/>
      <charset val="128"/>
    </font>
    <font>
      <sz val="12"/>
      <name val="ＭＳ 明朝"/>
      <family val="1"/>
      <charset val="128"/>
    </font>
    <font>
      <sz val="10"/>
      <name val="ＭＳ 明朝"/>
      <family val="1"/>
      <charset val="128"/>
    </font>
    <font>
      <sz val="10.5"/>
      <name val="Century"/>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b/>
      <sz val="16"/>
      <name val="ＭＳ 明朝"/>
      <family val="1"/>
      <charset val="128"/>
    </font>
    <font>
      <sz val="11"/>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1"/>
      <color theme="1"/>
      <name val="ＭＳ Ｐゴシック"/>
      <family val="3"/>
      <charset val="128"/>
      <scheme val="minor"/>
    </font>
    <font>
      <sz val="10"/>
      <name val="メイリオ"/>
      <family val="3"/>
      <charset val="128"/>
    </font>
    <font>
      <b/>
      <sz val="9"/>
      <color indexed="81"/>
      <name val="ＭＳ Ｐゴシック"/>
      <family val="3"/>
      <charset val="128"/>
    </font>
    <font>
      <sz val="10"/>
      <color indexed="8"/>
      <name val="メイリオ"/>
      <family val="3"/>
      <charset val="128"/>
    </font>
    <font>
      <b/>
      <sz val="10"/>
      <name val="メイリオ"/>
      <family val="3"/>
      <charset val="128"/>
    </font>
    <font>
      <b/>
      <u/>
      <sz val="10"/>
      <color rgb="FFFF0000"/>
      <name val="メイリオ"/>
      <family val="3"/>
      <charset val="128"/>
    </font>
    <font>
      <sz val="8"/>
      <name val="メイリオ"/>
      <family val="3"/>
      <charset val="128"/>
    </font>
    <font>
      <sz val="6"/>
      <name val="ＭＳ 明朝"/>
      <family val="1"/>
      <charset val="128"/>
    </font>
    <font>
      <sz val="6"/>
      <name val="メイリオ"/>
      <family val="2"/>
      <charset val="128"/>
    </font>
    <font>
      <sz val="11"/>
      <color theme="1"/>
      <name val="ＭＳ Ｐゴシック"/>
      <family val="2"/>
      <charset val="128"/>
      <scheme val="minor"/>
    </font>
    <font>
      <sz val="6"/>
      <name val="ＭＳ Ｐゴシック"/>
      <family val="2"/>
      <charset val="128"/>
      <scheme val="minor"/>
    </font>
    <font>
      <b/>
      <sz val="16"/>
      <color theme="1"/>
      <name val="ＭＳ 明朝"/>
      <family val="1"/>
      <charset val="128"/>
    </font>
    <font>
      <sz val="16"/>
      <color theme="1"/>
      <name val="ＭＳ 明朝"/>
      <family val="1"/>
      <charset val="128"/>
    </font>
    <font>
      <sz val="12"/>
      <color theme="1"/>
      <name val="ＭＳ 明朝"/>
      <family val="1"/>
      <charset val="128"/>
    </font>
    <font>
      <b/>
      <sz val="12"/>
      <color theme="1"/>
      <name val="ＭＳ 明朝"/>
      <family val="1"/>
      <charset val="128"/>
    </font>
    <font>
      <b/>
      <sz val="20"/>
      <color theme="1"/>
      <name val="ＭＳ 明朝"/>
      <family val="1"/>
      <charset val="128"/>
    </font>
    <font>
      <sz val="12"/>
      <color indexed="8"/>
      <name val="ＭＳ 明朝"/>
      <family val="1"/>
      <charset val="128"/>
    </font>
    <font>
      <sz val="10"/>
      <color theme="1" tint="0.499984740745262"/>
      <name val="ＭＳ 明朝"/>
      <family val="1"/>
      <charset val="128"/>
    </font>
    <font>
      <b/>
      <sz val="14"/>
      <name val="ＭＳ 明朝"/>
      <family val="1"/>
      <charset val="128"/>
    </font>
    <font>
      <b/>
      <sz val="24"/>
      <color theme="0"/>
      <name val="ＭＳ 明朝"/>
      <family val="1"/>
      <charset val="128"/>
    </font>
    <font>
      <b/>
      <sz val="11"/>
      <color theme="0"/>
      <name val="ＭＳ 明朝"/>
      <family val="1"/>
      <charset val="128"/>
    </font>
    <font>
      <u/>
      <sz val="12"/>
      <name val="ＭＳ 明朝"/>
      <family val="1"/>
      <charset val="128"/>
    </font>
    <font>
      <b/>
      <sz val="36"/>
      <name val="ＭＳ 明朝"/>
      <family val="1"/>
      <charset val="128"/>
    </font>
    <font>
      <sz val="11"/>
      <color indexed="8"/>
      <name val="ＭＳ 明朝"/>
      <family val="1"/>
      <charset val="128"/>
    </font>
    <font>
      <b/>
      <sz val="11"/>
      <name val="ＭＳ Ｐゴシック"/>
      <family val="3"/>
      <charset val="128"/>
      <scheme val="minor"/>
    </font>
    <font>
      <b/>
      <sz val="18"/>
      <name val="ＭＳ 明朝"/>
      <family val="1"/>
      <charset val="128"/>
    </font>
    <font>
      <sz val="18"/>
      <name val="ＭＳ 明朝"/>
      <family val="1"/>
      <charset val="128"/>
    </font>
    <font>
      <b/>
      <sz val="20"/>
      <name val="ＭＳ 明朝"/>
      <family val="1"/>
      <charset val="128"/>
    </font>
    <font>
      <sz val="14"/>
      <name val="ＭＳ 明朝"/>
      <family val="1"/>
      <charset val="128"/>
    </font>
    <font>
      <b/>
      <sz val="10"/>
      <name val="ＭＳ 明朝"/>
      <family val="1"/>
      <charset val="128"/>
    </font>
    <font>
      <b/>
      <sz val="10"/>
      <color rgb="FFFF0000"/>
      <name val="ＭＳ 明朝"/>
      <family val="1"/>
      <charset val="128"/>
    </font>
    <font>
      <sz val="9"/>
      <name val="ＭＳ 明朝"/>
      <family val="1"/>
      <charset val="128"/>
    </font>
    <font>
      <b/>
      <sz val="9"/>
      <name val="ＭＳ 明朝"/>
      <family val="1"/>
      <charset val="128"/>
    </font>
    <font>
      <b/>
      <sz val="26"/>
      <name val="ＭＳ 明朝"/>
      <family val="1"/>
      <charset val="128"/>
    </font>
    <font>
      <b/>
      <sz val="20"/>
      <color indexed="9"/>
      <name val="ＭＳ 明朝"/>
      <family val="1"/>
      <charset val="128"/>
    </font>
    <font>
      <sz val="12"/>
      <color indexed="9"/>
      <name val="ＭＳ 明朝"/>
      <family val="1"/>
      <charset val="128"/>
    </font>
    <font>
      <b/>
      <i/>
      <sz val="12"/>
      <name val="ＭＳ 明朝"/>
      <family val="1"/>
      <charset val="128"/>
    </font>
    <font>
      <sz val="8"/>
      <name val="ＭＳ 明朝"/>
      <family val="1"/>
      <charset val="128"/>
    </font>
    <font>
      <sz val="16"/>
      <color rgb="FFFF0000"/>
      <name val="ＭＳ 明朝"/>
      <family val="1"/>
      <charset val="128"/>
    </font>
    <font>
      <sz val="10"/>
      <color indexed="8"/>
      <name val="ＭＳ 明朝"/>
      <family val="1"/>
      <charset val="128"/>
    </font>
    <font>
      <sz val="11"/>
      <color theme="1"/>
      <name val="ＭＳ 明朝"/>
      <family val="1"/>
      <charset val="128"/>
    </font>
    <font>
      <b/>
      <sz val="12"/>
      <name val="メイリオ"/>
      <family val="3"/>
      <charset val="128"/>
    </font>
    <font>
      <sz val="11"/>
      <name val="ＭＳ Ｐ明朝"/>
      <family val="1"/>
      <charset val="128"/>
    </font>
    <font>
      <b/>
      <sz val="18"/>
      <name val="ＭＳ Ｐ明朝"/>
      <family val="1"/>
      <charset val="128"/>
    </font>
    <font>
      <b/>
      <sz val="14"/>
      <name val="ＭＳ Ｐ明朝"/>
      <family val="1"/>
      <charset val="128"/>
    </font>
    <font>
      <b/>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30"/>
      <name val="ＭＳ Ｐ明朝"/>
      <family val="1"/>
      <charset val="128"/>
    </font>
    <font>
      <b/>
      <sz val="24"/>
      <name val="ＭＳ Ｐ明朝"/>
      <family val="1"/>
      <charset val="128"/>
    </font>
    <font>
      <b/>
      <sz val="22"/>
      <name val="ＭＳ 明朝"/>
      <family val="1"/>
      <charset val="128"/>
    </font>
    <font>
      <sz val="12"/>
      <color theme="0"/>
      <name val="ＭＳ 明朝"/>
      <family val="1"/>
      <charset val="128"/>
    </font>
    <font>
      <b/>
      <i/>
      <sz val="14"/>
      <name val="ＭＳ 明朝"/>
      <family val="1"/>
      <charset val="128"/>
    </font>
    <font>
      <sz val="20"/>
      <color indexed="9"/>
      <name val="ＭＳ 明朝"/>
      <family val="1"/>
      <charset val="128"/>
    </font>
    <font>
      <sz val="20"/>
      <color theme="1"/>
      <name val="ＭＳ 明朝"/>
      <family val="1"/>
      <charset val="128"/>
    </font>
    <font>
      <b/>
      <sz val="12"/>
      <color indexed="8"/>
      <name val="ＭＳ 明朝"/>
      <family val="1"/>
      <charset val="128"/>
    </font>
    <font>
      <sz val="13"/>
      <name val="ＭＳ 明朝"/>
      <family val="1"/>
      <charset val="128"/>
    </font>
    <font>
      <sz val="12"/>
      <color rgb="FFFF0000"/>
      <name val="ＭＳ 明朝"/>
      <family val="1"/>
      <charset val="128"/>
    </font>
    <font>
      <sz val="10"/>
      <color rgb="FFFF0000"/>
      <name val="ＭＳ 明朝"/>
      <family val="1"/>
      <charset val="128"/>
    </font>
    <font>
      <strike/>
      <sz val="12"/>
      <name val="ＭＳ 明朝"/>
      <family val="1"/>
      <charset val="128"/>
    </font>
    <font>
      <sz val="22"/>
      <name val="ＭＳ Ｐ明朝"/>
      <family val="1"/>
      <charset val="128"/>
    </font>
    <font>
      <sz val="26"/>
      <name val="ＭＳ Ｐ明朝"/>
      <family val="1"/>
      <charset val="128"/>
    </font>
    <font>
      <sz val="10"/>
      <color theme="0" tint="-0.14999847407452621"/>
      <name val="メイリオ"/>
      <family val="3"/>
      <charset val="128"/>
    </font>
    <font>
      <sz val="11"/>
      <color rgb="FFFF0000"/>
      <name val="ＭＳ 明朝"/>
      <family val="1"/>
      <charset val="128"/>
    </font>
    <font>
      <b/>
      <sz val="14"/>
      <color theme="1"/>
      <name val="游ゴシック"/>
      <family val="3"/>
      <charset val="128"/>
    </font>
    <font>
      <sz val="11"/>
      <color theme="1"/>
      <name val="游ゴシック"/>
      <family val="3"/>
      <charset val="128"/>
    </font>
    <font>
      <b/>
      <sz val="11"/>
      <color theme="0"/>
      <name val="游ゴシック"/>
      <family val="3"/>
      <charset val="128"/>
    </font>
    <font>
      <sz val="11"/>
      <name val="游ゴシック"/>
      <family val="3"/>
      <charset val="128"/>
    </font>
    <font>
      <b/>
      <sz val="12"/>
      <color theme="1"/>
      <name val="游ゴシック"/>
      <family val="3"/>
      <charset val="128"/>
    </font>
    <font>
      <sz val="9"/>
      <color indexed="81"/>
      <name val="MS P ゴシック"/>
      <family val="3"/>
      <charset val="128"/>
    </font>
    <font>
      <b/>
      <sz val="16"/>
      <color theme="1"/>
      <name val="ＭＳ Ｐゴシック"/>
      <family val="3"/>
      <charset val="128"/>
      <scheme val="minor"/>
    </font>
    <font>
      <sz val="18"/>
      <color theme="3"/>
      <name val="ＭＳ Ｐゴシック"/>
      <family val="2"/>
      <charset val="128"/>
      <scheme val="major"/>
    </font>
    <font>
      <sz val="12"/>
      <color theme="1"/>
      <name val="游ゴシック"/>
      <family val="3"/>
      <charset val="128"/>
    </font>
    <font>
      <b/>
      <sz val="20"/>
      <color theme="0"/>
      <name val="游ゴシック"/>
      <family val="3"/>
      <charset val="128"/>
    </font>
    <font>
      <b/>
      <sz val="14"/>
      <color theme="0"/>
      <name val="游ゴシック"/>
      <family val="3"/>
      <charset val="128"/>
    </font>
    <font>
      <sz val="10"/>
      <color theme="1"/>
      <name val="游ゴシック"/>
      <family val="3"/>
      <charset val="128"/>
    </font>
    <font>
      <b/>
      <sz val="8"/>
      <color theme="1"/>
      <name val="游ゴシック"/>
      <family val="3"/>
      <charset val="128"/>
    </font>
    <font>
      <sz val="20"/>
      <color theme="1"/>
      <name val="游ゴシック"/>
      <family val="3"/>
      <charset val="128"/>
    </font>
    <font>
      <b/>
      <sz val="11"/>
      <color theme="1"/>
      <name val="游ゴシック"/>
      <family val="3"/>
      <charset val="128"/>
    </font>
    <font>
      <b/>
      <sz val="6"/>
      <color theme="1"/>
      <name val="游ゴシック"/>
      <family val="3"/>
      <charset val="128"/>
    </font>
    <font>
      <b/>
      <sz val="11"/>
      <name val="游ゴシック"/>
      <family val="3"/>
      <charset val="128"/>
    </font>
    <font>
      <sz val="11"/>
      <color rgb="FF3F3F76"/>
      <name val="ＭＳ Ｐゴシック"/>
      <family val="2"/>
      <charset val="128"/>
      <scheme val="minor"/>
    </font>
    <font>
      <b/>
      <sz val="16"/>
      <color theme="1"/>
      <name val="游ゴシック"/>
      <family val="3"/>
      <charset val="128"/>
    </font>
    <font>
      <sz val="9"/>
      <color theme="1"/>
      <name val="游ゴシック"/>
      <family val="3"/>
      <charset val="128"/>
    </font>
    <font>
      <b/>
      <sz val="11"/>
      <color indexed="9"/>
      <name val="游ゴシック"/>
      <family val="3"/>
      <charset val="128"/>
    </font>
    <font>
      <sz val="12"/>
      <color indexed="8"/>
      <name val="游ゴシック"/>
      <family val="3"/>
      <charset val="128"/>
    </font>
    <font>
      <sz val="10"/>
      <color theme="1" tint="0.499984740745262"/>
      <name val="游ゴシック"/>
      <family val="3"/>
      <charset val="128"/>
    </font>
    <font>
      <b/>
      <sz val="12"/>
      <name val="ＭＳ ゴシック"/>
      <family val="3"/>
      <charset val="128"/>
    </font>
    <font>
      <sz val="12"/>
      <name val="ＭＳ ゴシック"/>
      <family val="3"/>
      <charset val="128"/>
    </font>
    <font>
      <sz val="10"/>
      <name val="ＭＳ ゴシック"/>
      <family val="3"/>
      <charset val="128"/>
    </font>
    <font>
      <sz val="12"/>
      <color rgb="FFFF0000"/>
      <name val="ＭＳ ゴシック"/>
      <family val="3"/>
      <charset val="128"/>
    </font>
    <font>
      <sz val="11"/>
      <color indexed="8"/>
      <name val="ＭＳ ゴシック"/>
      <family val="3"/>
      <charset val="128"/>
    </font>
    <font>
      <sz val="12"/>
      <color indexed="8"/>
      <name val="ＭＳ ゴシック"/>
      <family val="3"/>
      <charset val="128"/>
    </font>
    <font>
      <sz val="8"/>
      <name val="ＭＳ ゴシック"/>
      <family val="3"/>
      <charset val="128"/>
    </font>
    <font>
      <sz val="11"/>
      <color rgb="FFFF0000"/>
      <name val="ＭＳ ゴシック"/>
      <family val="3"/>
      <charset val="128"/>
    </font>
    <font>
      <sz val="8"/>
      <color indexed="8"/>
      <name val="ＭＳ ゴシック"/>
      <family val="3"/>
      <charset val="128"/>
    </font>
    <font>
      <sz val="16"/>
      <color indexed="8"/>
      <name val="ＭＳ ゴシック"/>
      <family val="3"/>
      <charset val="128"/>
    </font>
    <font>
      <sz val="16"/>
      <name val="ＭＳ ゴシック"/>
      <family val="3"/>
      <charset val="128"/>
    </font>
    <font>
      <sz val="12"/>
      <color indexed="8"/>
      <name val="ＭＳ Ｐゴシック"/>
      <family val="3"/>
      <charset val="128"/>
      <scheme val="minor"/>
    </font>
    <font>
      <sz val="12"/>
      <name val="ＭＳ Ｐゴシック"/>
      <family val="3"/>
      <charset val="128"/>
      <scheme val="minor"/>
    </font>
    <font>
      <sz val="8"/>
      <color theme="1"/>
      <name val="游ゴシック"/>
      <family val="3"/>
      <charset val="128"/>
    </font>
    <font>
      <sz val="22"/>
      <color theme="1"/>
      <name val="游ゴシック"/>
      <family val="3"/>
      <charset val="128"/>
    </font>
    <font>
      <sz val="11"/>
      <color rgb="FFFF0000"/>
      <name val="ＭＳ Ｐ明朝"/>
      <family val="1"/>
      <charset val="128"/>
    </font>
    <font>
      <sz val="11"/>
      <color rgb="FFFF0000"/>
      <name val="游ゴシック"/>
      <family val="3"/>
      <charset val="128"/>
    </font>
    <font>
      <sz val="12"/>
      <name val="HGPｺﾞｼｯｸM"/>
      <family val="3"/>
      <charset val="128"/>
    </font>
    <font>
      <sz val="12"/>
      <color rgb="FFFF0000"/>
      <name val="HGPｺﾞｼｯｸM"/>
      <family val="3"/>
      <charset val="128"/>
    </font>
    <font>
      <sz val="10"/>
      <name val="ＭＳ Ｐゴシック"/>
      <family val="3"/>
      <charset val="128"/>
    </font>
    <font>
      <sz val="10"/>
      <color rgb="FFFF0000"/>
      <name val="ＭＳ Ｐゴシック"/>
      <family val="3"/>
      <charset val="128"/>
    </font>
    <font>
      <sz val="10"/>
      <color indexed="8"/>
      <name val="ＭＳ Ｐゴシック"/>
      <family val="3"/>
      <charset val="128"/>
    </font>
    <font>
      <sz val="12"/>
      <color rgb="FFFF0000"/>
      <name val="ＭＳ Ｐゴシック"/>
      <family val="3"/>
      <charset val="128"/>
      <scheme val="minor"/>
    </font>
    <font>
      <sz val="12"/>
      <color theme="1"/>
      <name val="ＭＳ Ｐゴシック"/>
      <family val="3"/>
      <charset val="128"/>
      <scheme val="minor"/>
    </font>
    <font>
      <b/>
      <sz val="12"/>
      <color rgb="FFFF0000"/>
      <name val="ＭＳ 明朝"/>
      <family val="1"/>
      <charset val="128"/>
    </font>
    <font>
      <sz val="12"/>
      <name val="ＭＳ Ｐゴシック"/>
      <family val="3"/>
      <charset val="128"/>
    </font>
    <font>
      <sz val="10"/>
      <color theme="1"/>
      <name val="ＭＳ 明朝"/>
      <family val="1"/>
      <charset val="128"/>
    </font>
    <font>
      <sz val="11"/>
      <name val="ＭＳ Ｐゴシック"/>
      <family val="3"/>
      <charset val="128"/>
      <scheme val="minor"/>
    </font>
    <font>
      <b/>
      <sz val="10"/>
      <color theme="1"/>
      <name val="游ゴシック"/>
      <family val="3"/>
      <charset val="128"/>
    </font>
    <font>
      <b/>
      <sz val="12"/>
      <color theme="1"/>
      <name val="ＭＳ Ｐゴシック"/>
      <family val="3"/>
      <charset val="128"/>
      <scheme val="major"/>
    </font>
    <font>
      <sz val="12"/>
      <color theme="1"/>
      <name val="ＭＳ Ｐゴシック"/>
      <family val="3"/>
      <charset val="128"/>
      <scheme val="major"/>
    </font>
    <font>
      <b/>
      <sz val="12"/>
      <color rgb="FFFF0000"/>
      <name val="ＭＳ Ｐゴシック"/>
      <family val="3"/>
      <charset val="128"/>
      <scheme val="minor"/>
    </font>
    <font>
      <sz val="10"/>
      <name val="ＭＳ Ｐゴシック"/>
      <family val="3"/>
      <charset val="128"/>
      <scheme val="major"/>
    </font>
    <font>
      <sz val="10"/>
      <color rgb="FF66FFFF"/>
      <name val="ＭＳ Ｐゴシック"/>
      <family val="3"/>
      <charset val="128"/>
    </font>
    <font>
      <sz val="10"/>
      <color rgb="FF66FFFF"/>
      <name val="メイリオ"/>
      <family val="3"/>
      <charset val="128"/>
    </font>
    <font>
      <sz val="11"/>
      <color rgb="FFFF0000"/>
      <name val="ＭＳ Ｐゴシック"/>
      <family val="3"/>
      <charset val="128"/>
      <scheme val="minor"/>
    </font>
    <font>
      <b/>
      <sz val="11"/>
      <color rgb="FFFF0000"/>
      <name val="ＭＳ Ｐゴシック"/>
      <family val="3"/>
      <charset val="128"/>
      <scheme val="minor"/>
    </font>
    <font>
      <sz val="10"/>
      <color rgb="FFFF0000"/>
      <name val="メイリオ"/>
      <family val="3"/>
      <charset val="128"/>
    </font>
    <font>
      <b/>
      <sz val="10"/>
      <name val="ＭＳ Ｐゴシック"/>
      <family val="3"/>
      <charset val="128"/>
    </font>
    <font>
      <sz val="10"/>
      <name val="游ゴシック"/>
      <family val="3"/>
      <charset val="128"/>
    </font>
    <font>
      <b/>
      <sz val="12"/>
      <color theme="1"/>
      <name val="ＭＳ Ｐゴシック"/>
      <family val="3"/>
      <charset val="128"/>
      <scheme val="minor"/>
    </font>
    <font>
      <b/>
      <sz val="10"/>
      <color rgb="FFFF0000"/>
      <name val="メイリオ"/>
      <family val="3"/>
      <charset val="128"/>
    </font>
    <font>
      <b/>
      <sz val="9"/>
      <color rgb="FF000000"/>
      <name val="ＭＳ Ｐゴシック"/>
      <family val="2"/>
      <charset val="128"/>
    </font>
    <font>
      <sz val="9"/>
      <color rgb="FF000000"/>
      <name val="ＭＳ Ｐゴシック"/>
      <family val="2"/>
      <charset val="128"/>
    </font>
    <font>
      <sz val="9"/>
      <color rgb="FF000000"/>
      <name val="メイリオ"/>
      <family val="2"/>
      <charset val="128"/>
    </font>
    <font>
      <sz val="10"/>
      <name val="Apple Color Emoji"/>
      <family val="3"/>
    </font>
    <font>
      <sz val="6"/>
      <name val="ＭＳ Ｐゴシック"/>
      <family val="3"/>
      <charset val="128"/>
      <scheme val="minor"/>
    </font>
    <font>
      <sz val="10"/>
      <name val="メイリオ"/>
      <family val="2"/>
      <charset val="128"/>
    </font>
    <font>
      <sz val="11"/>
      <color rgb="FFFF0000"/>
      <name val="ＭＳ ゴシック"/>
      <family val="2"/>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FEF6F0"/>
        <bgColor indexed="64"/>
      </patternFill>
    </fill>
    <fill>
      <patternFill patternType="solid">
        <fgColor rgb="FFF4F2F8"/>
        <bgColor indexed="64"/>
      </patternFill>
    </fill>
    <fill>
      <patternFill patternType="solid">
        <fgColor rgb="FFCC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FEA6D"/>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C00000"/>
        <bgColor indexed="64"/>
      </patternFill>
    </fill>
    <fill>
      <patternFill patternType="solid">
        <fgColor theme="4"/>
        <bgColor indexed="13"/>
      </patternFill>
    </fill>
    <fill>
      <patternFill patternType="solid">
        <fgColor theme="9" tint="0.39997558519241921"/>
        <bgColor indexed="64"/>
      </patternFill>
    </fill>
    <fill>
      <patternFill patternType="solid">
        <fgColor rgb="FFFFFF00"/>
        <bgColor indexed="64"/>
      </patternFill>
    </fill>
    <fill>
      <patternFill patternType="solid">
        <fgColor rgb="FFFEF6F0"/>
        <bgColor rgb="FF000000"/>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right/>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slantDashDot">
        <color indexed="64"/>
      </top>
      <bottom/>
      <diagonal/>
    </border>
    <border>
      <left/>
      <right/>
      <top style="slantDashDot">
        <color indexed="64"/>
      </top>
      <bottom/>
      <diagonal/>
    </border>
    <border>
      <left/>
      <right style="thin">
        <color indexed="64"/>
      </right>
      <top style="slantDashDot">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diagonal/>
    </border>
    <border>
      <left style="thin">
        <color indexed="64"/>
      </left>
      <right/>
      <top style="double">
        <color indexed="64"/>
      </top>
      <bottom/>
      <diagonal/>
    </border>
    <border>
      <left style="thin">
        <color indexed="64"/>
      </left>
      <right/>
      <top/>
      <bottom style="slantDashDot">
        <color indexed="64"/>
      </bottom>
      <diagonal/>
    </border>
    <border>
      <left/>
      <right/>
      <top/>
      <bottom style="slantDashDot">
        <color indexed="64"/>
      </bottom>
      <diagonal/>
    </border>
    <border>
      <left/>
      <right style="thin">
        <color indexed="64"/>
      </right>
      <top/>
      <bottom style="slantDashDot">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double">
        <color indexed="64"/>
      </bottom>
      <diagonal/>
    </border>
    <border>
      <left style="hair">
        <color indexed="64"/>
      </left>
      <right/>
      <top style="double">
        <color indexed="64"/>
      </top>
      <bottom/>
      <diagonal/>
    </border>
    <border>
      <left style="hair">
        <color indexed="64"/>
      </left>
      <right/>
      <top/>
      <bottom style="slantDashDot">
        <color indexed="64"/>
      </bottom>
      <diagonal/>
    </border>
    <border>
      <left style="hair">
        <color indexed="64"/>
      </left>
      <right/>
      <top style="slantDashDot">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dotted">
        <color indexed="64"/>
      </top>
      <bottom style="dotted">
        <color indexed="64"/>
      </bottom>
      <diagonal/>
    </border>
    <border>
      <left/>
      <right/>
      <top/>
      <bottom style="dotted">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auto="1"/>
      </top>
      <bottom/>
      <diagonal/>
    </border>
    <border>
      <left/>
      <right style="thin">
        <color auto="1"/>
      </right>
      <top style="thin">
        <color auto="1"/>
      </top>
      <bottom/>
      <diagonal/>
    </border>
    <border>
      <left style="thin">
        <color indexed="64"/>
      </left>
      <right style="hair">
        <color indexed="64"/>
      </right>
      <top/>
      <bottom/>
      <diagonal/>
    </border>
    <border>
      <left style="thin">
        <color auto="1"/>
      </left>
      <right style="thin">
        <color auto="1"/>
      </right>
      <top style="thin">
        <color auto="1"/>
      </top>
      <bottom/>
      <diagonal/>
    </border>
    <border>
      <left style="medium">
        <color indexed="64"/>
      </left>
      <right style="thin">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style="thin">
        <color indexed="64"/>
      </top>
      <bottom style="dotted">
        <color indexed="64"/>
      </bottom>
      <diagonal/>
    </border>
    <border>
      <left/>
      <right style="hair">
        <color indexed="64"/>
      </right>
      <top style="thin">
        <color indexed="64"/>
      </top>
      <bottom style="thin">
        <color indexed="64"/>
      </bottom>
      <diagonal/>
    </border>
    <border>
      <left/>
      <right/>
      <top style="dotted">
        <color indexed="64"/>
      </top>
      <bottom style="thin">
        <color indexed="64"/>
      </bottom>
      <diagonal/>
    </border>
    <border>
      <left style="medium">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auto="1"/>
      </top>
      <bottom/>
      <diagonal/>
    </border>
    <border>
      <left/>
      <right style="medium">
        <color indexed="64"/>
      </right>
      <top style="thin">
        <color indexed="64"/>
      </top>
      <bottom/>
      <diagonal/>
    </border>
    <border>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
      <left style="medium">
        <color indexed="64"/>
      </left>
      <right/>
      <top style="thin">
        <color indexed="64"/>
      </top>
      <bottom/>
      <diagonal/>
    </border>
    <border>
      <left style="hair">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diagonal/>
    </border>
    <border>
      <left style="medium">
        <color rgb="FF000000"/>
      </left>
      <right/>
      <top style="medium">
        <color indexed="64"/>
      </top>
      <bottom style="medium">
        <color indexed="64"/>
      </bottom>
      <diagonal/>
    </border>
  </borders>
  <cellStyleXfs count="82">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3"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36" fillId="4" borderId="0" applyNumberFormat="0" applyBorder="0" applyAlignment="0" applyProtection="0">
      <alignment vertical="center"/>
    </xf>
    <xf numFmtId="0" fontId="42" fillId="0" borderId="0"/>
    <xf numFmtId="0" fontId="43" fillId="0" borderId="0">
      <alignment vertical="center"/>
    </xf>
    <xf numFmtId="0" fontId="13" fillId="0" borderId="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alignment vertical="center"/>
    </xf>
    <xf numFmtId="0" fontId="52" fillId="0" borderId="0">
      <alignment vertical="center"/>
    </xf>
    <xf numFmtId="0" fontId="13" fillId="0" borderId="0"/>
    <xf numFmtId="0" fontId="20" fillId="0" borderId="0">
      <alignment vertical="center"/>
    </xf>
    <xf numFmtId="0" fontId="13" fillId="0" borderId="0"/>
    <xf numFmtId="0" fontId="13" fillId="0" borderId="0">
      <alignment vertical="center"/>
    </xf>
    <xf numFmtId="0" fontId="9" fillId="0" borderId="0">
      <alignment vertical="center"/>
    </xf>
    <xf numFmtId="6" fontId="11" fillId="0" borderId="0" applyFont="0" applyFill="0" applyBorder="0" applyAlignment="0" applyProtection="0">
      <alignment vertical="center"/>
    </xf>
    <xf numFmtId="0" fontId="8" fillId="0" borderId="0">
      <alignment vertical="center"/>
    </xf>
    <xf numFmtId="0" fontId="11" fillId="0" borderId="0"/>
    <xf numFmtId="0" fontId="7" fillId="0" borderId="0">
      <alignment vertical="center"/>
    </xf>
    <xf numFmtId="0" fontId="6" fillId="0" borderId="0">
      <alignment vertical="center"/>
    </xf>
    <xf numFmtId="0" fontId="5" fillId="0" borderId="0">
      <alignment vertical="center"/>
    </xf>
    <xf numFmtId="6" fontId="13" fillId="0" borderId="0" applyFont="0" applyFill="0" applyBorder="0" applyAlignment="0" applyProtection="0">
      <alignment vertical="center"/>
    </xf>
    <xf numFmtId="0" fontId="13" fillId="22" borderId="199" applyNumberFormat="0" applyFont="0" applyAlignment="0" applyProtection="0">
      <alignment vertical="center"/>
    </xf>
    <xf numFmtId="0" fontId="27" fillId="23" borderId="200" applyNumberFormat="0" applyAlignment="0" applyProtection="0">
      <alignment vertical="center"/>
    </xf>
    <xf numFmtId="0" fontId="32" fillId="0" borderId="201" applyNumberFormat="0" applyFill="0" applyAlignment="0" applyProtection="0">
      <alignment vertical="center"/>
    </xf>
    <xf numFmtId="0" fontId="33" fillId="23" borderId="202" applyNumberFormat="0" applyAlignment="0" applyProtection="0">
      <alignment vertical="center"/>
    </xf>
    <xf numFmtId="0" fontId="35" fillId="7" borderId="200" applyNumberFormat="0" applyAlignment="0" applyProtection="0">
      <alignment vertical="center"/>
    </xf>
    <xf numFmtId="0" fontId="4" fillId="0" borderId="0">
      <alignment vertical="center"/>
    </xf>
    <xf numFmtId="0" fontId="4" fillId="0" borderId="0">
      <alignment vertical="center"/>
    </xf>
    <xf numFmtId="6" fontId="1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6" fontId="43" fillId="0" borderId="0" applyFont="0" applyFill="0" applyBorder="0" applyAlignment="0" applyProtection="0">
      <alignment vertical="center"/>
    </xf>
    <xf numFmtId="38" fontId="43" fillId="0" borderId="0" applyFont="0" applyFill="0" applyBorder="0" applyAlignment="0" applyProtection="0"/>
    <xf numFmtId="6"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2347">
    <xf numFmtId="0" fontId="0" fillId="0" borderId="0" xfId="0"/>
    <xf numFmtId="0" fontId="39" fillId="0" borderId="0" xfId="0" applyFont="1" applyAlignment="1">
      <alignment vertical="center"/>
    </xf>
    <xf numFmtId="0" fontId="17" fillId="0" borderId="0" xfId="0" applyFont="1" applyAlignment="1">
      <alignment vertical="center"/>
    </xf>
    <xf numFmtId="0" fontId="39" fillId="0" borderId="0" xfId="0" applyFont="1" applyAlignment="1">
      <alignment vertical="top"/>
    </xf>
    <xf numFmtId="0" fontId="44" fillId="0" borderId="0" xfId="0" applyFont="1" applyAlignment="1">
      <alignment vertical="center"/>
    </xf>
    <xf numFmtId="0" fontId="44" fillId="0" borderId="0" xfId="0" applyFont="1" applyAlignment="1">
      <alignment vertical="center" shrinkToFit="1"/>
    </xf>
    <xf numFmtId="0" fontId="44" fillId="0" borderId="10" xfId="0" applyFont="1" applyBorder="1" applyAlignment="1">
      <alignment vertical="center"/>
    </xf>
    <xf numFmtId="0" fontId="44" fillId="0" borderId="10" xfId="0" applyFont="1" applyBorder="1" applyAlignment="1">
      <alignment vertical="center" shrinkToFit="1"/>
    </xf>
    <xf numFmtId="0" fontId="44" fillId="28" borderId="10" xfId="0" applyFont="1" applyFill="1" applyBorder="1" applyAlignment="1">
      <alignment vertical="center" shrinkToFit="1"/>
    </xf>
    <xf numFmtId="0" fontId="44" fillId="28" borderId="10" xfId="0" applyFont="1" applyFill="1" applyBorder="1" applyAlignment="1">
      <alignment vertical="center"/>
    </xf>
    <xf numFmtId="0" fontId="44" fillId="30" borderId="10" xfId="0" applyFont="1" applyFill="1" applyBorder="1" applyAlignment="1">
      <alignment vertical="center"/>
    </xf>
    <xf numFmtId="0" fontId="44" fillId="31" borderId="10" xfId="0" applyFont="1" applyFill="1" applyBorder="1" applyAlignment="1">
      <alignment horizontal="left" vertical="center"/>
    </xf>
    <xf numFmtId="0" fontId="44" fillId="31" borderId="41" xfId="0" applyFont="1" applyFill="1" applyBorder="1" applyAlignment="1">
      <alignment horizontal="left" vertical="center"/>
    </xf>
    <xf numFmtId="0" fontId="44" fillId="31" borderId="46" xfId="0" applyFont="1" applyFill="1" applyBorder="1" applyAlignment="1">
      <alignment vertical="center"/>
    </xf>
    <xf numFmtId="0" fontId="44" fillId="30" borderId="10" xfId="0" applyFont="1" applyFill="1" applyBorder="1" applyAlignment="1">
      <alignment horizontal="left" vertical="center"/>
    </xf>
    <xf numFmtId="0" fontId="44" fillId="30" borderId="14" xfId="0" applyFont="1" applyFill="1" applyBorder="1" applyAlignment="1">
      <alignment vertical="center"/>
    </xf>
    <xf numFmtId="0" fontId="44" fillId="27" borderId="10" xfId="0" applyFont="1" applyFill="1" applyBorder="1" applyAlignment="1">
      <alignment vertical="center" shrinkToFit="1"/>
    </xf>
    <xf numFmtId="0" fontId="44" fillId="26" borderId="79" xfId="0" applyFont="1" applyFill="1" applyBorder="1" applyAlignment="1">
      <alignment vertical="center" shrinkToFit="1"/>
    </xf>
    <xf numFmtId="0" fontId="44" fillId="30" borderId="76" xfId="0" applyFont="1" applyFill="1" applyBorder="1" applyAlignment="1">
      <alignment horizontal="left" vertical="center"/>
    </xf>
    <xf numFmtId="0" fontId="44" fillId="30" borderId="77" xfId="0" applyFont="1" applyFill="1" applyBorder="1" applyAlignment="1">
      <alignment vertical="center"/>
    </xf>
    <xf numFmtId="49" fontId="44" fillId="0" borderId="0" xfId="0" applyNumberFormat="1" applyFont="1" applyAlignment="1">
      <alignment vertical="center"/>
    </xf>
    <xf numFmtId="0" fontId="39" fillId="0" borderId="0" xfId="44" applyFont="1">
      <alignment vertical="center"/>
    </xf>
    <xf numFmtId="0" fontId="39" fillId="0" borderId="0" xfId="44" applyFont="1" applyAlignment="1">
      <alignment horizontal="right" vertical="center"/>
    </xf>
    <xf numFmtId="0" fontId="56" fillId="0" borderId="0" xfId="48" applyFont="1">
      <alignment vertical="center"/>
    </xf>
    <xf numFmtId="183" fontId="56" fillId="0" borderId="0" xfId="48" applyNumberFormat="1" applyFont="1">
      <alignment vertical="center"/>
    </xf>
    <xf numFmtId="0" fontId="56" fillId="0" borderId="0" xfId="48" applyFont="1" applyAlignment="1">
      <alignment horizontal="left" vertical="center"/>
    </xf>
    <xf numFmtId="0" fontId="56" fillId="0" borderId="0" xfId="48" applyFont="1" applyAlignment="1">
      <alignment horizontal="right" vertical="center"/>
    </xf>
    <xf numFmtId="49" fontId="56" fillId="0" borderId="0" xfId="48" applyNumberFormat="1" applyFont="1">
      <alignment vertical="center"/>
    </xf>
    <xf numFmtId="0" fontId="56" fillId="0" borderId="0" xfId="47" applyFont="1" applyAlignment="1">
      <alignment horizontal="left" vertical="center"/>
    </xf>
    <xf numFmtId="0" fontId="56" fillId="0" borderId="0" xfId="47" applyFont="1" applyAlignment="1">
      <alignment horizontal="center" vertical="center"/>
    </xf>
    <xf numFmtId="0" fontId="56" fillId="0" borderId="0" xfId="47" applyFont="1">
      <alignment vertical="center"/>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vertical="top" wrapText="1"/>
    </xf>
    <xf numFmtId="49" fontId="17" fillId="0" borderId="0" xfId="0" applyNumberFormat="1" applyFont="1" applyAlignment="1">
      <alignment vertical="top" wrapText="1"/>
    </xf>
    <xf numFmtId="0" fontId="17" fillId="0" borderId="0" xfId="42" applyFont="1" applyAlignment="1">
      <alignment vertical="top"/>
    </xf>
    <xf numFmtId="0" fontId="17" fillId="0" borderId="0" xfId="42" applyFont="1" applyAlignment="1">
      <alignment horizontal="left" vertical="top"/>
    </xf>
    <xf numFmtId="49" fontId="39" fillId="0" borderId="0" xfId="0" applyNumberFormat="1" applyFont="1" applyAlignment="1">
      <alignment vertical="center"/>
    </xf>
    <xf numFmtId="0" fontId="39" fillId="0" borderId="0" xfId="0" applyFont="1" applyAlignment="1">
      <alignment horizontal="right" vertical="center"/>
    </xf>
    <xf numFmtId="0" fontId="63" fillId="0" borderId="0" xfId="0" applyFont="1" applyAlignment="1">
      <alignment vertical="center"/>
    </xf>
    <xf numFmtId="0" fontId="17" fillId="0" borderId="0" xfId="0" applyFont="1" applyAlignment="1">
      <alignment horizontal="right" vertical="top"/>
    </xf>
    <xf numFmtId="49" fontId="60" fillId="0" borderId="0" xfId="0" applyNumberFormat="1" applyFont="1" applyAlignment="1">
      <alignment vertical="top" wrapText="1"/>
    </xf>
    <xf numFmtId="0" fontId="17" fillId="0" borderId="14" xfId="0" applyFont="1" applyBorder="1" applyAlignment="1">
      <alignment vertical="top"/>
    </xf>
    <xf numFmtId="0" fontId="17" fillId="0" borderId="16" xfId="0" applyFont="1" applyBorder="1" applyAlignment="1">
      <alignment vertical="top"/>
    </xf>
    <xf numFmtId="0" fontId="17" fillId="0" borderId="16" xfId="0" applyFont="1" applyBorder="1" applyAlignment="1">
      <alignment vertical="top" wrapText="1"/>
    </xf>
    <xf numFmtId="0" fontId="17" fillId="0" borderId="23" xfId="0" applyFont="1" applyBorder="1" applyAlignment="1">
      <alignment vertical="top"/>
    </xf>
    <xf numFmtId="0" fontId="17" fillId="0" borderId="24" xfId="0" applyFont="1" applyBorder="1" applyAlignment="1">
      <alignment vertical="top"/>
    </xf>
    <xf numFmtId="0" fontId="17" fillId="0" borderId="11" xfId="0" applyFont="1" applyBorder="1" applyAlignment="1">
      <alignment vertical="top"/>
    </xf>
    <xf numFmtId="0" fontId="17" fillId="0" borderId="18" xfId="0" applyFont="1" applyBorder="1" applyAlignment="1">
      <alignment vertical="top"/>
    </xf>
    <xf numFmtId="0" fontId="17" fillId="0" borderId="0" xfId="0" applyFont="1" applyAlignment="1">
      <alignment horizontal="left" vertical="top"/>
    </xf>
    <xf numFmtId="0" fontId="17" fillId="0" borderId="0" xfId="0" applyFont="1" applyAlignment="1">
      <alignment horizontal="left" vertical="top" indent="1"/>
    </xf>
    <xf numFmtId="0" fontId="17" fillId="0" borderId="0" xfId="44" applyFont="1">
      <alignment vertical="center"/>
    </xf>
    <xf numFmtId="0" fontId="17" fillId="0" borderId="0" xfId="44" applyFont="1" applyAlignment="1">
      <alignment horizontal="center" vertical="center"/>
    </xf>
    <xf numFmtId="0" fontId="18" fillId="0" borderId="0" xfId="44" applyFont="1" applyAlignment="1">
      <alignment vertical="center" wrapText="1" shrinkToFit="1"/>
    </xf>
    <xf numFmtId="0" fontId="72" fillId="0" borderId="0" xfId="44" applyFont="1" applyAlignment="1">
      <alignment vertical="center" wrapText="1" shrinkToFit="1"/>
    </xf>
    <xf numFmtId="0" fontId="39" fillId="0" borderId="10" xfId="44" applyFont="1" applyBorder="1" applyAlignment="1">
      <alignment horizontal="center" vertical="center" shrinkToFit="1"/>
    </xf>
    <xf numFmtId="0" fontId="40" fillId="0" borderId="0" xfId="44" applyFont="1">
      <alignment vertical="center"/>
    </xf>
    <xf numFmtId="0" fontId="78" fillId="0" borderId="0" xfId="44" applyFont="1" applyAlignment="1">
      <alignment horizontal="center" vertical="center"/>
    </xf>
    <xf numFmtId="0" fontId="17" fillId="0" borderId="0" xfId="44" applyFont="1" applyAlignment="1">
      <alignment horizontal="left" vertical="center"/>
    </xf>
    <xf numFmtId="0" fontId="44" fillId="0" borderId="16" xfId="0" applyFont="1" applyBorder="1" applyAlignment="1">
      <alignment vertical="center" shrinkToFit="1"/>
    </xf>
    <xf numFmtId="0" fontId="17" fillId="34" borderId="23" xfId="44" applyFont="1" applyFill="1" applyBorder="1" applyAlignment="1">
      <alignment horizontal="right" vertical="center"/>
    </xf>
    <xf numFmtId="176" fontId="17" fillId="0" borderId="0" xfId="44" applyNumberFormat="1" applyFont="1" applyAlignment="1">
      <alignment horizontal="center" vertical="center"/>
    </xf>
    <xf numFmtId="0" fontId="79" fillId="0" borderId="0" xfId="44" applyFont="1" applyAlignment="1">
      <alignment horizontal="center" vertical="center" shrinkToFit="1"/>
    </xf>
    <xf numFmtId="0" fontId="18" fillId="0" borderId="0" xfId="0" applyFont="1" applyAlignment="1">
      <alignment vertical="center"/>
    </xf>
    <xf numFmtId="0" fontId="18" fillId="0" borderId="0" xfId="0" applyFont="1" applyAlignment="1">
      <alignment vertical="top"/>
    </xf>
    <xf numFmtId="49" fontId="18" fillId="0" borderId="0" xfId="0" applyNumberFormat="1" applyFont="1" applyAlignment="1">
      <alignment vertical="top"/>
    </xf>
    <xf numFmtId="0" fontId="18" fillId="0" borderId="14" xfId="0" applyFont="1" applyBorder="1" applyAlignment="1">
      <alignment vertical="top"/>
    </xf>
    <xf numFmtId="0" fontId="18" fillId="0" borderId="23" xfId="0" applyFont="1" applyBorder="1" applyAlignment="1">
      <alignment vertical="top"/>
    </xf>
    <xf numFmtId="0" fontId="18" fillId="0" borderId="11" xfId="0" applyFont="1" applyBorder="1" applyAlignment="1">
      <alignment vertical="top"/>
    </xf>
    <xf numFmtId="0" fontId="18" fillId="0" borderId="0" xfId="0" applyFont="1" applyAlignment="1">
      <alignment vertical="top" wrapText="1"/>
    </xf>
    <xf numFmtId="0" fontId="18" fillId="0" borderId="0" xfId="0" applyFont="1" applyAlignment="1">
      <alignment horizontal="right" vertical="top"/>
    </xf>
    <xf numFmtId="49" fontId="72" fillId="0" borderId="0" xfId="0" applyNumberFormat="1" applyFont="1" applyAlignment="1">
      <alignment vertical="top"/>
    </xf>
    <xf numFmtId="49" fontId="72" fillId="0" borderId="0" xfId="0" applyNumberFormat="1" applyFont="1" applyAlignment="1">
      <alignment vertical="top" wrapText="1"/>
    </xf>
    <xf numFmtId="49" fontId="18" fillId="0" borderId="0" xfId="0" applyNumberFormat="1" applyFont="1" applyAlignment="1">
      <alignment vertical="top" wrapText="1"/>
    </xf>
    <xf numFmtId="49" fontId="18" fillId="0" borderId="0" xfId="0" applyNumberFormat="1" applyFont="1" applyAlignment="1">
      <alignment horizontal="left" vertical="top"/>
    </xf>
    <xf numFmtId="49" fontId="18" fillId="0" borderId="0" xfId="0" applyNumberFormat="1" applyFont="1" applyAlignment="1">
      <alignment horizontal="right" vertical="top"/>
    </xf>
    <xf numFmtId="0" fontId="18" fillId="0" borderId="0" xfId="0" applyFont="1" applyAlignment="1">
      <alignment vertical="top" shrinkToFit="1"/>
    </xf>
    <xf numFmtId="49" fontId="18" fillId="0" borderId="0" xfId="0" applyNumberFormat="1" applyFont="1" applyAlignment="1">
      <alignment vertical="center"/>
    </xf>
    <xf numFmtId="0" fontId="18" fillId="0" borderId="14" xfId="0" applyFont="1" applyBorder="1" applyAlignment="1">
      <alignment vertical="center"/>
    </xf>
    <xf numFmtId="0" fontId="18" fillId="0" borderId="16"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16" xfId="0" applyFont="1" applyBorder="1" applyAlignment="1">
      <alignment vertical="center" wrapText="1"/>
    </xf>
    <xf numFmtId="49" fontId="39" fillId="0" borderId="0" xfId="0" applyNumberFormat="1" applyFont="1" applyAlignment="1">
      <alignment vertical="top"/>
    </xf>
    <xf numFmtId="49" fontId="39" fillId="0" borderId="0" xfId="0" applyNumberFormat="1" applyFont="1" applyAlignment="1">
      <alignment vertical="top" wrapText="1"/>
    </xf>
    <xf numFmtId="0" fontId="17" fillId="0" borderId="0" xfId="0" applyFont="1" applyAlignment="1">
      <alignment horizontal="right" vertical="top" wrapText="1"/>
    </xf>
    <xf numFmtId="0" fontId="56" fillId="0" borderId="0" xfId="47" applyFont="1" applyAlignment="1" applyProtection="1">
      <alignment horizontal="right" vertical="center"/>
      <protection locked="0"/>
    </xf>
    <xf numFmtId="49" fontId="44" fillId="0" borderId="10" xfId="0" applyNumberFormat="1" applyFont="1" applyBorder="1" applyAlignment="1" applyProtection="1">
      <alignment vertical="center"/>
      <protection locked="0"/>
    </xf>
    <xf numFmtId="0" fontId="44" fillId="0" borderId="45" xfId="0" applyFont="1" applyBorder="1" applyAlignment="1" applyProtection="1">
      <alignment vertical="center"/>
      <protection locked="0"/>
    </xf>
    <xf numFmtId="0" fontId="44" fillId="0" borderId="10" xfId="0" applyFont="1" applyBorder="1" applyAlignment="1" applyProtection="1">
      <alignment vertical="center"/>
      <protection locked="0"/>
    </xf>
    <xf numFmtId="0" fontId="44" fillId="0" borderId="41" xfId="0" applyFont="1" applyBorder="1" applyAlignment="1" applyProtection="1">
      <alignment vertical="center"/>
      <protection locked="0"/>
    </xf>
    <xf numFmtId="0" fontId="44" fillId="0" borderId="77" xfId="0" applyFont="1" applyBorder="1" applyAlignment="1" applyProtection="1">
      <alignment vertical="center"/>
      <protection locked="0"/>
    </xf>
    <xf numFmtId="0" fontId="44" fillId="0" borderId="50" xfId="0" applyFont="1" applyBorder="1" applyAlignment="1" applyProtection="1">
      <alignment vertical="center"/>
      <protection locked="0"/>
    </xf>
    <xf numFmtId="0" fontId="44" fillId="0" borderId="43" xfId="0" applyFont="1" applyBorder="1" applyAlignment="1" applyProtection="1">
      <alignment horizontal="left" vertical="center"/>
      <protection locked="0"/>
    </xf>
    <xf numFmtId="0" fontId="13" fillId="0" borderId="0" xfId="44">
      <alignment vertical="center"/>
    </xf>
    <xf numFmtId="0" fontId="13" fillId="0" borderId="0" xfId="44" applyAlignment="1">
      <alignment horizontal="center" vertical="center" wrapText="1"/>
    </xf>
    <xf numFmtId="0" fontId="13" fillId="0" borderId="0" xfId="44" applyAlignment="1">
      <alignment horizontal="center" vertical="center"/>
    </xf>
    <xf numFmtId="0" fontId="85" fillId="0" borderId="0" xfId="49" applyFont="1" applyAlignment="1">
      <alignment vertical="center"/>
    </xf>
    <xf numFmtId="0" fontId="85" fillId="0" borderId="35" xfId="49" applyFont="1" applyBorder="1" applyAlignment="1">
      <alignment vertical="center"/>
    </xf>
    <xf numFmtId="0" fontId="87" fillId="0" borderId="44" xfId="49" applyFont="1" applyBorder="1" applyAlignment="1">
      <alignment horizontal="center" vertical="center"/>
    </xf>
    <xf numFmtId="0" fontId="85" fillId="0" borderId="26" xfId="49" applyFont="1" applyBorder="1" applyAlignment="1">
      <alignment vertical="center"/>
    </xf>
    <xf numFmtId="0" fontId="87" fillId="0" borderId="19" xfId="49" applyFont="1" applyBorder="1" applyAlignment="1">
      <alignment horizontal="center" vertical="center"/>
    </xf>
    <xf numFmtId="0" fontId="85" fillId="0" borderId="19" xfId="49" applyFont="1" applyBorder="1" applyAlignment="1">
      <alignment vertical="center"/>
    </xf>
    <xf numFmtId="0" fontId="88" fillId="0" borderId="0" xfId="49" applyFont="1" applyAlignment="1">
      <alignment vertical="center"/>
    </xf>
    <xf numFmtId="0" fontId="85" fillId="0" borderId="19" xfId="49" applyFont="1" applyBorder="1" applyAlignment="1">
      <alignment horizontal="center" vertical="center"/>
    </xf>
    <xf numFmtId="0" fontId="85" fillId="0" borderId="0" xfId="49" applyFont="1" applyAlignment="1">
      <alignment horizontal="center" vertical="center" wrapText="1"/>
    </xf>
    <xf numFmtId="0" fontId="93" fillId="0" borderId="26" xfId="49" applyFont="1" applyBorder="1" applyAlignment="1">
      <alignment vertical="center"/>
    </xf>
    <xf numFmtId="0" fontId="93" fillId="0" borderId="0" xfId="49" applyFont="1" applyAlignment="1">
      <alignment vertical="center"/>
    </xf>
    <xf numFmtId="0" fontId="93" fillId="0" borderId="19" xfId="49" applyFont="1" applyBorder="1" applyAlignment="1">
      <alignment vertical="center"/>
    </xf>
    <xf numFmtId="0" fontId="85" fillId="0" borderId="151" xfId="49" applyFont="1" applyBorder="1" applyAlignment="1">
      <alignment vertical="center"/>
    </xf>
    <xf numFmtId="0" fontId="85" fillId="0" borderId="29" xfId="49" applyFont="1" applyBorder="1" applyAlignment="1">
      <alignment vertical="center"/>
    </xf>
    <xf numFmtId="0" fontId="85" fillId="0" borderId="37" xfId="49" applyFont="1" applyBorder="1" applyAlignment="1">
      <alignment vertical="center"/>
    </xf>
    <xf numFmtId="0" fontId="39" fillId="0" borderId="0" xfId="44" applyFont="1" applyAlignment="1">
      <alignment horizontal="left" vertical="center"/>
    </xf>
    <xf numFmtId="0" fontId="39" fillId="0" borderId="15" xfId="44" applyFont="1" applyBorder="1">
      <alignment vertical="center"/>
    </xf>
    <xf numFmtId="0" fontId="85" fillId="0" borderId="44" xfId="49" applyFont="1" applyBorder="1" applyAlignment="1" applyProtection="1">
      <alignment horizontal="center"/>
      <protection locked="0"/>
    </xf>
    <xf numFmtId="0" fontId="85" fillId="0" borderId="13" xfId="49" applyFont="1" applyBorder="1" applyAlignment="1" applyProtection="1">
      <alignment horizontal="center" vertical="top"/>
      <protection locked="0"/>
    </xf>
    <xf numFmtId="0" fontId="85" fillId="0" borderId="12" xfId="49" applyFont="1" applyBorder="1" applyAlignment="1" applyProtection="1">
      <alignment vertical="center"/>
      <protection locked="0"/>
    </xf>
    <xf numFmtId="0" fontId="85" fillId="0" borderId="13" xfId="49" applyFont="1" applyBorder="1" applyAlignment="1" applyProtection="1">
      <alignment vertical="center"/>
      <protection locked="0"/>
    </xf>
    <xf numFmtId="0" fontId="17" fillId="0" borderId="0" xfId="44" applyFont="1" applyAlignment="1">
      <alignment horizontal="right" vertical="center"/>
    </xf>
    <xf numFmtId="0" fontId="17" fillId="0" borderId="77" xfId="44" applyFont="1" applyBorder="1" applyProtection="1">
      <alignment vertical="center"/>
      <protection locked="0"/>
    </xf>
    <xf numFmtId="0" fontId="17" fillId="0" borderId="0" xfId="44" applyFont="1" applyAlignment="1">
      <alignment horizontal="center" vertical="center" wrapText="1"/>
    </xf>
    <xf numFmtId="0" fontId="17" fillId="0" borderId="47" xfId="44" applyFont="1" applyBorder="1">
      <alignment vertical="center"/>
    </xf>
    <xf numFmtId="0" fontId="17" fillId="0" borderId="48" xfId="44" applyFont="1" applyBorder="1">
      <alignment vertical="center"/>
    </xf>
    <xf numFmtId="14" fontId="97" fillId="0" borderId="0" xfId="44" applyNumberFormat="1" applyFont="1">
      <alignment vertical="center"/>
    </xf>
    <xf numFmtId="0" fontId="17" fillId="0" borderId="41" xfId="44" applyFont="1" applyBorder="1" applyProtection="1">
      <alignment vertical="center"/>
      <protection locked="0"/>
    </xf>
    <xf numFmtId="0" fontId="17" fillId="0" borderId="42" xfId="44" applyFont="1" applyBorder="1" applyProtection="1">
      <alignment vertical="center"/>
      <protection locked="0"/>
    </xf>
    <xf numFmtId="0" fontId="17" fillId="0" borderId="59" xfId="44" applyFont="1" applyBorder="1" applyProtection="1">
      <alignment vertical="center"/>
      <protection locked="0"/>
    </xf>
    <xf numFmtId="0" fontId="17" fillId="0" borderId="84" xfId="44" applyFont="1" applyBorder="1" applyProtection="1">
      <alignment vertical="center"/>
      <protection locked="0"/>
    </xf>
    <xf numFmtId="0" fontId="17" fillId="0" borderId="143" xfId="44" applyFont="1" applyBorder="1" applyProtection="1">
      <alignment vertical="center"/>
      <protection locked="0"/>
    </xf>
    <xf numFmtId="0" fontId="17" fillId="0" borderId="89" xfId="44" applyFont="1" applyBorder="1" applyProtection="1">
      <alignment vertical="center"/>
      <protection locked="0"/>
    </xf>
    <xf numFmtId="0" fontId="17" fillId="0" borderId="85" xfId="44" applyFont="1" applyBorder="1" applyProtection="1">
      <alignment vertical="center"/>
      <protection locked="0"/>
    </xf>
    <xf numFmtId="0" fontId="17" fillId="0" borderId="145" xfId="44" applyFont="1" applyBorder="1" applyProtection="1">
      <alignment vertical="center"/>
      <protection locked="0"/>
    </xf>
    <xf numFmtId="0" fontId="17" fillId="0" borderId="69" xfId="44" applyFont="1" applyBorder="1" applyProtection="1">
      <alignment vertical="center"/>
      <protection locked="0"/>
    </xf>
    <xf numFmtId="0" fontId="17" fillId="0" borderId="86" xfId="44" applyFont="1" applyBorder="1" applyProtection="1">
      <alignment vertical="center"/>
      <protection locked="0"/>
    </xf>
    <xf numFmtId="0" fontId="17" fillId="0" borderId="147" xfId="44" applyFont="1" applyBorder="1" applyProtection="1">
      <alignment vertical="center"/>
      <protection locked="0"/>
    </xf>
    <xf numFmtId="0" fontId="17" fillId="0" borderId="15" xfId="44" applyFont="1" applyBorder="1" applyAlignment="1">
      <alignment horizontal="center" vertical="center"/>
    </xf>
    <xf numFmtId="0" fontId="17" fillId="0" borderId="12" xfId="44" applyFont="1" applyBorder="1">
      <alignment vertical="center"/>
    </xf>
    <xf numFmtId="0" fontId="17" fillId="33" borderId="143" xfId="44" applyFont="1" applyFill="1" applyBorder="1" applyProtection="1">
      <alignment vertical="center"/>
      <protection locked="0"/>
    </xf>
    <xf numFmtId="0" fontId="17" fillId="33" borderId="84" xfId="44" applyFont="1" applyFill="1" applyBorder="1" applyProtection="1">
      <alignment vertical="center"/>
      <protection locked="0"/>
    </xf>
    <xf numFmtId="0" fontId="17" fillId="33" borderId="142" xfId="44" applyFont="1" applyFill="1" applyBorder="1" applyProtection="1">
      <alignment vertical="center"/>
      <protection locked="0"/>
    </xf>
    <xf numFmtId="0" fontId="17" fillId="33" borderId="145" xfId="44" applyFont="1" applyFill="1" applyBorder="1" applyProtection="1">
      <alignment vertical="center"/>
      <protection locked="0"/>
    </xf>
    <xf numFmtId="0" fontId="17" fillId="33" borderId="85" xfId="44" applyFont="1" applyFill="1" applyBorder="1" applyProtection="1">
      <alignment vertical="center"/>
      <protection locked="0"/>
    </xf>
    <xf numFmtId="0" fontId="17" fillId="33" borderId="144" xfId="44" applyFont="1" applyFill="1" applyBorder="1" applyProtection="1">
      <alignment vertical="center"/>
      <protection locked="0"/>
    </xf>
    <xf numFmtId="0" fontId="17" fillId="33" borderId="147" xfId="44" applyFont="1" applyFill="1" applyBorder="1" applyProtection="1">
      <alignment vertical="center"/>
      <protection locked="0"/>
    </xf>
    <xf numFmtId="0" fontId="17" fillId="33" borderId="86" xfId="44" applyFont="1" applyFill="1" applyBorder="1" applyProtection="1">
      <alignment vertical="center"/>
      <protection locked="0"/>
    </xf>
    <xf numFmtId="0" fontId="17" fillId="33" borderId="146" xfId="44" applyFont="1" applyFill="1" applyBorder="1" applyProtection="1">
      <alignment vertical="center"/>
      <protection locked="0"/>
    </xf>
    <xf numFmtId="0" fontId="17" fillId="0" borderId="70" xfId="44" applyFont="1" applyBorder="1" applyAlignment="1" applyProtection="1">
      <alignment horizontal="center" vertical="center"/>
      <protection locked="0"/>
    </xf>
    <xf numFmtId="0" fontId="17" fillId="0" borderId="49" xfId="44" applyFont="1" applyBorder="1">
      <alignment vertical="center"/>
    </xf>
    <xf numFmtId="0" fontId="17" fillId="0" borderId="48" xfId="44" applyFont="1" applyBorder="1" applyProtection="1">
      <alignment vertical="center"/>
      <protection locked="0"/>
    </xf>
    <xf numFmtId="0" fontId="17" fillId="0" borderId="45" xfId="44" applyFont="1" applyBorder="1">
      <alignment vertical="center"/>
    </xf>
    <xf numFmtId="0" fontId="17" fillId="0" borderId="46" xfId="44" applyFont="1" applyBorder="1" applyProtection="1">
      <alignment vertical="center"/>
      <protection locked="0"/>
    </xf>
    <xf numFmtId="0" fontId="17" fillId="0" borderId="40" xfId="44" applyFont="1" applyBorder="1">
      <alignment vertical="center"/>
    </xf>
    <xf numFmtId="0" fontId="17" fillId="0" borderId="142" xfId="44" applyFont="1" applyBorder="1" applyProtection="1">
      <alignment vertical="center"/>
      <protection locked="0"/>
    </xf>
    <xf numFmtId="0" fontId="17" fillId="0" borderId="144" xfId="44" applyFont="1" applyBorder="1" applyProtection="1">
      <alignment vertical="center"/>
      <protection locked="0"/>
    </xf>
    <xf numFmtId="0" fontId="17" fillId="0" borderId="146" xfId="44" applyFont="1" applyBorder="1" applyProtection="1">
      <alignment vertical="center"/>
      <protection locked="0"/>
    </xf>
    <xf numFmtId="14" fontId="13" fillId="0" borderId="0" xfId="44" applyNumberFormat="1">
      <alignment vertical="center"/>
    </xf>
    <xf numFmtId="0" fontId="69" fillId="0" borderId="0" xfId="44" applyFont="1">
      <alignment vertical="center"/>
    </xf>
    <xf numFmtId="0" fontId="18" fillId="0" borderId="0" xfId="0" applyFont="1" applyAlignment="1">
      <alignment horizontal="center" vertical="top"/>
    </xf>
    <xf numFmtId="0" fontId="82" fillId="0" borderId="0" xfId="0" applyFont="1" applyAlignment="1">
      <alignment horizontal="distributed" vertical="center" wrapText="1"/>
    </xf>
    <xf numFmtId="0" fontId="18" fillId="0" borderId="0" xfId="0" applyFont="1" applyAlignment="1">
      <alignment horizontal="left" vertical="top"/>
    </xf>
    <xf numFmtId="0" fontId="17" fillId="0" borderId="173" xfId="0" applyFont="1" applyBorder="1" applyAlignment="1">
      <alignment vertical="top"/>
    </xf>
    <xf numFmtId="49" fontId="17" fillId="0" borderId="0" xfId="0" applyNumberFormat="1" applyFont="1" applyAlignment="1">
      <alignment horizontal="left" vertical="top"/>
    </xf>
    <xf numFmtId="49" fontId="17" fillId="0" borderId="0" xfId="0" applyNumberFormat="1" applyFont="1" applyAlignment="1">
      <alignment horizontal="right" vertical="top"/>
    </xf>
    <xf numFmtId="49" fontId="17" fillId="0" borderId="0" xfId="0" applyNumberFormat="1" applyFont="1" applyAlignment="1">
      <alignment horizontal="right" vertical="top" wrapText="1"/>
    </xf>
    <xf numFmtId="0" fontId="17" fillId="0" borderId="0" xfId="0" applyFont="1" applyAlignment="1">
      <alignment vertical="top" shrinkToFit="1"/>
    </xf>
    <xf numFmtId="0" fontId="39" fillId="0" borderId="0" xfId="0" applyFont="1" applyAlignment="1">
      <alignment vertical="top" shrinkToFit="1"/>
    </xf>
    <xf numFmtId="0" fontId="39" fillId="0" borderId="0" xfId="0" applyFont="1" applyAlignment="1">
      <alignment horizontal="right" vertical="top" shrinkToFit="1"/>
    </xf>
    <xf numFmtId="0" fontId="39" fillId="0" borderId="10" xfId="44" applyFont="1" applyBorder="1" applyAlignment="1">
      <alignment horizontal="center" vertical="center"/>
    </xf>
    <xf numFmtId="0" fontId="39" fillId="0" borderId="0" xfId="44" applyFont="1" applyAlignment="1">
      <alignment horizontal="center" vertical="center"/>
    </xf>
    <xf numFmtId="49" fontId="39" fillId="0" borderId="0" xfId="44" applyNumberFormat="1" applyFont="1" applyAlignment="1">
      <alignment horizontal="right" vertical="center"/>
    </xf>
    <xf numFmtId="0" fontId="98" fillId="0" borderId="0" xfId="44" applyFont="1" applyAlignment="1">
      <alignment horizontal="center" vertical="center" shrinkToFit="1"/>
    </xf>
    <xf numFmtId="0" fontId="56" fillId="0" borderId="0" xfId="53" applyFont="1">
      <alignment vertical="center"/>
    </xf>
    <xf numFmtId="0" fontId="56" fillId="0" borderId="0" xfId="53" applyFont="1" applyAlignment="1">
      <alignment horizontal="right" vertical="center"/>
    </xf>
    <xf numFmtId="0" fontId="57" fillId="0" borderId="0" xfId="53" applyFont="1" applyAlignment="1">
      <alignment horizontal="left" vertical="center"/>
    </xf>
    <xf numFmtId="0" fontId="57" fillId="0" borderId="0" xfId="53" applyFont="1" applyAlignment="1">
      <alignment horizontal="center" vertical="center"/>
    </xf>
    <xf numFmtId="0" fontId="56" fillId="34" borderId="0" xfId="53" applyFont="1" applyFill="1" applyAlignment="1">
      <alignment horizontal="right" vertical="center"/>
    </xf>
    <xf numFmtId="49" fontId="56" fillId="0" borderId="0" xfId="53" applyNumberFormat="1" applyFont="1">
      <alignment vertical="center"/>
    </xf>
    <xf numFmtId="49" fontId="56" fillId="0" borderId="0" xfId="53" applyNumberFormat="1" applyFont="1" applyAlignment="1">
      <alignment vertical="center" wrapText="1"/>
    </xf>
    <xf numFmtId="0" fontId="56" fillId="0" borderId="12" xfId="53" applyFont="1" applyBorder="1">
      <alignment vertical="center"/>
    </xf>
    <xf numFmtId="0" fontId="56" fillId="0" borderId="12" xfId="47" applyFont="1" applyBorder="1">
      <alignment vertical="center"/>
    </xf>
    <xf numFmtId="0" fontId="60" fillId="0" borderId="0" xfId="0" applyFont="1" applyAlignment="1">
      <alignment vertical="top" wrapText="1"/>
    </xf>
    <xf numFmtId="0" fontId="59" fillId="0" borderId="0" xfId="43" applyFont="1">
      <alignment vertical="center"/>
    </xf>
    <xf numFmtId="0" fontId="59" fillId="0" borderId="0" xfId="43" applyFont="1" applyAlignment="1">
      <alignment vertical="center" wrapText="1"/>
    </xf>
    <xf numFmtId="0" fontId="56" fillId="0" borderId="85" xfId="47" applyFont="1" applyBorder="1" applyAlignment="1">
      <alignment horizontal="left" vertical="center"/>
    </xf>
    <xf numFmtId="0" fontId="56" fillId="0" borderId="86" xfId="47" applyFont="1" applyBorder="1" applyAlignment="1">
      <alignment horizontal="center" vertical="center"/>
    </xf>
    <xf numFmtId="0" fontId="59" fillId="0" borderId="0" xfId="43" applyFont="1" applyAlignment="1">
      <alignment horizontal="justify" vertical="center" wrapText="1"/>
    </xf>
    <xf numFmtId="0" fontId="17" fillId="0" borderId="0" xfId="44" applyFont="1" applyAlignment="1">
      <alignment vertical="center" shrinkToFit="1"/>
    </xf>
    <xf numFmtId="0" fontId="17" fillId="0" borderId="24" xfId="44" applyFont="1" applyBorder="1" applyAlignment="1">
      <alignment vertical="center" shrinkToFit="1"/>
    </xf>
    <xf numFmtId="0" fontId="17" fillId="0" borderId="0" xfId="42" applyFont="1" applyAlignment="1" applyProtection="1">
      <alignment horizontal="left" vertical="top"/>
      <protection locked="0"/>
    </xf>
    <xf numFmtId="0" fontId="44" fillId="0" borderId="10" xfId="0" applyFont="1" applyBorder="1" applyAlignment="1" applyProtection="1">
      <alignment horizontal="center" vertical="center"/>
      <protection locked="0"/>
    </xf>
    <xf numFmtId="49" fontId="18" fillId="0" borderId="0" xfId="0" applyNumberFormat="1" applyFont="1" applyAlignment="1">
      <alignment horizontal="center" vertical="top"/>
    </xf>
    <xf numFmtId="0" fontId="64" fillId="0" borderId="0" xfId="44" applyFont="1" applyAlignment="1">
      <alignment horizontal="left" vertical="center"/>
    </xf>
    <xf numFmtId="0" fontId="17" fillId="0" borderId="15" xfId="44" applyFont="1" applyBorder="1" applyAlignment="1">
      <alignment horizontal="left" vertical="center" shrinkToFit="1"/>
    </xf>
    <xf numFmtId="5" fontId="101" fillId="0" borderId="0" xfId="44" applyNumberFormat="1" applyFont="1" applyAlignment="1">
      <alignment horizontal="left" vertical="center"/>
    </xf>
    <xf numFmtId="5" fontId="59" fillId="0" borderId="0" xfId="44" applyNumberFormat="1" applyFont="1" applyAlignment="1">
      <alignment horizontal="left" vertical="center"/>
    </xf>
    <xf numFmtId="0" fontId="102" fillId="0" borderId="0" xfId="44" applyFont="1" applyAlignment="1">
      <alignment horizontal="center" vertical="center"/>
    </xf>
    <xf numFmtId="0" fontId="103" fillId="0" borderId="0" xfId="0" applyFont="1" applyAlignment="1">
      <alignment vertical="top"/>
    </xf>
    <xf numFmtId="49" fontId="17" fillId="37" borderId="0" xfId="0" applyNumberFormat="1" applyFont="1" applyFill="1" applyAlignment="1">
      <alignment vertical="top"/>
    </xf>
    <xf numFmtId="49" fontId="17" fillId="0" borderId="0" xfId="0" quotePrefix="1" applyNumberFormat="1" applyFont="1" applyAlignment="1">
      <alignment vertical="top"/>
    </xf>
    <xf numFmtId="0" fontId="68" fillId="0" borderId="25" xfId="44" applyFont="1" applyBorder="1" applyAlignment="1">
      <alignment horizontal="center" vertical="center"/>
    </xf>
    <xf numFmtId="0" fontId="39" fillId="0" borderId="17" xfId="44" applyFont="1" applyBorder="1">
      <alignment vertical="center"/>
    </xf>
    <xf numFmtId="0" fontId="68" fillId="0" borderId="67" xfId="44" applyFont="1" applyBorder="1" applyAlignment="1">
      <alignment horizontal="center" vertical="center"/>
    </xf>
    <xf numFmtId="0" fontId="68" fillId="0" borderId="81" xfId="44" applyFont="1" applyBorder="1" applyAlignment="1">
      <alignment horizontal="center" vertical="center"/>
    </xf>
    <xf numFmtId="0" fontId="41" fillId="0" borderId="22" xfId="44" applyFont="1" applyBorder="1">
      <alignment vertical="center"/>
    </xf>
    <xf numFmtId="0" fontId="41" fillId="0" borderId="34" xfId="44" applyFont="1" applyBorder="1">
      <alignment vertical="center"/>
    </xf>
    <xf numFmtId="0" fontId="39" fillId="0" borderId="20" xfId="44" applyFont="1" applyBorder="1">
      <alignment vertical="center"/>
    </xf>
    <xf numFmtId="0" fontId="39" fillId="0" borderId="21" xfId="44" applyFont="1" applyBorder="1">
      <alignment vertical="center"/>
    </xf>
    <xf numFmtId="0" fontId="39" fillId="0" borderId="190" xfId="44" applyFont="1" applyBorder="1">
      <alignment vertical="center"/>
    </xf>
    <xf numFmtId="0" fontId="39" fillId="0" borderId="167" xfId="44" applyFont="1" applyBorder="1">
      <alignment vertical="center"/>
    </xf>
    <xf numFmtId="0" fontId="39" fillId="0" borderId="191" xfId="44" applyFont="1" applyBorder="1">
      <alignment vertical="center"/>
    </xf>
    <xf numFmtId="0" fontId="17" fillId="0" borderId="15" xfId="44" applyFont="1" applyBorder="1" applyAlignment="1">
      <alignment vertical="center" shrinkToFit="1"/>
    </xf>
    <xf numFmtId="0" fontId="39" fillId="0" borderId="13" xfId="44" applyFont="1" applyBorder="1" applyAlignment="1">
      <alignment horizontal="center" vertical="center" shrinkToFit="1"/>
    </xf>
    <xf numFmtId="49" fontId="18" fillId="0" borderId="0" xfId="0" applyNumberFormat="1" applyFont="1" applyAlignment="1">
      <alignment vertical="center" wrapText="1"/>
    </xf>
    <xf numFmtId="0" fontId="18" fillId="0" borderId="18" xfId="0" applyFont="1" applyBorder="1" applyAlignment="1">
      <alignment vertical="center"/>
    </xf>
    <xf numFmtId="0" fontId="17" fillId="0" borderId="172" xfId="44" applyFont="1" applyBorder="1">
      <alignment vertical="center"/>
    </xf>
    <xf numFmtId="0" fontId="17" fillId="0" borderId="0" xfId="0" applyFont="1" applyAlignment="1" applyProtection="1">
      <alignment vertical="top"/>
      <protection locked="0"/>
    </xf>
    <xf numFmtId="0" fontId="18" fillId="0" borderId="11" xfId="0" applyFont="1" applyBorder="1" applyAlignment="1">
      <alignment vertical="center"/>
    </xf>
    <xf numFmtId="0" fontId="18" fillId="0" borderId="0" xfId="0" applyFont="1" applyAlignment="1">
      <alignment vertical="center" wrapText="1"/>
    </xf>
    <xf numFmtId="0" fontId="17" fillId="0" borderId="14" xfId="44" applyFont="1" applyBorder="1" applyAlignment="1" applyProtection="1">
      <alignment horizontal="center" vertical="center" shrinkToFit="1"/>
      <protection locked="0"/>
    </xf>
    <xf numFmtId="0" fontId="17" fillId="0" borderId="14" xfId="44" applyFont="1" applyBorder="1" applyAlignment="1" applyProtection="1">
      <alignment horizontal="center" vertical="center"/>
      <protection locked="0"/>
    </xf>
    <xf numFmtId="0" fontId="17" fillId="0" borderId="15" xfId="44" applyFont="1" applyBorder="1" applyAlignment="1" applyProtection="1">
      <alignment horizontal="center" vertical="center"/>
      <protection locked="0"/>
    </xf>
    <xf numFmtId="0" fontId="17" fillId="0" borderId="15" xfId="0" applyFont="1" applyBorder="1" applyAlignment="1">
      <alignment vertical="center"/>
    </xf>
    <xf numFmtId="0" fontId="17" fillId="0" borderId="16" xfId="0" applyFont="1" applyBorder="1" applyAlignment="1">
      <alignment vertical="center"/>
    </xf>
    <xf numFmtId="0" fontId="17" fillId="0" borderId="15" xfId="44" applyFont="1" applyBorder="1">
      <alignment vertical="center"/>
    </xf>
    <xf numFmtId="0" fontId="17" fillId="0" borderId="131" xfId="44" applyFont="1" applyBorder="1" applyAlignment="1">
      <alignment vertical="top"/>
    </xf>
    <xf numFmtId="0" fontId="17" fillId="0" borderId="107" xfId="44" applyFont="1" applyBorder="1" applyAlignment="1">
      <alignment vertical="top"/>
    </xf>
    <xf numFmtId="0" fontId="17" fillId="0" borderId="132" xfId="44" applyFont="1" applyBorder="1" applyAlignment="1">
      <alignment vertical="top"/>
    </xf>
    <xf numFmtId="0" fontId="17" fillId="0" borderId="16" xfId="44" applyFont="1" applyBorder="1">
      <alignment vertical="center"/>
    </xf>
    <xf numFmtId="0" fontId="84" fillId="0" borderId="0" xfId="0" applyFont="1" applyAlignment="1">
      <alignment vertical="center"/>
    </xf>
    <xf numFmtId="0" fontId="47" fillId="0" borderId="10" xfId="0" applyFont="1" applyBorder="1" applyAlignment="1">
      <alignment vertical="center"/>
    </xf>
    <xf numFmtId="0" fontId="44" fillId="0" borderId="0" xfId="0" applyFont="1" applyAlignment="1">
      <alignment horizontal="left" vertical="center" shrinkToFit="1"/>
    </xf>
    <xf numFmtId="49" fontId="17" fillId="0" borderId="0" xfId="0" applyNumberFormat="1" applyFont="1" applyAlignment="1">
      <alignment horizontal="center" vertical="top"/>
    </xf>
    <xf numFmtId="0" fontId="17" fillId="0" borderId="0" xfId="0" applyFont="1" applyAlignment="1">
      <alignment horizontal="center" vertical="center"/>
    </xf>
    <xf numFmtId="0" fontId="85" fillId="0" borderId="0" xfId="49" applyFont="1" applyAlignment="1" applyProtection="1">
      <alignment horizontal="center" vertical="center" wrapText="1"/>
      <protection locked="0"/>
    </xf>
    <xf numFmtId="0" fontId="44" fillId="38" borderId="76" xfId="0" applyFont="1" applyFill="1" applyBorder="1" applyAlignment="1">
      <alignment horizontal="left" vertical="center"/>
    </xf>
    <xf numFmtId="177" fontId="44" fillId="0" borderId="76" xfId="0" applyNumberFormat="1" applyFont="1" applyBorder="1" applyAlignment="1" applyProtection="1">
      <alignment vertical="center"/>
      <protection locked="0"/>
    </xf>
    <xf numFmtId="0" fontId="44" fillId="38" borderId="77" xfId="0" applyFont="1" applyFill="1" applyBorder="1" applyAlignment="1">
      <alignment vertical="center"/>
    </xf>
    <xf numFmtId="0" fontId="46" fillId="28" borderId="175" xfId="0" applyFont="1" applyFill="1" applyBorder="1" applyAlignment="1">
      <alignment horizontal="left" vertical="center" shrinkToFit="1"/>
    </xf>
    <xf numFmtId="0" fontId="85" fillId="0" borderId="36" xfId="49" applyFont="1" applyBorder="1" applyAlignment="1" applyProtection="1">
      <alignment horizontal="center"/>
      <protection locked="0"/>
    </xf>
    <xf numFmtId="0" fontId="85" fillId="0" borderId="12" xfId="49" applyFont="1" applyBorder="1" applyAlignment="1" applyProtection="1">
      <alignment horizontal="center" vertical="top"/>
      <protection locked="0"/>
    </xf>
    <xf numFmtId="0" fontId="85" fillId="0" borderId="0" xfId="49" applyFont="1" applyAlignment="1">
      <alignment vertical="center" wrapText="1"/>
    </xf>
    <xf numFmtId="0" fontId="85" fillId="0" borderId="19" xfId="49" applyFont="1" applyBorder="1" applyAlignment="1">
      <alignment vertical="center" wrapText="1"/>
    </xf>
    <xf numFmtId="0" fontId="18" fillId="0" borderId="15" xfId="0" applyFont="1" applyBorder="1" applyAlignment="1">
      <alignment vertical="center"/>
    </xf>
    <xf numFmtId="49" fontId="60" fillId="0" borderId="12" xfId="0" applyNumberFormat="1" applyFont="1" applyBorder="1" applyAlignment="1">
      <alignment vertical="top" wrapText="1"/>
    </xf>
    <xf numFmtId="0" fontId="17" fillId="0" borderId="12" xfId="0" applyFont="1" applyBorder="1" applyAlignment="1">
      <alignment vertical="top"/>
    </xf>
    <xf numFmtId="0" fontId="18" fillId="0" borderId="12" xfId="0" applyFont="1" applyBorder="1" applyAlignment="1">
      <alignment vertical="top" wrapText="1"/>
    </xf>
    <xf numFmtId="0" fontId="60" fillId="0" borderId="12" xfId="0" applyFont="1" applyBorder="1" applyAlignment="1">
      <alignment vertical="top" wrapText="1"/>
    </xf>
    <xf numFmtId="49" fontId="60" fillId="0" borderId="88" xfId="0" applyNumberFormat="1" applyFont="1" applyBorder="1" applyAlignment="1">
      <alignment vertical="center" shrinkToFit="1"/>
    </xf>
    <xf numFmtId="0" fontId="39" fillId="0" borderId="0" xfId="0" applyFont="1" applyAlignment="1">
      <alignment horizontal="left" vertical="top" wrapText="1"/>
    </xf>
    <xf numFmtId="0" fontId="39" fillId="0" borderId="0" xfId="0" applyFont="1" applyAlignment="1">
      <alignment horizontal="left" vertical="top"/>
    </xf>
    <xf numFmtId="0" fontId="44" fillId="34" borderId="0" xfId="0" applyFont="1" applyFill="1" applyAlignment="1">
      <alignment vertical="center"/>
    </xf>
    <xf numFmtId="0" fontId="48" fillId="34" borderId="0" xfId="0" applyFont="1" applyFill="1" applyAlignment="1">
      <alignment horizontal="left" vertical="center" wrapText="1"/>
    </xf>
    <xf numFmtId="0" fontId="44" fillId="34" borderId="0" xfId="0" applyFont="1" applyFill="1" applyAlignment="1">
      <alignment vertical="center" shrinkToFit="1"/>
    </xf>
    <xf numFmtId="0" fontId="44" fillId="34" borderId="29" xfId="0" applyFont="1" applyFill="1" applyBorder="1" applyAlignment="1">
      <alignment vertical="center"/>
    </xf>
    <xf numFmtId="0" fontId="44" fillId="34" borderId="30" xfId="0" applyFont="1" applyFill="1" applyBorder="1" applyAlignment="1">
      <alignment vertical="center"/>
    </xf>
    <xf numFmtId="0" fontId="44" fillId="34" borderId="60" xfId="0" applyFont="1" applyFill="1" applyBorder="1" applyAlignment="1">
      <alignment vertical="center"/>
    </xf>
    <xf numFmtId="0" fontId="44" fillId="34" borderId="66" xfId="0" applyFont="1" applyFill="1" applyBorder="1" applyAlignment="1">
      <alignment vertical="center"/>
    </xf>
    <xf numFmtId="0" fontId="44" fillId="34" borderId="0" xfId="0" applyFont="1" applyFill="1" applyAlignment="1">
      <alignment horizontal="center" vertical="center" shrinkToFit="1"/>
    </xf>
    <xf numFmtId="0" fontId="46" fillId="34" borderId="0" xfId="0" applyFont="1" applyFill="1" applyAlignment="1">
      <alignment horizontal="left" vertical="center"/>
    </xf>
    <xf numFmtId="0" fontId="44" fillId="34" borderId="0" xfId="0" applyFont="1" applyFill="1" applyAlignment="1">
      <alignment horizontal="left" vertical="center"/>
    </xf>
    <xf numFmtId="0" fontId="44" fillId="34" borderId="0" xfId="0" applyFont="1" applyFill="1" applyAlignment="1">
      <alignment horizontal="center" vertical="center"/>
    </xf>
    <xf numFmtId="0" fontId="44" fillId="34" borderId="15" xfId="0" applyFont="1" applyFill="1" applyBorder="1" applyAlignment="1">
      <alignment horizontal="left" vertical="center"/>
    </xf>
    <xf numFmtId="0" fontId="44" fillId="34" borderId="15" xfId="0" applyFont="1" applyFill="1" applyBorder="1" applyAlignment="1">
      <alignment horizontal="center" vertical="center" shrinkToFit="1"/>
    </xf>
    <xf numFmtId="177" fontId="44" fillId="34" borderId="0" xfId="0" applyNumberFormat="1" applyFont="1" applyFill="1" applyAlignment="1">
      <alignment horizontal="left" vertical="center"/>
    </xf>
    <xf numFmtId="0" fontId="44" fillId="34" borderId="14" xfId="0" applyFont="1" applyFill="1" applyBorder="1" applyAlignment="1">
      <alignment horizontal="right" vertical="center" shrinkToFit="1"/>
    </xf>
    <xf numFmtId="0" fontId="44" fillId="34" borderId="76" xfId="0" applyFont="1" applyFill="1" applyBorder="1" applyAlignment="1">
      <alignment horizontal="center" vertical="center"/>
    </xf>
    <xf numFmtId="49" fontId="44" fillId="0" borderId="45" xfId="0" applyNumberFormat="1" applyFont="1" applyBorder="1" applyAlignment="1" applyProtection="1">
      <alignment horizontal="right" vertical="center" shrinkToFit="1"/>
      <protection locked="0"/>
    </xf>
    <xf numFmtId="49" fontId="44" fillId="0" borderId="46" xfId="0" applyNumberFormat="1" applyFont="1" applyBorder="1" applyAlignment="1" applyProtection="1">
      <alignment horizontal="right" vertical="center" shrinkToFit="1"/>
      <protection locked="0"/>
    </xf>
    <xf numFmtId="49" fontId="44" fillId="0" borderId="176" xfId="0" applyNumberFormat="1" applyFont="1" applyBorder="1" applyAlignment="1" applyProtection="1">
      <alignment horizontal="right" vertical="center" shrinkToFit="1"/>
      <protection locked="0"/>
    </xf>
    <xf numFmtId="49" fontId="44" fillId="0" borderId="48" xfId="0" applyNumberFormat="1" applyFont="1" applyBorder="1" applyAlignment="1" applyProtection="1">
      <alignment horizontal="right" vertical="center" shrinkToFit="1"/>
      <protection locked="0"/>
    </xf>
    <xf numFmtId="49" fontId="44" fillId="0" borderId="57" xfId="0" applyNumberFormat="1" applyFont="1" applyBorder="1" applyAlignment="1" applyProtection="1">
      <alignment horizontal="right" vertical="center" shrinkToFit="1"/>
      <protection locked="0"/>
    </xf>
    <xf numFmtId="179" fontId="44" fillId="30" borderId="10" xfId="0" applyNumberFormat="1" applyFont="1" applyFill="1" applyBorder="1" applyAlignment="1">
      <alignment horizontal="right" vertical="center" shrinkToFit="1"/>
    </xf>
    <xf numFmtId="0" fontId="46" fillId="0" borderId="78" xfId="0" applyFont="1" applyBorder="1" applyAlignment="1" applyProtection="1">
      <alignment horizontal="right" vertical="center" shrinkToFit="1"/>
      <protection locked="0"/>
    </xf>
    <xf numFmtId="0" fontId="46" fillId="0" borderId="79" xfId="0" applyFont="1" applyBorder="1" applyAlignment="1" applyProtection="1">
      <alignment horizontal="right" vertical="center" shrinkToFit="1"/>
      <protection locked="0"/>
    </xf>
    <xf numFmtId="0" fontId="46" fillId="0" borderId="80" xfId="0" applyFont="1" applyBorder="1" applyAlignment="1" applyProtection="1">
      <alignment horizontal="right" vertical="center" shrinkToFit="1"/>
      <protection locked="0"/>
    </xf>
    <xf numFmtId="177" fontId="44" fillId="0" borderId="76" xfId="0" applyNumberFormat="1" applyFont="1" applyBorder="1" applyAlignment="1">
      <alignment horizontal="right" vertical="center"/>
    </xf>
    <xf numFmtId="177" fontId="44" fillId="0" borderId="41"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49" fontId="44" fillId="0" borderId="90" xfId="0" applyNumberFormat="1" applyFont="1" applyBorder="1" applyAlignment="1" applyProtection="1">
      <alignment horizontal="right" vertical="center" shrinkToFit="1"/>
      <protection locked="0"/>
    </xf>
    <xf numFmtId="49" fontId="44" fillId="0" borderId="83" xfId="0" applyNumberFormat="1" applyFont="1" applyBorder="1" applyAlignment="1" applyProtection="1">
      <alignment horizontal="right" vertical="center" shrinkToFit="1"/>
      <protection locked="0"/>
    </xf>
    <xf numFmtId="0" fontId="109" fillId="0" borderId="0" xfId="0" applyFont="1" applyAlignment="1">
      <alignment vertical="center"/>
    </xf>
    <xf numFmtId="0" fontId="104" fillId="0" borderId="0" xfId="0" applyFont="1" applyAlignment="1">
      <alignment vertical="center"/>
    </xf>
    <xf numFmtId="0" fontId="104" fillId="0" borderId="0" xfId="0" applyFont="1" applyAlignment="1">
      <alignment vertical="top"/>
    </xf>
    <xf numFmtId="0" fontId="109" fillId="0" borderId="0" xfId="44" applyFont="1">
      <alignment vertical="center"/>
    </xf>
    <xf numFmtId="0" fontId="44" fillId="0" borderId="203" xfId="0" applyFont="1" applyBorder="1" applyAlignment="1" applyProtection="1">
      <alignment vertical="center" shrinkToFit="1"/>
      <protection locked="0"/>
    </xf>
    <xf numFmtId="178" fontId="44" fillId="30" borderId="175" xfId="0" applyNumberFormat="1" applyFont="1" applyFill="1" applyBorder="1" applyAlignment="1">
      <alignment vertical="center" shrinkToFit="1"/>
    </xf>
    <xf numFmtId="0" fontId="46" fillId="28" borderId="10" xfId="0" applyFont="1" applyFill="1" applyBorder="1" applyAlignment="1">
      <alignment vertical="center" shrinkToFit="1"/>
    </xf>
    <xf numFmtId="0" fontId="46" fillId="0" borderId="0" xfId="0" applyFont="1" applyAlignment="1">
      <alignment vertical="center" shrinkToFit="1"/>
    </xf>
    <xf numFmtId="0" fontId="44" fillId="30" borderId="10" xfId="0" applyFont="1" applyFill="1" applyBorder="1" applyAlignment="1">
      <alignment horizontal="right" vertical="center" shrinkToFit="1"/>
    </xf>
    <xf numFmtId="0" fontId="44" fillId="33" borderId="0" xfId="0" applyFont="1" applyFill="1" applyAlignment="1">
      <alignment vertical="center" shrinkToFit="1"/>
    </xf>
    <xf numFmtId="0" fontId="44" fillId="33" borderId="0" xfId="0" applyFont="1" applyFill="1" applyAlignment="1">
      <alignment vertical="center"/>
    </xf>
    <xf numFmtId="0" fontId="44" fillId="33" borderId="10" xfId="0" applyFont="1" applyFill="1" applyBorder="1" applyAlignment="1">
      <alignment vertical="center" shrinkToFit="1"/>
    </xf>
    <xf numFmtId="38" fontId="46" fillId="33" borderId="204" xfId="46" applyFont="1" applyFill="1" applyBorder="1" applyAlignment="1">
      <alignment horizontal="center" vertical="center" wrapText="1"/>
    </xf>
    <xf numFmtId="38" fontId="46" fillId="33" borderId="73" xfId="46" applyFont="1" applyFill="1" applyBorder="1" applyAlignment="1">
      <alignment horizontal="center" vertical="center" wrapText="1"/>
    </xf>
    <xf numFmtId="38" fontId="46" fillId="33" borderId="51" xfId="46" applyFont="1" applyFill="1" applyBorder="1" applyAlignment="1">
      <alignment horizontal="center" vertical="center" wrapText="1"/>
    </xf>
    <xf numFmtId="38" fontId="46" fillId="33" borderId="205" xfId="46" applyFont="1" applyFill="1" applyBorder="1" applyAlignment="1">
      <alignment horizontal="center" vertical="center" wrapText="1"/>
    </xf>
    <xf numFmtId="38" fontId="46" fillId="33" borderId="206" xfId="46" applyFont="1" applyFill="1" applyBorder="1" applyAlignment="1">
      <alignment horizontal="center" vertical="center" wrapText="1"/>
    </xf>
    <xf numFmtId="38" fontId="46" fillId="33" borderId="57" xfId="46" applyFont="1" applyFill="1" applyBorder="1" applyAlignment="1">
      <alignment horizontal="center" vertical="center" wrapText="1"/>
    </xf>
    <xf numFmtId="0" fontId="17" fillId="0" borderId="0" xfId="0" applyFont="1" applyAlignment="1">
      <alignment horizontal="center" vertical="top"/>
    </xf>
    <xf numFmtId="0" fontId="44" fillId="33" borderId="46" xfId="0" applyFont="1" applyFill="1" applyBorder="1" applyAlignment="1">
      <alignment vertical="center"/>
    </xf>
    <xf numFmtId="0" fontId="44" fillId="0" borderId="46" xfId="0" applyFont="1" applyBorder="1" applyAlignment="1">
      <alignment vertical="center"/>
    </xf>
    <xf numFmtId="0" fontId="44" fillId="0" borderId="0" xfId="0" applyFont="1" applyAlignment="1">
      <alignment horizontal="right" vertical="center" shrinkToFit="1"/>
    </xf>
    <xf numFmtId="0" fontId="46" fillId="0" borderId="0" xfId="0" applyFont="1" applyAlignment="1">
      <alignment horizontal="center" vertical="center" wrapText="1"/>
    </xf>
    <xf numFmtId="192" fontId="46" fillId="0" borderId="0" xfId="46" applyNumberFormat="1" applyFont="1" applyBorder="1" applyAlignment="1">
      <alignment horizontal="center" vertical="center" wrapText="1"/>
    </xf>
    <xf numFmtId="49" fontId="46" fillId="28" borderId="10" xfId="56" applyNumberFormat="1" applyFont="1" applyFill="1" applyBorder="1" applyAlignment="1">
      <alignment horizontal="center" vertical="center"/>
    </xf>
    <xf numFmtId="0" fontId="18" fillId="0" borderId="0" xfId="0" applyFont="1" applyAlignment="1">
      <alignment horizontal="left" vertical="top" indent="1"/>
    </xf>
    <xf numFmtId="49" fontId="18" fillId="0" borderId="0" xfId="0" applyNumberFormat="1" applyFont="1" applyAlignment="1">
      <alignment horizontal="left" vertical="center"/>
    </xf>
    <xf numFmtId="0" fontId="18" fillId="0" borderId="0" xfId="0" applyFont="1" applyAlignment="1">
      <alignment horizontal="left" vertical="center"/>
    </xf>
    <xf numFmtId="0" fontId="82" fillId="0" borderId="14" xfId="0" applyFont="1" applyBorder="1" applyAlignment="1">
      <alignment vertical="center" shrinkToFit="1"/>
    </xf>
    <xf numFmtId="0" fontId="82" fillId="0" borderId="16" xfId="0" applyFont="1" applyBorder="1" applyAlignment="1">
      <alignment vertical="center" shrinkToFit="1"/>
    </xf>
    <xf numFmtId="0" fontId="47" fillId="0" borderId="0" xfId="0" applyFont="1" applyAlignment="1">
      <alignment vertical="center"/>
    </xf>
    <xf numFmtId="0" fontId="44" fillId="40" borderId="49" xfId="0" applyFont="1" applyFill="1" applyBorder="1" applyAlignment="1">
      <alignment horizontal="center" vertical="center"/>
    </xf>
    <xf numFmtId="0" fontId="118" fillId="0" borderId="0" xfId="43" applyFont="1">
      <alignment vertical="center"/>
    </xf>
    <xf numFmtId="0" fontId="118" fillId="0" borderId="71" xfId="43" applyFont="1" applyBorder="1" applyProtection="1">
      <alignment vertical="center"/>
      <protection locked="0"/>
    </xf>
    <xf numFmtId="0" fontId="120" fillId="0" borderId="0" xfId="43" applyFont="1">
      <alignment vertical="center"/>
    </xf>
    <xf numFmtId="0" fontId="118" fillId="0" borderId="10" xfId="43" applyFont="1" applyBorder="1">
      <alignment vertical="center"/>
    </xf>
    <xf numFmtId="0" fontId="121" fillId="0" borderId="0" xfId="43" applyFont="1">
      <alignment vertical="center"/>
    </xf>
    <xf numFmtId="0" fontId="114" fillId="0" borderId="0" xfId="43" applyFont="1">
      <alignment vertical="center"/>
    </xf>
    <xf numFmtId="0" fontId="118" fillId="0" borderId="14" xfId="43" applyFont="1" applyBorder="1" applyAlignment="1" applyProtection="1">
      <alignment horizontal="right" vertical="center"/>
      <protection locked="0"/>
    </xf>
    <xf numFmtId="0" fontId="118" fillId="0" borderId="16" xfId="43" applyFont="1" applyBorder="1">
      <alignment vertical="center"/>
    </xf>
    <xf numFmtId="0" fontId="114" fillId="0" borderId="10" xfId="43" applyFont="1" applyBorder="1">
      <alignment vertical="center"/>
    </xf>
    <xf numFmtId="0" fontId="118" fillId="0" borderId="0" xfId="43" applyFont="1" applyAlignment="1">
      <alignment horizontal="right" vertical="center"/>
    </xf>
    <xf numFmtId="0" fontId="114" fillId="0" borderId="0" xfId="43" applyFont="1" applyAlignment="1">
      <alignment horizontal="right" vertical="center"/>
    </xf>
    <xf numFmtId="0" fontId="121" fillId="0" borderId="0" xfId="43" applyFont="1" applyAlignment="1"/>
    <xf numFmtId="0" fontId="118" fillId="0" borderId="10" xfId="43" applyFont="1" applyBorder="1" applyAlignment="1"/>
    <xf numFmtId="0" fontId="121" fillId="0" borderId="10" xfId="43" applyFont="1" applyBorder="1" applyAlignment="1"/>
    <xf numFmtId="0" fontId="118" fillId="0" borderId="0" xfId="43" applyFont="1" applyAlignment="1"/>
    <xf numFmtId="38" fontId="118" fillId="0" borderId="10" xfId="46" applyFont="1" applyBorder="1" applyAlignment="1" applyProtection="1"/>
    <xf numFmtId="38" fontId="118" fillId="0" borderId="162" xfId="46" applyFont="1" applyBorder="1" applyProtection="1">
      <alignment vertical="center"/>
    </xf>
    <xf numFmtId="0" fontId="118" fillId="0" borderId="162" xfId="43" applyFont="1" applyBorder="1">
      <alignment vertical="center"/>
    </xf>
    <xf numFmtId="38" fontId="118" fillId="0" borderId="27" xfId="43" applyNumberFormat="1" applyFont="1" applyBorder="1">
      <alignment vertical="center"/>
    </xf>
    <xf numFmtId="0" fontId="133" fillId="0" borderId="0" xfId="0" applyFont="1" applyAlignment="1">
      <alignment vertical="center"/>
    </xf>
    <xf numFmtId="49" fontId="134" fillId="0" borderId="0" xfId="0" applyNumberFormat="1" applyFont="1" applyAlignment="1">
      <alignment vertical="center"/>
    </xf>
    <xf numFmtId="0" fontId="134" fillId="0" borderId="0" xfId="0" applyFont="1" applyAlignment="1">
      <alignment vertical="center" wrapText="1"/>
    </xf>
    <xf numFmtId="0" fontId="134" fillId="0" borderId="0" xfId="0" applyFont="1" applyAlignment="1">
      <alignment vertical="center"/>
    </xf>
    <xf numFmtId="0" fontId="135" fillId="0" borderId="0" xfId="0" applyFont="1" applyAlignment="1">
      <alignment horizontal="right" vertical="center"/>
    </xf>
    <xf numFmtId="0" fontId="136" fillId="0" borderId="0" xfId="0" applyFont="1" applyAlignment="1">
      <alignment vertical="center"/>
    </xf>
    <xf numFmtId="49" fontId="133" fillId="0" borderId="0" xfId="0" applyNumberFormat="1" applyFont="1" applyAlignment="1">
      <alignment vertical="center"/>
    </xf>
    <xf numFmtId="0" fontId="135" fillId="0" borderId="0" xfId="0" applyFont="1" applyAlignment="1">
      <alignment vertical="center"/>
    </xf>
    <xf numFmtId="0" fontId="137" fillId="0" borderId="10" xfId="0" applyFont="1" applyBorder="1" applyAlignment="1">
      <alignment horizontal="center" vertical="center" wrapText="1"/>
    </xf>
    <xf numFmtId="2" fontId="134" fillId="0" borderId="10" xfId="0" applyNumberFormat="1" applyFont="1" applyBorder="1" applyAlignment="1">
      <alignment horizontal="center" vertical="center"/>
    </xf>
    <xf numFmtId="182" fontId="138" fillId="0" borderId="84" xfId="0" applyNumberFormat="1" applyFont="1" applyBorder="1" applyAlignment="1">
      <alignment horizontal="right" vertical="center" shrinkToFit="1"/>
    </xf>
    <xf numFmtId="182" fontId="138" fillId="0" borderId="85" xfId="0" applyNumberFormat="1" applyFont="1" applyBorder="1" applyAlignment="1">
      <alignment horizontal="right" vertical="center" shrinkToFit="1"/>
    </xf>
    <xf numFmtId="182" fontId="138" fillId="0" borderId="86" xfId="0" applyNumberFormat="1" applyFont="1" applyBorder="1" applyAlignment="1">
      <alignment horizontal="right" vertical="center" shrinkToFit="1"/>
    </xf>
    <xf numFmtId="0" fontId="134" fillId="0" borderId="15" xfId="0" applyFont="1" applyBorder="1" applyAlignment="1">
      <alignment vertical="center" shrinkToFit="1"/>
    </xf>
    <xf numFmtId="0" fontId="134" fillId="0" borderId="23" xfId="0" applyFont="1" applyBorder="1" applyAlignment="1">
      <alignment vertical="center"/>
    </xf>
    <xf numFmtId="187" fontId="134" fillId="0" borderId="10" xfId="0" applyNumberFormat="1" applyFont="1" applyBorder="1" applyAlignment="1">
      <alignment horizontal="center" vertical="center" shrinkToFit="1"/>
    </xf>
    <xf numFmtId="188" fontId="138" fillId="0" borderId="10" xfId="0" applyNumberFormat="1" applyFont="1" applyBorder="1" applyAlignment="1">
      <alignment horizontal="right" vertical="center" shrinkToFit="1"/>
    </xf>
    <xf numFmtId="0" fontId="138" fillId="0" borderId="23" xfId="0" applyFont="1" applyBorder="1" applyAlignment="1">
      <alignment vertical="center"/>
    </xf>
    <xf numFmtId="49" fontId="134" fillId="0" borderId="15" xfId="0" applyNumberFormat="1" applyFont="1" applyBorder="1" applyAlignment="1">
      <alignment vertical="center" shrinkToFit="1"/>
    </xf>
    <xf numFmtId="0" fontId="139" fillId="0" borderId="0" xfId="0" applyFont="1" applyAlignment="1">
      <alignment horizontal="right" vertical="center"/>
    </xf>
    <xf numFmtId="0" fontId="139" fillId="0" borderId="0" xfId="0" applyFont="1" applyAlignment="1">
      <alignment vertical="center"/>
    </xf>
    <xf numFmtId="49" fontId="133" fillId="0" borderId="0" xfId="0" applyNumberFormat="1" applyFont="1" applyAlignment="1">
      <alignment vertical="center" wrapText="1"/>
    </xf>
    <xf numFmtId="49" fontId="134" fillId="0" borderId="0" xfId="0" applyNumberFormat="1" applyFont="1" applyAlignment="1">
      <alignment vertical="center" wrapText="1"/>
    </xf>
    <xf numFmtId="0" fontId="0" fillId="0" borderId="0" xfId="0" applyAlignment="1">
      <alignment vertical="center"/>
    </xf>
    <xf numFmtId="49" fontId="0" fillId="0" borderId="0" xfId="0" applyNumberFormat="1" applyAlignment="1">
      <alignment vertical="center"/>
    </xf>
    <xf numFmtId="49" fontId="0" fillId="0" borderId="0" xfId="0" applyNumberFormat="1" applyAlignment="1">
      <alignment vertical="center" wrapText="1"/>
    </xf>
    <xf numFmtId="0" fontId="134" fillId="0" borderId="0" xfId="0" applyFont="1" applyAlignment="1">
      <alignment horizontal="left" vertical="center" wrapText="1"/>
    </xf>
    <xf numFmtId="0" fontId="0" fillId="0" borderId="0" xfId="0" applyAlignment="1">
      <alignment horizontal="right" vertical="center"/>
    </xf>
    <xf numFmtId="49" fontId="0" fillId="0" borderId="0" xfId="0" applyNumberFormat="1" applyAlignment="1">
      <alignment horizontal="center" vertical="center"/>
    </xf>
    <xf numFmtId="0" fontId="134" fillId="0" borderId="0" xfId="0" applyFont="1" applyAlignment="1">
      <alignment horizontal="center" vertical="center"/>
    </xf>
    <xf numFmtId="49" fontId="0" fillId="0" borderId="0" xfId="0" applyNumberFormat="1" applyAlignment="1">
      <alignment horizontal="left" vertical="center"/>
    </xf>
    <xf numFmtId="49" fontId="134" fillId="0" borderId="0" xfId="0" applyNumberFormat="1" applyFont="1" applyAlignment="1">
      <alignment horizontal="left" vertical="center"/>
    </xf>
    <xf numFmtId="49" fontId="134" fillId="0" borderId="0" xfId="0" applyNumberFormat="1" applyFont="1" applyAlignment="1">
      <alignment horizontal="left" vertical="center" wrapText="1"/>
    </xf>
    <xf numFmtId="0" fontId="140" fillId="0" borderId="0" xfId="0" applyFont="1" applyAlignment="1">
      <alignment vertical="center"/>
    </xf>
    <xf numFmtId="0" fontId="138" fillId="0" borderId="0" xfId="0" applyFont="1" applyAlignment="1">
      <alignment vertical="center"/>
    </xf>
    <xf numFmtId="0" fontId="141" fillId="0" borderId="0" xfId="0" applyFont="1" applyAlignment="1">
      <alignment vertical="center"/>
    </xf>
    <xf numFmtId="180" fontId="141" fillId="0" borderId="0" xfId="0" applyNumberFormat="1" applyFont="1" applyAlignment="1">
      <alignment vertical="center"/>
    </xf>
    <xf numFmtId="182" fontId="141" fillId="0" borderId="0" xfId="0" applyNumberFormat="1" applyFont="1" applyAlignment="1">
      <alignment vertical="center"/>
    </xf>
    <xf numFmtId="177" fontId="44" fillId="0" borderId="66" xfId="0" applyNumberFormat="1" applyFont="1" applyBorder="1" applyAlignment="1" applyProtection="1">
      <alignment vertical="center"/>
      <protection locked="0"/>
    </xf>
    <xf numFmtId="0" fontId="17" fillId="0" borderId="0" xfId="0" quotePrefix="1" applyFont="1" applyAlignment="1">
      <alignment vertical="top"/>
    </xf>
    <xf numFmtId="0" fontId="83" fillId="0" borderId="0" xfId="48" applyFont="1" applyAlignment="1">
      <alignment horizontal="right" vertical="top"/>
    </xf>
    <xf numFmtId="49" fontId="83" fillId="0" borderId="0" xfId="48" applyNumberFormat="1" applyFont="1" applyAlignment="1">
      <alignment horizontal="right" vertical="top"/>
    </xf>
    <xf numFmtId="0" fontId="83" fillId="0" borderId="0" xfId="48" applyFont="1" applyAlignment="1">
      <alignment vertical="top"/>
    </xf>
    <xf numFmtId="49" fontId="83" fillId="0" borderId="0" xfId="48" applyNumberFormat="1" applyFont="1" applyAlignment="1">
      <alignment vertical="top"/>
    </xf>
    <xf numFmtId="0" fontId="66" fillId="0" borderId="0" xfId="43" applyFont="1" applyAlignment="1">
      <alignment vertical="top"/>
    </xf>
    <xf numFmtId="0" fontId="83" fillId="0" borderId="0" xfId="47" applyFont="1" applyAlignment="1">
      <alignment horizontal="left" vertical="top"/>
    </xf>
    <xf numFmtId="183" fontId="83" fillId="0" borderId="0" xfId="48" applyNumberFormat="1" applyFont="1" applyAlignment="1">
      <alignment vertical="top"/>
    </xf>
    <xf numFmtId="0" fontId="83" fillId="0" borderId="0" xfId="48" applyFont="1" applyAlignment="1">
      <alignment horizontal="left" vertical="top"/>
    </xf>
    <xf numFmtId="0" fontId="17" fillId="0" borderId="0" xfId="0" applyFont="1" applyAlignment="1">
      <alignment horizontal="distributed" vertical="center" wrapText="1"/>
    </xf>
    <xf numFmtId="0" fontId="144" fillId="0" borderId="159" xfId="0" applyFont="1" applyBorder="1" applyAlignment="1">
      <alignment horizontal="center" vertical="center" shrinkToFit="1"/>
    </xf>
    <xf numFmtId="0" fontId="144" fillId="0" borderId="160" xfId="0" applyFont="1" applyBorder="1" applyAlignment="1">
      <alignment horizontal="center" vertical="center" shrinkToFit="1"/>
    </xf>
    <xf numFmtId="0" fontId="144" fillId="0" borderId="161" xfId="0" applyFont="1" applyBorder="1" applyAlignment="1">
      <alignment horizontal="center" vertical="center" shrinkToFit="1"/>
    </xf>
    <xf numFmtId="192" fontId="144" fillId="0" borderId="153" xfId="46" applyNumberFormat="1" applyFont="1" applyFill="1" applyBorder="1" applyAlignment="1">
      <alignment horizontal="right" vertical="center" shrinkToFit="1"/>
    </xf>
    <xf numFmtId="192" fontId="144" fillId="0" borderId="157" xfId="0" applyNumberFormat="1" applyFont="1" applyBorder="1" applyAlignment="1">
      <alignment horizontal="right" vertical="center" shrinkToFit="1"/>
    </xf>
    <xf numFmtId="192" fontId="144" fillId="0" borderId="158" xfId="0" applyNumberFormat="1" applyFont="1" applyBorder="1" applyAlignment="1">
      <alignment horizontal="right" vertical="center" shrinkToFit="1"/>
    </xf>
    <xf numFmtId="192" fontId="144" fillId="0" borderId="156" xfId="46" applyNumberFormat="1" applyFont="1" applyFill="1" applyBorder="1" applyAlignment="1">
      <alignment horizontal="right" vertical="center" shrinkToFit="1"/>
    </xf>
    <xf numFmtId="192" fontId="144" fillId="0" borderId="159" xfId="46" applyNumberFormat="1" applyFont="1" applyFill="1" applyBorder="1" applyAlignment="1">
      <alignment horizontal="right" vertical="center" shrinkToFit="1"/>
    </xf>
    <xf numFmtId="0" fontId="145" fillId="0" borderId="15" xfId="0" applyFont="1" applyBorder="1" applyAlignment="1">
      <alignment vertical="center" shrinkToFit="1"/>
    </xf>
    <xf numFmtId="193" fontId="144" fillId="0" borderId="153" xfId="46" applyNumberFormat="1" applyFont="1" applyFill="1" applyBorder="1" applyAlignment="1">
      <alignment horizontal="right" vertical="center" shrinkToFit="1"/>
    </xf>
    <xf numFmtId="193" fontId="144" fillId="0" borderId="157" xfId="0" applyNumberFormat="1" applyFont="1" applyBorder="1" applyAlignment="1">
      <alignment horizontal="right" vertical="center" shrinkToFit="1"/>
    </xf>
    <xf numFmtId="193" fontId="144" fillId="0" borderId="158" xfId="0" applyNumberFormat="1" applyFont="1" applyBorder="1" applyAlignment="1">
      <alignment horizontal="right" vertical="center" shrinkToFit="1"/>
    </xf>
    <xf numFmtId="0" fontId="44" fillId="34" borderId="10" xfId="0" applyFont="1" applyFill="1" applyBorder="1" applyAlignment="1">
      <alignment horizontal="center" vertical="center"/>
    </xf>
    <xf numFmtId="0" fontId="44" fillId="34" borderId="47" xfId="0" applyFont="1" applyFill="1" applyBorder="1" applyAlignment="1">
      <alignment horizontal="center" vertical="center"/>
    </xf>
    <xf numFmtId="0" fontId="44" fillId="34" borderId="64" xfId="0" applyFont="1" applyFill="1" applyBorder="1" applyAlignment="1">
      <alignment horizontal="center" vertical="center"/>
    </xf>
    <xf numFmtId="0" fontId="118" fillId="0" borderId="0" xfId="47" applyFont="1" applyAlignment="1">
      <alignment horizontal="right" vertical="center"/>
    </xf>
    <xf numFmtId="0" fontId="131" fillId="0" borderId="93" xfId="43" applyFont="1" applyBorder="1">
      <alignment vertical="center"/>
    </xf>
    <xf numFmtId="49" fontId="132" fillId="0" borderId="93" xfId="47" applyNumberFormat="1" applyFont="1" applyBorder="1" applyAlignment="1">
      <alignment vertical="top" wrapText="1"/>
    </xf>
    <xf numFmtId="0" fontId="111" fillId="0" borderId="0" xfId="74" applyFont="1">
      <alignment vertical="center"/>
    </xf>
    <xf numFmtId="0" fontId="111" fillId="0" borderId="10" xfId="74" applyFont="1" applyBorder="1" applyAlignment="1">
      <alignment horizontal="center" vertical="center"/>
    </xf>
    <xf numFmtId="0" fontId="111" fillId="0" borderId="14" xfId="74" applyFont="1" applyBorder="1" applyAlignment="1">
      <alignment horizontal="center" vertical="center"/>
    </xf>
    <xf numFmtId="190" fontId="111" fillId="0" borderId="16" xfId="74" applyNumberFormat="1" applyFont="1" applyBorder="1" applyAlignment="1">
      <alignment horizontal="center" vertical="center"/>
    </xf>
    <xf numFmtId="0" fontId="111" fillId="41" borderId="71" xfId="74" applyFont="1" applyFill="1" applyBorder="1">
      <alignment vertical="center"/>
    </xf>
    <xf numFmtId="0" fontId="111" fillId="0" borderId="10" xfId="74" applyFont="1" applyBorder="1">
      <alignment vertical="center"/>
    </xf>
    <xf numFmtId="0" fontId="111" fillId="0" borderId="18" xfId="74" applyFont="1" applyBorder="1">
      <alignment vertical="center"/>
    </xf>
    <xf numFmtId="6" fontId="113" fillId="0" borderId="50" xfId="78" applyFont="1" applyBorder="1" applyAlignment="1" applyProtection="1">
      <alignment horizontal="right" vertical="center"/>
    </xf>
    <xf numFmtId="0" fontId="111" fillId="0" borderId="50" xfId="74" applyFont="1" applyBorder="1">
      <alignment vertical="center"/>
    </xf>
    <xf numFmtId="6" fontId="111" fillId="0" borderId="10" xfId="54" applyFont="1" applyBorder="1" applyProtection="1">
      <alignment vertical="center"/>
    </xf>
    <xf numFmtId="6" fontId="111" fillId="0" borderId="46" xfId="54" applyFont="1" applyBorder="1" applyProtection="1">
      <alignment vertical="center"/>
    </xf>
    <xf numFmtId="0" fontId="111" fillId="0" borderId="16" xfId="74" applyFont="1" applyBorder="1" applyAlignment="1">
      <alignment vertical="center" shrinkToFit="1"/>
    </xf>
    <xf numFmtId="6" fontId="113" fillId="0" borderId="10" xfId="78" applyFont="1" applyBorder="1" applyProtection="1">
      <alignment vertical="center"/>
    </xf>
    <xf numFmtId="0" fontId="111" fillId="0" borderId="10" xfId="74" applyFont="1" applyBorder="1" applyAlignment="1">
      <alignment vertical="center" shrinkToFit="1"/>
    </xf>
    <xf numFmtId="6" fontId="111" fillId="0" borderId="10" xfId="74" applyNumberFormat="1" applyFont="1" applyBorder="1">
      <alignment vertical="center"/>
    </xf>
    <xf numFmtId="6" fontId="111" fillId="0" borderId="46" xfId="74" applyNumberFormat="1" applyFont="1" applyBorder="1">
      <alignment vertical="center"/>
    </xf>
    <xf numFmtId="0" fontId="111" fillId="0" borderId="164" xfId="74" applyFont="1" applyBorder="1" applyAlignment="1">
      <alignment vertical="center" shrinkToFit="1"/>
    </xf>
    <xf numFmtId="6" fontId="113" fillId="0" borderId="140" xfId="78" applyFont="1" applyBorder="1" applyProtection="1">
      <alignment vertical="center"/>
    </xf>
    <xf numFmtId="0" fontId="111" fillId="0" borderId="140" xfId="74" applyFont="1" applyBorder="1" applyAlignment="1">
      <alignment vertical="center" shrinkToFit="1"/>
    </xf>
    <xf numFmtId="6" fontId="113" fillId="0" borderId="163" xfId="78" applyFont="1" applyBorder="1" applyProtection="1">
      <alignment vertical="center"/>
    </xf>
    <xf numFmtId="0" fontId="124" fillId="0" borderId="0" xfId="74" applyFont="1">
      <alignment vertical="center"/>
    </xf>
    <xf numFmtId="0" fontId="111" fillId="0" borderId="18" xfId="74" applyFont="1" applyBorder="1" applyAlignment="1">
      <alignment vertical="center" shrinkToFit="1"/>
    </xf>
    <xf numFmtId="6" fontId="113" fillId="0" borderId="50" xfId="78" applyFont="1" applyBorder="1" applyProtection="1">
      <alignment vertical="center"/>
    </xf>
    <xf numFmtId="0" fontId="111" fillId="0" borderId="50" xfId="74" applyFont="1" applyBorder="1" applyAlignment="1">
      <alignment vertical="center" shrinkToFit="1"/>
    </xf>
    <xf numFmtId="6" fontId="111" fillId="0" borderId="50" xfId="74" applyNumberFormat="1" applyFont="1" applyBorder="1">
      <alignment vertical="center"/>
    </xf>
    <xf numFmtId="6" fontId="111" fillId="0" borderId="51" xfId="74" applyNumberFormat="1" applyFont="1" applyBorder="1">
      <alignment vertical="center"/>
    </xf>
    <xf numFmtId="0" fontId="111" fillId="0" borderId="10" xfId="74" applyFont="1" applyBorder="1" applyAlignment="1">
      <alignment horizontal="right" vertical="center"/>
    </xf>
    <xf numFmtId="6" fontId="113" fillId="0" borderId="10" xfId="78" applyFont="1" applyBorder="1" applyAlignment="1" applyProtection="1">
      <alignment horizontal="right" vertical="center"/>
    </xf>
    <xf numFmtId="0" fontId="111" fillId="0" borderId="173" xfId="74" applyFont="1" applyBorder="1" applyAlignment="1">
      <alignment vertical="center" shrinkToFit="1"/>
    </xf>
    <xf numFmtId="0" fontId="124" fillId="0" borderId="209" xfId="74" applyFont="1" applyBorder="1">
      <alignment vertical="center"/>
    </xf>
    <xf numFmtId="6" fontId="124" fillId="0" borderId="76" xfId="78" applyFont="1" applyBorder="1" applyProtection="1">
      <alignment vertical="center"/>
    </xf>
    <xf numFmtId="0" fontId="124" fillId="0" borderId="76" xfId="74" applyFont="1" applyBorder="1">
      <alignment vertical="center"/>
    </xf>
    <xf numFmtId="6" fontId="124" fillId="0" borderId="77" xfId="78" applyFont="1" applyBorder="1" applyProtection="1">
      <alignment vertical="center"/>
    </xf>
    <xf numFmtId="0" fontId="111" fillId="0" borderId="16" xfId="74" applyFont="1" applyBorder="1">
      <alignment vertical="center"/>
    </xf>
    <xf numFmtId="0" fontId="111" fillId="0" borderId="65" xfId="74" applyFont="1" applyBorder="1" applyAlignment="1">
      <alignment vertical="center" shrinkToFit="1"/>
    </xf>
    <xf numFmtId="0" fontId="111" fillId="0" borderId="47" xfId="74" applyFont="1" applyBorder="1" applyAlignment="1">
      <alignment vertical="center" shrinkToFit="1"/>
    </xf>
    <xf numFmtId="6" fontId="113" fillId="0" borderId="0" xfId="78" applyFont="1" applyProtection="1">
      <alignment vertical="center"/>
    </xf>
    <xf numFmtId="6" fontId="113" fillId="0" borderId="46" xfId="78" applyFont="1" applyBorder="1" applyProtection="1">
      <alignment vertical="center"/>
    </xf>
    <xf numFmtId="0" fontId="124" fillId="0" borderId="209" xfId="74" applyFont="1" applyBorder="1" applyAlignment="1">
      <alignment vertical="center" shrinkToFit="1"/>
    </xf>
    <xf numFmtId="6" fontId="124" fillId="0" borderId="76" xfId="78" applyFont="1" applyBorder="1" applyAlignment="1" applyProtection="1">
      <alignment vertical="center" shrinkToFit="1"/>
    </xf>
    <xf numFmtId="0" fontId="124" fillId="0" borderId="76" xfId="74" applyFont="1" applyBorder="1" applyAlignment="1">
      <alignment vertical="center" shrinkToFit="1"/>
    </xf>
    <xf numFmtId="6" fontId="124" fillId="0" borderId="77" xfId="78" applyFont="1" applyBorder="1" applyAlignment="1" applyProtection="1">
      <alignment vertical="center" shrinkToFit="1"/>
    </xf>
    <xf numFmtId="0" fontId="111" fillId="0" borderId="65" xfId="74" applyFont="1" applyBorder="1">
      <alignment vertical="center"/>
    </xf>
    <xf numFmtId="6" fontId="111" fillId="0" borderId="47" xfId="54" applyFont="1" applyBorder="1" applyProtection="1">
      <alignment vertical="center"/>
    </xf>
    <xf numFmtId="0" fontId="111" fillId="0" borderId="47" xfId="74" applyFont="1" applyBorder="1">
      <alignment vertical="center"/>
    </xf>
    <xf numFmtId="6" fontId="111" fillId="0" borderId="48" xfId="54" applyFont="1" applyBorder="1" applyProtection="1">
      <alignment vertical="center"/>
    </xf>
    <xf numFmtId="0" fontId="111" fillId="0" borderId="10" xfId="74" applyFont="1" applyBorder="1" applyAlignment="1" applyProtection="1">
      <alignment horizontal="center" vertical="center"/>
      <protection locked="0"/>
    </xf>
    <xf numFmtId="6" fontId="111" fillId="0" borderId="46" xfId="54" applyFont="1" applyBorder="1" applyProtection="1">
      <alignment vertical="center"/>
      <protection locked="0"/>
    </xf>
    <xf numFmtId="6" fontId="111" fillId="0" borderId="46" xfId="74" applyNumberFormat="1" applyFont="1" applyBorder="1" applyProtection="1">
      <alignment vertical="center"/>
      <protection locked="0"/>
    </xf>
    <xf numFmtId="49" fontId="44" fillId="0" borderId="10" xfId="0" applyNumberFormat="1" applyFont="1" applyBorder="1" applyAlignment="1">
      <alignment vertical="center"/>
    </xf>
    <xf numFmtId="0" fontId="39" fillId="0" borderId="10" xfId="44" applyFont="1" applyBorder="1">
      <alignment vertical="center"/>
    </xf>
    <xf numFmtId="0" fontId="0" fillId="0" borderId="10" xfId="44" applyFont="1" applyBorder="1">
      <alignment vertical="center"/>
    </xf>
    <xf numFmtId="49" fontId="39" fillId="0" borderId="10" xfId="44" applyNumberFormat="1" applyFont="1" applyBorder="1">
      <alignment vertical="center"/>
    </xf>
    <xf numFmtId="49" fontId="39" fillId="0" borderId="10" xfId="0" applyNumberFormat="1" applyFont="1" applyBorder="1" applyAlignment="1">
      <alignment vertical="center"/>
    </xf>
    <xf numFmtId="0" fontId="11" fillId="0" borderId="10" xfId="44" applyFont="1" applyBorder="1">
      <alignment vertical="center"/>
    </xf>
    <xf numFmtId="177" fontId="44" fillId="0" borderId="53" xfId="0" applyNumberFormat="1" applyFont="1" applyBorder="1" applyAlignment="1" applyProtection="1">
      <alignment horizontal="right" vertical="center"/>
      <protection locked="0"/>
    </xf>
    <xf numFmtId="0" fontId="44" fillId="48" borderId="53" xfId="0" applyFont="1" applyFill="1" applyBorder="1" applyAlignment="1">
      <alignment horizontal="left" vertical="center"/>
    </xf>
    <xf numFmtId="0" fontId="44" fillId="48" borderId="10" xfId="0" applyFont="1" applyFill="1" applyBorder="1" applyAlignment="1">
      <alignment horizontal="left" vertical="center"/>
    </xf>
    <xf numFmtId="0" fontId="44" fillId="48" borderId="46" xfId="0" applyFont="1" applyFill="1" applyBorder="1" applyAlignment="1">
      <alignment vertical="center"/>
    </xf>
    <xf numFmtId="0" fontId="44" fillId="0" borderId="20" xfId="0" applyFont="1" applyBorder="1" applyAlignment="1" applyProtection="1">
      <alignment horizontal="center" vertical="center"/>
      <protection locked="0"/>
    </xf>
    <xf numFmtId="0" fontId="44" fillId="0" borderId="16" xfId="0" applyFont="1" applyBorder="1" applyAlignment="1" applyProtection="1">
      <alignment horizontal="left" vertical="center"/>
      <protection locked="0"/>
    </xf>
    <xf numFmtId="0" fontId="17" fillId="0" borderId="211" xfId="0" applyFont="1" applyBorder="1" applyAlignment="1">
      <alignment vertical="top"/>
    </xf>
    <xf numFmtId="0" fontId="110" fillId="0" borderId="0" xfId="80" applyFont="1">
      <alignment vertical="center"/>
    </xf>
    <xf numFmtId="0" fontId="111" fillId="0" borderId="0" xfId="80" applyFont="1">
      <alignment vertical="center"/>
    </xf>
    <xf numFmtId="0" fontId="111" fillId="0" borderId="0" xfId="80" applyFont="1" applyAlignment="1">
      <alignment horizontal="right" vertical="center"/>
    </xf>
    <xf numFmtId="190" fontId="111" fillId="0" borderId="0" xfId="80" applyNumberFormat="1" applyFont="1" applyAlignment="1">
      <alignment horizontal="center" vertical="center"/>
    </xf>
    <xf numFmtId="0" fontId="111" fillId="42" borderId="10" xfId="80" applyFont="1" applyFill="1" applyBorder="1" applyAlignment="1">
      <alignment vertical="center" shrinkToFit="1"/>
    </xf>
    <xf numFmtId="0" fontId="111" fillId="0" borderId="38" xfId="80" applyFont="1" applyBorder="1" applyAlignment="1">
      <alignment horizontal="right" vertical="center" shrinkToFit="1"/>
    </xf>
    <xf numFmtId="0" fontId="111" fillId="0" borderId="72" xfId="80" applyFont="1" applyBorder="1" applyAlignment="1">
      <alignment horizontal="right" vertical="center" shrinkToFit="1"/>
    </xf>
    <xf numFmtId="0" fontId="111" fillId="0" borderId="10" xfId="80" applyFont="1" applyBorder="1" applyAlignment="1">
      <alignment horizontal="right" vertical="center"/>
    </xf>
    <xf numFmtId="0" fontId="44" fillId="28" borderId="211" xfId="0" applyFont="1" applyFill="1" applyBorder="1" applyAlignment="1">
      <alignment vertical="center" shrinkToFit="1"/>
    </xf>
    <xf numFmtId="0" fontId="44" fillId="28" borderId="173" xfId="0" applyFont="1" applyFill="1" applyBorder="1" applyAlignment="1">
      <alignment vertical="center" shrinkToFit="1"/>
    </xf>
    <xf numFmtId="0" fontId="56" fillId="0" borderId="175" xfId="47" applyFont="1" applyBorder="1" applyAlignment="1">
      <alignment horizontal="left" vertical="center"/>
    </xf>
    <xf numFmtId="6" fontId="113" fillId="0" borderId="175" xfId="78" applyFont="1" applyBorder="1" applyProtection="1">
      <alignment vertical="center"/>
    </xf>
    <xf numFmtId="0" fontId="111" fillId="0" borderId="175" xfId="74" applyFont="1" applyBorder="1" applyAlignment="1">
      <alignment vertical="center" shrinkToFit="1"/>
    </xf>
    <xf numFmtId="6" fontId="111" fillId="0" borderId="175" xfId="74" applyNumberFormat="1" applyFont="1" applyBorder="1">
      <alignment vertical="center"/>
    </xf>
    <xf numFmtId="0" fontId="18" fillId="0" borderId="211" xfId="0" applyFont="1" applyBorder="1" applyAlignment="1">
      <alignment vertical="top"/>
    </xf>
    <xf numFmtId="0" fontId="18" fillId="0" borderId="173" xfId="0" applyFont="1" applyBorder="1" applyAlignment="1">
      <alignment vertical="center"/>
    </xf>
    <xf numFmtId="0" fontId="18" fillId="0" borderId="211" xfId="0" applyFont="1" applyBorder="1" applyAlignment="1">
      <alignment vertical="center"/>
    </xf>
    <xf numFmtId="0" fontId="82" fillId="0" borderId="211" xfId="0" applyFont="1" applyBorder="1" applyAlignment="1">
      <alignment vertical="center" shrinkToFit="1"/>
    </xf>
    <xf numFmtId="0" fontId="82" fillId="0" borderId="173" xfId="0" applyFont="1" applyBorder="1" applyAlignment="1">
      <alignment vertical="center" shrinkToFit="1"/>
    </xf>
    <xf numFmtId="6" fontId="111" fillId="0" borderId="214" xfId="74" applyNumberFormat="1" applyFont="1" applyBorder="1">
      <alignment vertical="center"/>
    </xf>
    <xf numFmtId="0" fontId="61" fillId="0" borderId="0" xfId="0" applyFont="1" applyAlignment="1">
      <alignment horizontal="center" vertical="top"/>
    </xf>
    <xf numFmtId="0" fontId="17" fillId="0" borderId="0" xfId="0" applyFont="1" applyAlignment="1">
      <alignment horizontal="center" vertical="center" wrapText="1"/>
    </xf>
    <xf numFmtId="49" fontId="103" fillId="0" borderId="0" xfId="0" applyNumberFormat="1" applyFont="1" applyAlignment="1">
      <alignment vertical="top" wrapText="1"/>
    </xf>
    <xf numFmtId="0" fontId="103" fillId="0" borderId="0" xfId="0" applyFont="1" applyAlignment="1">
      <alignment horizontal="left" vertical="top"/>
    </xf>
    <xf numFmtId="0" fontId="114" fillId="0" borderId="0" xfId="43" applyFont="1" applyAlignment="1">
      <alignment vertical="center" shrinkToFit="1"/>
    </xf>
    <xf numFmtId="6" fontId="123" fillId="0" borderId="0" xfId="76" applyFont="1" applyFill="1" applyBorder="1" applyAlignment="1" applyProtection="1">
      <alignment vertical="center"/>
    </xf>
    <xf numFmtId="0" fontId="103" fillId="0" borderId="0" xfId="47" applyFont="1">
      <alignment vertical="center"/>
    </xf>
    <xf numFmtId="0" fontId="103" fillId="0" borderId="0" xfId="48" applyFont="1">
      <alignment vertical="center"/>
    </xf>
    <xf numFmtId="0" fontId="109" fillId="0" borderId="0" xfId="44" applyFont="1" applyAlignment="1">
      <alignment horizontal="left" vertical="center"/>
    </xf>
    <xf numFmtId="0" fontId="148" fillId="0" borderId="0" xfId="49" applyFont="1" applyAlignment="1">
      <alignment vertical="center"/>
    </xf>
    <xf numFmtId="0" fontId="149" fillId="0" borderId="0" xfId="80" applyFont="1">
      <alignment vertical="center"/>
    </xf>
    <xf numFmtId="0" fontId="109" fillId="0" borderId="0" xfId="0" applyFont="1" applyAlignment="1">
      <alignment vertical="top"/>
    </xf>
    <xf numFmtId="49" fontId="44" fillId="34" borderId="0" xfId="0" applyNumberFormat="1" applyFont="1" applyFill="1" applyAlignment="1">
      <alignment vertical="center"/>
    </xf>
    <xf numFmtId="0" fontId="44" fillId="0" borderId="28" xfId="0" applyFont="1" applyBorder="1" applyAlignment="1" applyProtection="1">
      <alignment horizontal="right" vertical="center" shrinkToFit="1"/>
      <protection locked="0"/>
    </xf>
    <xf numFmtId="0" fontId="44" fillId="34" borderId="51" xfId="0" applyFont="1" applyFill="1" applyBorder="1" applyAlignment="1">
      <alignment horizontal="left" vertical="center" shrinkToFit="1"/>
    </xf>
    <xf numFmtId="0" fontId="44" fillId="0" borderId="62" xfId="0" applyFont="1" applyBorder="1" applyAlignment="1" applyProtection="1">
      <alignment horizontal="right" vertical="center" shrinkToFit="1"/>
      <protection locked="0"/>
    </xf>
    <xf numFmtId="0" fontId="17" fillId="0" borderId="211" xfId="0" applyFont="1" applyBorder="1" applyAlignment="1">
      <alignment vertical="center" shrinkToFit="1"/>
    </xf>
    <xf numFmtId="0" fontId="17" fillId="0" borderId="173" xfId="0" applyFont="1" applyBorder="1" applyAlignment="1">
      <alignment vertical="center" shrinkToFit="1"/>
    </xf>
    <xf numFmtId="0" fontId="17" fillId="0" borderId="11" xfId="0" applyFont="1" applyBorder="1" applyAlignment="1">
      <alignment vertical="center" shrinkToFit="1"/>
    </xf>
    <xf numFmtId="0" fontId="17" fillId="0" borderId="18" xfId="0" applyFont="1" applyBorder="1" applyAlignment="1">
      <alignment vertical="center" shrinkToFit="1"/>
    </xf>
    <xf numFmtId="49" fontId="103" fillId="0" borderId="0" xfId="0" applyNumberFormat="1" applyFont="1" applyAlignment="1">
      <alignment vertical="top"/>
    </xf>
    <xf numFmtId="0" fontId="17" fillId="0" borderId="0" xfId="0" applyFont="1" applyAlignment="1">
      <alignment vertical="center" wrapText="1"/>
    </xf>
    <xf numFmtId="0" fontId="17" fillId="0" borderId="0" xfId="56" applyFont="1" applyAlignment="1">
      <alignment vertical="top"/>
    </xf>
    <xf numFmtId="0" fontId="17" fillId="0" borderId="0" xfId="56" applyFont="1" applyAlignment="1">
      <alignment horizontal="left" vertical="top"/>
    </xf>
    <xf numFmtId="0" fontId="59" fillId="0" borderId="12" xfId="43" applyFont="1" applyBorder="1">
      <alignment vertical="center"/>
    </xf>
    <xf numFmtId="0" fontId="60" fillId="0" borderId="12" xfId="47" applyFont="1" applyBorder="1" applyAlignment="1">
      <alignment vertical="top" wrapText="1"/>
    </xf>
    <xf numFmtId="49" fontId="17" fillId="0" borderId="12" xfId="0" applyNumberFormat="1" applyFont="1" applyBorder="1" applyAlignment="1">
      <alignment vertical="top" wrapText="1"/>
    </xf>
    <xf numFmtId="0" fontId="46" fillId="28" borderId="10" xfId="0" applyFont="1" applyFill="1" applyBorder="1" applyAlignment="1">
      <alignment horizontal="left" vertical="center" shrinkToFit="1"/>
    </xf>
    <xf numFmtId="0" fontId="44" fillId="0" borderId="45" xfId="0" applyFont="1" applyBorder="1" applyAlignment="1" applyProtection="1">
      <alignment horizontal="left" vertical="center"/>
      <protection locked="0"/>
    </xf>
    <xf numFmtId="0" fontId="44" fillId="31" borderId="76" xfId="0" applyFont="1" applyFill="1" applyBorder="1" applyAlignment="1">
      <alignment horizontal="center" vertical="center"/>
    </xf>
    <xf numFmtId="0" fontId="108" fillId="34" borderId="0" xfId="0" applyFont="1" applyFill="1" applyAlignment="1">
      <alignment horizontal="left" vertical="center" shrinkToFit="1"/>
    </xf>
    <xf numFmtId="0" fontId="44" fillId="34" borderId="0" xfId="0" applyFont="1" applyFill="1" applyAlignment="1">
      <alignment horizontal="left" vertical="center" shrinkToFit="1"/>
    </xf>
    <xf numFmtId="0" fontId="17" fillId="0" borderId="0" xfId="0" applyFont="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center" wrapText="1"/>
    </xf>
    <xf numFmtId="0" fontId="138" fillId="0" borderId="84" xfId="0" applyFont="1" applyBorder="1" applyAlignment="1">
      <alignment horizontal="center" vertical="center" shrinkToFit="1"/>
    </xf>
    <xf numFmtId="0" fontId="138" fillId="0" borderId="85" xfId="0" applyFont="1" applyBorder="1" applyAlignment="1">
      <alignment horizontal="center" vertical="center" shrinkToFit="1"/>
    </xf>
    <xf numFmtId="0" fontId="138" fillId="0" borderId="86" xfId="0" applyFont="1" applyBorder="1" applyAlignment="1">
      <alignment horizontal="center" vertical="center" shrinkToFit="1"/>
    </xf>
    <xf numFmtId="0" fontId="138" fillId="0" borderId="10" xfId="0" applyFont="1" applyBorder="1" applyAlignment="1">
      <alignment horizontal="center" vertical="center" shrinkToFit="1"/>
    </xf>
    <xf numFmtId="0" fontId="114" fillId="27" borderId="10" xfId="43" applyFont="1" applyFill="1" applyBorder="1" applyAlignment="1">
      <alignment horizontal="center" vertical="center" shrinkToFit="1"/>
    </xf>
    <xf numFmtId="0" fontId="18"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vertical="top" wrapText="1"/>
    </xf>
    <xf numFmtId="0" fontId="59" fillId="0" borderId="0" xfId="43" applyFont="1" applyAlignment="1">
      <alignment horizontal="left" vertical="center" wrapText="1"/>
    </xf>
    <xf numFmtId="0" fontId="59" fillId="0" borderId="0" xfId="43" applyFont="1" applyAlignment="1">
      <alignment horizontal="left" vertical="center"/>
    </xf>
    <xf numFmtId="0" fontId="56" fillId="0" borderId="0" xfId="47" applyFont="1" applyAlignment="1">
      <alignment horizontal="right" vertical="center"/>
    </xf>
    <xf numFmtId="0" fontId="58" fillId="0" borderId="0" xfId="48" applyFont="1" applyAlignment="1">
      <alignment horizontal="center" vertical="center"/>
    </xf>
    <xf numFmtId="0" fontId="56" fillId="0" borderId="0" xfId="48" applyFont="1" applyAlignment="1">
      <alignment horizontal="center" vertical="center"/>
    </xf>
    <xf numFmtId="0" fontId="85" fillId="0" borderId="172" xfId="49" applyFont="1" applyBorder="1" applyAlignment="1">
      <alignment horizontal="center" vertical="center"/>
    </xf>
    <xf numFmtId="0" fontId="85" fillId="0" borderId="12" xfId="49" applyFont="1" applyBorder="1" applyAlignment="1">
      <alignment horizontal="center" vertical="center"/>
    </xf>
    <xf numFmtId="0" fontId="85" fillId="0" borderId="0" xfId="49" applyFont="1" applyAlignment="1" applyProtection="1">
      <alignment horizontal="center" vertical="center"/>
      <protection locked="0"/>
    </xf>
    <xf numFmtId="0" fontId="85" fillId="0" borderId="19" xfId="49" applyFont="1" applyBorder="1" applyAlignment="1" applyProtection="1">
      <alignment horizontal="center" vertical="center"/>
      <protection locked="0"/>
    </xf>
    <xf numFmtId="38" fontId="37" fillId="0" borderId="0" xfId="45" applyFont="1" applyFill="1" applyBorder="1" applyAlignment="1">
      <alignment horizontal="left" vertical="center"/>
    </xf>
    <xf numFmtId="38" fontId="76" fillId="0" borderId="0" xfId="46" applyFont="1" applyBorder="1" applyAlignment="1">
      <alignment horizontal="center" vertical="center" shrinkToFit="1"/>
    </xf>
    <xf numFmtId="0" fontId="38" fillId="0" borderId="0" xfId="44" applyFont="1" applyAlignment="1">
      <alignment horizontal="left" vertical="center"/>
    </xf>
    <xf numFmtId="0" fontId="39" fillId="0" borderId="11" xfId="44" applyFont="1" applyBorder="1" applyAlignment="1">
      <alignment horizontal="center" vertical="center" shrinkToFit="1"/>
    </xf>
    <xf numFmtId="0" fontId="39" fillId="0" borderId="12" xfId="44" applyFont="1" applyBorder="1" applyAlignment="1">
      <alignment horizontal="center" vertical="center" shrinkToFit="1"/>
    </xf>
    <xf numFmtId="0" fontId="113" fillId="44" borderId="10" xfId="80" applyFont="1" applyFill="1" applyBorder="1" applyAlignment="1">
      <alignment horizontal="center" vertical="center" shrinkToFit="1"/>
    </xf>
    <xf numFmtId="0" fontId="111" fillId="43" borderId="10" xfId="80" applyFont="1" applyFill="1" applyBorder="1" applyAlignment="1">
      <alignment horizontal="center" vertical="center" shrinkToFit="1"/>
    </xf>
    <xf numFmtId="0" fontId="111" fillId="44" borderId="10" xfId="80" applyFont="1" applyFill="1" applyBorder="1" applyAlignment="1">
      <alignment horizontal="center" vertical="center" shrinkToFit="1"/>
    </xf>
    <xf numFmtId="0" fontId="111" fillId="43" borderId="10" xfId="80" applyFont="1" applyFill="1" applyBorder="1" applyAlignment="1">
      <alignment horizontal="center" vertical="center"/>
    </xf>
    <xf numFmtId="0" fontId="111" fillId="0" borderId="0" xfId="80" applyFont="1" applyAlignment="1">
      <alignment horizontal="center" vertical="center"/>
    </xf>
    <xf numFmtId="0" fontId="111" fillId="0" borderId="0" xfId="74" applyFont="1" applyAlignment="1">
      <alignment horizontal="right" vertical="center"/>
    </xf>
    <xf numFmtId="0" fontId="82" fillId="0" borderId="0" xfId="0" applyFont="1" applyAlignment="1">
      <alignment horizontal="center" vertical="center" wrapText="1"/>
    </xf>
    <xf numFmtId="49" fontId="18" fillId="0" borderId="0" xfId="0" applyNumberFormat="1" applyFont="1" applyAlignment="1">
      <alignment horizontal="left" vertical="top" wrapText="1"/>
    </xf>
    <xf numFmtId="0" fontId="17" fillId="0" borderId="0" xfId="0" applyFont="1" applyAlignment="1">
      <alignment horizontal="left" vertical="top" shrinkToFit="1"/>
    </xf>
    <xf numFmtId="0" fontId="18" fillId="0" borderId="0" xfId="0" applyFont="1" applyAlignment="1">
      <alignment horizontal="left" vertical="top" wrapText="1"/>
    </xf>
    <xf numFmtId="0" fontId="82" fillId="0" borderId="0" xfId="0" applyFont="1" applyAlignment="1">
      <alignment horizontal="center" vertical="center" shrinkToFit="1"/>
    </xf>
    <xf numFmtId="0" fontId="17" fillId="0" borderId="87" xfId="44" applyFont="1" applyBorder="1" applyAlignment="1" applyProtection="1">
      <alignment horizontal="center" vertical="center"/>
      <protection locked="0"/>
    </xf>
    <xf numFmtId="0" fontId="17" fillId="0" borderId="85" xfId="44" applyFont="1" applyBorder="1" applyAlignment="1" applyProtection="1">
      <alignment horizontal="center" vertical="center"/>
      <protection locked="0"/>
    </xf>
    <xf numFmtId="0" fontId="17" fillId="35" borderId="10" xfId="44" applyFont="1" applyFill="1" applyBorder="1" applyAlignment="1">
      <alignment horizontal="center" vertical="center"/>
    </xf>
    <xf numFmtId="0" fontId="17" fillId="35" borderId="14" xfId="44" applyFont="1" applyFill="1" applyBorder="1" applyAlignment="1">
      <alignment horizontal="center" vertical="center"/>
    </xf>
    <xf numFmtId="0" fontId="17" fillId="35" borderId="16" xfId="44" applyFont="1" applyFill="1" applyBorder="1" applyAlignment="1">
      <alignment horizontal="center" vertical="center"/>
    </xf>
    <xf numFmtId="0" fontId="17" fillId="0" borderId="84" xfId="44" applyFont="1" applyBorder="1" applyAlignment="1" applyProtection="1">
      <alignment horizontal="center" vertical="center"/>
      <protection locked="0"/>
    </xf>
    <xf numFmtId="0" fontId="17" fillId="0" borderId="86" xfId="44" applyFont="1" applyBorder="1" applyAlignment="1" applyProtection="1">
      <alignment horizontal="center" vertical="center"/>
      <protection locked="0"/>
    </xf>
    <xf numFmtId="0" fontId="17" fillId="0" borderId="52" xfId="44" applyFont="1" applyBorder="1" applyAlignment="1" applyProtection="1">
      <alignment horizontal="center" vertical="center"/>
      <protection locked="0"/>
    </xf>
    <xf numFmtId="0" fontId="17" fillId="0" borderId="15" xfId="44" applyFont="1" applyBorder="1" applyAlignment="1" applyProtection="1">
      <alignment horizontal="center" vertical="center" shrinkToFit="1"/>
      <protection locked="0"/>
    </xf>
    <xf numFmtId="0" fontId="17" fillId="0" borderId="16" xfId="44" applyFont="1" applyBorder="1" applyAlignment="1" applyProtection="1">
      <alignment horizontal="center" vertical="center" shrinkToFit="1"/>
      <protection locked="0"/>
    </xf>
    <xf numFmtId="0" fontId="17" fillId="35" borderId="138" xfId="44" applyFont="1" applyFill="1" applyBorder="1" applyAlignment="1">
      <alignment horizontal="center" vertical="center"/>
    </xf>
    <xf numFmtId="49" fontId="17" fillId="0" borderId="12" xfId="0" applyNumberFormat="1" applyFont="1" applyBorder="1" applyAlignment="1">
      <alignment horizontal="left" vertical="top" wrapText="1"/>
    </xf>
    <xf numFmtId="0" fontId="44" fillId="28" borderId="78" xfId="0" applyFont="1" applyFill="1" applyBorder="1" applyAlignment="1">
      <alignment horizontal="center" vertical="center"/>
    </xf>
    <xf numFmtId="38" fontId="44" fillId="0" borderId="0" xfId="46" applyFont="1" applyFill="1" applyBorder="1" applyAlignment="1">
      <alignment vertical="center"/>
    </xf>
    <xf numFmtId="49" fontId="108" fillId="34" borderId="0" xfId="46" applyNumberFormat="1" applyFont="1" applyFill="1" applyBorder="1" applyAlignment="1">
      <alignment horizontal="right" vertical="center" shrinkToFit="1"/>
    </xf>
    <xf numFmtId="0" fontId="150" fillId="0" borderId="0" xfId="0" applyFont="1" applyAlignment="1">
      <alignment vertical="top"/>
    </xf>
    <xf numFmtId="0" fontId="120" fillId="0" borderId="0" xfId="43" applyFont="1" applyAlignment="1">
      <alignment vertical="center" wrapText="1"/>
    </xf>
    <xf numFmtId="0" fontId="151" fillId="0" borderId="0" xfId="0" applyFont="1" applyAlignment="1">
      <alignment vertical="top"/>
    </xf>
    <xf numFmtId="0" fontId="118" fillId="37" borderId="14" xfId="43" applyFont="1" applyFill="1" applyBorder="1" applyAlignment="1" applyProtection="1">
      <alignment horizontal="right" vertical="center"/>
      <protection locked="0"/>
    </xf>
    <xf numFmtId="0" fontId="118" fillId="37" borderId="16" xfId="43" applyFont="1" applyFill="1" applyBorder="1">
      <alignment vertical="center"/>
    </xf>
    <xf numFmtId="0" fontId="118" fillId="37" borderId="16" xfId="43" applyFont="1" applyFill="1" applyBorder="1" applyAlignment="1">
      <alignment vertical="center" shrinkToFit="1"/>
    </xf>
    <xf numFmtId="0" fontId="17" fillId="37" borderId="211" xfId="0" applyFont="1" applyFill="1" applyBorder="1" applyAlignment="1">
      <alignment vertical="top"/>
    </xf>
    <xf numFmtId="0" fontId="17" fillId="37" borderId="172" xfId="0" applyFont="1" applyFill="1" applyBorder="1" applyAlignment="1">
      <alignment vertical="center"/>
    </xf>
    <xf numFmtId="0" fontId="17" fillId="37" borderId="172" xfId="0" applyFont="1" applyFill="1" applyBorder="1" applyAlignment="1">
      <alignment vertical="top"/>
    </xf>
    <xf numFmtId="0" fontId="17" fillId="37" borderId="172" xfId="0" applyFont="1" applyFill="1" applyBorder="1" applyAlignment="1">
      <alignment vertical="top" wrapText="1"/>
    </xf>
    <xf numFmtId="0" fontId="17" fillId="37" borderId="173" xfId="0" applyFont="1" applyFill="1" applyBorder="1" applyAlignment="1">
      <alignment vertical="top"/>
    </xf>
    <xf numFmtId="0" fontId="17" fillId="37" borderId="23" xfId="0" applyFont="1" applyFill="1" applyBorder="1" applyAlignment="1">
      <alignment vertical="top"/>
    </xf>
    <xf numFmtId="0" fontId="17" fillId="37" borderId="0" xfId="0" applyFont="1" applyFill="1" applyAlignment="1">
      <alignment vertical="center"/>
    </xf>
    <xf numFmtId="0" fontId="17" fillId="37" borderId="0" xfId="0" applyFont="1" applyFill="1" applyAlignment="1">
      <alignment vertical="top"/>
    </xf>
    <xf numFmtId="0" fontId="17" fillId="37" borderId="0" xfId="0" applyFont="1" applyFill="1" applyAlignment="1">
      <alignment vertical="top" wrapText="1"/>
    </xf>
    <xf numFmtId="0" fontId="17" fillId="37" borderId="24" xfId="0" applyFont="1" applyFill="1" applyBorder="1" applyAlignment="1">
      <alignment vertical="top"/>
    </xf>
    <xf numFmtId="0" fontId="17" fillId="37" borderId="0" xfId="0" applyFont="1" applyFill="1" applyAlignment="1">
      <alignment horizontal="right" vertical="center"/>
    </xf>
    <xf numFmtId="0" fontId="17" fillId="37" borderId="0" xfId="0" applyFont="1" applyFill="1" applyAlignment="1">
      <alignment vertical="center" shrinkToFit="1"/>
    </xf>
    <xf numFmtId="0" fontId="17" fillId="37" borderId="11" xfId="0" applyFont="1" applyFill="1" applyBorder="1" applyAlignment="1">
      <alignment vertical="top"/>
    </xf>
    <xf numFmtId="0" fontId="17" fillId="37" borderId="12" xfId="0" applyFont="1" applyFill="1" applyBorder="1" applyAlignment="1">
      <alignment vertical="center" shrinkToFit="1"/>
    </xf>
    <xf numFmtId="0" fontId="17" fillId="37" borderId="12" xfId="0" applyFont="1" applyFill="1" applyBorder="1" applyAlignment="1">
      <alignment vertical="top" shrinkToFit="1"/>
    </xf>
    <xf numFmtId="0" fontId="17" fillId="37" borderId="12" xfId="0" applyFont="1" applyFill="1" applyBorder="1" applyAlignment="1">
      <alignment vertical="center"/>
    </xf>
    <xf numFmtId="0" fontId="17" fillId="37" borderId="18" xfId="0" applyFont="1" applyFill="1" applyBorder="1" applyAlignment="1">
      <alignment vertical="top"/>
    </xf>
    <xf numFmtId="0" fontId="18" fillId="37" borderId="211" xfId="0" applyFont="1" applyFill="1" applyBorder="1" applyAlignment="1">
      <alignment vertical="top"/>
    </xf>
    <xf numFmtId="0" fontId="82" fillId="37" borderId="172" xfId="0" applyFont="1" applyFill="1" applyBorder="1" applyAlignment="1">
      <alignment vertical="center"/>
    </xf>
    <xf numFmtId="0" fontId="18" fillId="37" borderId="172" xfId="0" applyFont="1" applyFill="1" applyBorder="1" applyAlignment="1">
      <alignment vertical="top"/>
    </xf>
    <xf numFmtId="0" fontId="18" fillId="37" borderId="172" xfId="0" applyFont="1" applyFill="1" applyBorder="1" applyAlignment="1">
      <alignment vertical="top" wrapText="1"/>
    </xf>
    <xf numFmtId="0" fontId="18" fillId="37" borderId="173" xfId="0" applyFont="1" applyFill="1" applyBorder="1" applyAlignment="1">
      <alignment vertical="top"/>
    </xf>
    <xf numFmtId="0" fontId="18" fillId="37" borderId="23" xfId="0" applyFont="1" applyFill="1" applyBorder="1" applyAlignment="1">
      <alignment vertical="top"/>
    </xf>
    <xf numFmtId="0" fontId="82" fillId="37" borderId="0" xfId="0" applyFont="1" applyFill="1" applyAlignment="1">
      <alignment vertical="center"/>
    </xf>
    <xf numFmtId="0" fontId="18" fillId="37" borderId="0" xfId="0" applyFont="1" applyFill="1" applyAlignment="1">
      <alignment vertical="top"/>
    </xf>
    <xf numFmtId="0" fontId="18" fillId="37" borderId="0" xfId="0" applyFont="1" applyFill="1" applyAlignment="1">
      <alignment vertical="top" wrapText="1"/>
    </xf>
    <xf numFmtId="0" fontId="18" fillId="37" borderId="24" xfId="0" applyFont="1" applyFill="1" applyBorder="1" applyAlignment="1">
      <alignment vertical="top"/>
    </xf>
    <xf numFmtId="0" fontId="18" fillId="37" borderId="11" xfId="0" applyFont="1" applyFill="1" applyBorder="1" applyAlignment="1">
      <alignment vertical="top"/>
    </xf>
    <xf numFmtId="0" fontId="17" fillId="37" borderId="12" xfId="0" applyFont="1" applyFill="1" applyBorder="1" applyAlignment="1">
      <alignment vertical="top"/>
    </xf>
    <xf numFmtId="0" fontId="18" fillId="37" borderId="12" xfId="0" applyFont="1" applyFill="1" applyBorder="1" applyAlignment="1">
      <alignment vertical="top"/>
    </xf>
    <xf numFmtId="0" fontId="18" fillId="37" borderId="12" xfId="0" applyFont="1" applyFill="1" applyBorder="1" applyAlignment="1">
      <alignment vertical="top" wrapText="1"/>
    </xf>
    <xf numFmtId="0" fontId="18" fillId="37" borderId="18" xfId="0" applyFont="1" applyFill="1" applyBorder="1" applyAlignment="1">
      <alignment vertical="top"/>
    </xf>
    <xf numFmtId="49" fontId="0" fillId="37" borderId="0" xfId="0" applyNumberFormat="1" applyFill="1" applyAlignment="1">
      <alignment vertical="center"/>
    </xf>
    <xf numFmtId="0" fontId="0" fillId="37" borderId="0" xfId="0" applyFill="1" applyAlignment="1">
      <alignment vertical="center"/>
    </xf>
    <xf numFmtId="49" fontId="0" fillId="37" borderId="0" xfId="0" applyNumberFormat="1" applyFill="1" applyAlignment="1">
      <alignment vertical="center" wrapText="1"/>
    </xf>
    <xf numFmtId="182" fontId="17" fillId="0" borderId="0" xfId="0" applyNumberFormat="1" applyFont="1" applyAlignment="1">
      <alignment horizontal="right" vertical="top"/>
    </xf>
    <xf numFmtId="49" fontId="17" fillId="0" borderId="0" xfId="0" applyNumberFormat="1" applyFont="1" applyAlignment="1">
      <alignment horizontal="center" vertical="top" wrapText="1"/>
    </xf>
    <xf numFmtId="177" fontId="44" fillId="37" borderId="79" xfId="46" applyNumberFormat="1" applyFont="1" applyFill="1" applyBorder="1" applyAlignment="1">
      <alignment vertical="center" shrinkToFit="1"/>
    </xf>
    <xf numFmtId="177" fontId="44" fillId="0" borderId="0" xfId="0" applyNumberFormat="1" applyFont="1" applyAlignment="1">
      <alignment vertical="center"/>
    </xf>
    <xf numFmtId="177" fontId="44" fillId="30" borderId="10" xfId="0" applyNumberFormat="1" applyFont="1" applyFill="1" applyBorder="1" applyAlignment="1">
      <alignment horizontal="right" vertical="center" shrinkToFit="1"/>
    </xf>
    <xf numFmtId="0" fontId="46" fillId="0" borderId="14"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16" xfId="0" applyFont="1" applyBorder="1" applyAlignment="1">
      <alignment horizontal="center" vertical="center" shrinkToFit="1"/>
    </xf>
    <xf numFmtId="0" fontId="138" fillId="0" borderId="12" xfId="0" applyFont="1" applyBorder="1" applyAlignment="1">
      <alignment horizontal="center" vertical="center" shrinkToFit="1"/>
    </xf>
    <xf numFmtId="0" fontId="111" fillId="42" borderId="10" xfId="80" applyFont="1" applyFill="1" applyBorder="1" applyAlignment="1">
      <alignment horizontal="center" vertical="center"/>
    </xf>
    <xf numFmtId="0" fontId="111" fillId="0" borderId="10" xfId="80" applyFont="1" applyBorder="1" applyAlignment="1">
      <alignment horizontal="center" vertical="center"/>
    </xf>
    <xf numFmtId="38" fontId="44" fillId="33" borderId="0" xfId="46" applyFont="1" applyFill="1" applyBorder="1" applyAlignment="1">
      <alignment vertical="center" shrinkToFit="1"/>
    </xf>
    <xf numFmtId="0" fontId="44" fillId="33" borderId="30" xfId="0" applyFont="1" applyFill="1" applyBorder="1" applyAlignment="1">
      <alignment vertical="center"/>
    </xf>
    <xf numFmtId="0" fontId="44" fillId="0" borderId="30" xfId="0" applyFont="1" applyBorder="1" applyAlignment="1">
      <alignment vertical="center"/>
    </xf>
    <xf numFmtId="0" fontId="46" fillId="33" borderId="67" xfId="0" applyFont="1" applyFill="1" applyBorder="1" applyAlignment="1">
      <alignment vertical="center" shrinkToFit="1"/>
    </xf>
    <xf numFmtId="0" fontId="46" fillId="33" borderId="34" xfId="0" applyFont="1" applyFill="1" applyBorder="1" applyAlignment="1">
      <alignment vertical="center" shrinkToFit="1"/>
    </xf>
    <xf numFmtId="0" fontId="46" fillId="33" borderId="47" xfId="0" applyFont="1" applyFill="1" applyBorder="1" applyAlignment="1">
      <alignment vertical="center" shrinkToFit="1"/>
    </xf>
    <xf numFmtId="0" fontId="46" fillId="33" borderId="33" xfId="0" applyFont="1" applyFill="1" applyBorder="1" applyAlignment="1">
      <alignment vertical="center" shrinkToFit="1"/>
    </xf>
    <xf numFmtId="38" fontId="46" fillId="33" borderId="11" xfId="46" applyFont="1" applyFill="1" applyBorder="1" applyAlignment="1">
      <alignment horizontal="center" vertical="center" wrapText="1"/>
    </xf>
    <xf numFmtId="38" fontId="46" fillId="33" borderId="56" xfId="46" applyFont="1" applyFill="1" applyBorder="1" applyAlignment="1">
      <alignment horizontal="center" vertical="center" wrapText="1"/>
    </xf>
    <xf numFmtId="0" fontId="46" fillId="33" borderId="65" xfId="0" applyFont="1" applyFill="1" applyBorder="1" applyAlignment="1">
      <alignment vertical="center" shrinkToFit="1"/>
    </xf>
    <xf numFmtId="38" fontId="46" fillId="33" borderId="152" xfId="46" applyFont="1" applyFill="1" applyBorder="1" applyAlignment="1">
      <alignment horizontal="center" vertical="center" wrapText="1"/>
    </xf>
    <xf numFmtId="38" fontId="46" fillId="33" borderId="223" xfId="46" applyFont="1" applyFill="1" applyBorder="1" applyAlignment="1">
      <alignment horizontal="center" vertical="center" wrapText="1"/>
    </xf>
    <xf numFmtId="0" fontId="46" fillId="33" borderId="49" xfId="0" applyFont="1" applyFill="1" applyBorder="1" applyAlignment="1">
      <alignment vertical="center" shrinkToFit="1"/>
    </xf>
    <xf numFmtId="0" fontId="46" fillId="33" borderId="48" xfId="0" applyFont="1" applyFill="1" applyBorder="1" applyAlignment="1">
      <alignment vertical="center" shrinkToFit="1"/>
    </xf>
    <xf numFmtId="0" fontId="46" fillId="0" borderId="67" xfId="0" applyFont="1" applyBorder="1" applyAlignment="1">
      <alignment vertical="center" shrinkToFit="1"/>
    </xf>
    <xf numFmtId="0" fontId="46" fillId="0" borderId="34" xfId="0" applyFont="1" applyBorder="1" applyAlignment="1">
      <alignment vertical="center" shrinkToFit="1"/>
    </xf>
    <xf numFmtId="0" fontId="46" fillId="0" borderId="47" xfId="0" applyFont="1" applyBorder="1" applyAlignment="1">
      <alignment vertical="center" shrinkToFit="1"/>
    </xf>
    <xf numFmtId="192" fontId="46" fillId="0" borderId="28" xfId="46" applyNumberFormat="1"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17" xfId="0" applyFont="1" applyBorder="1" applyAlignment="1">
      <alignment horizontal="center" vertical="center" shrinkToFit="1"/>
    </xf>
    <xf numFmtId="192" fontId="46" fillId="0" borderId="204" xfId="46" applyNumberFormat="1" applyFont="1" applyBorder="1" applyAlignment="1">
      <alignment horizontal="center" vertical="center" shrinkToFit="1"/>
    </xf>
    <xf numFmtId="192" fontId="46" fillId="0" borderId="73" xfId="46" applyNumberFormat="1" applyFont="1" applyBorder="1" applyAlignment="1">
      <alignment horizontal="center" vertical="center" shrinkToFit="1"/>
    </xf>
    <xf numFmtId="192" fontId="46" fillId="0" borderId="51" xfId="46" applyNumberFormat="1" applyFont="1" applyBorder="1" applyAlignment="1">
      <alignment horizontal="center" vertical="center" shrinkToFit="1"/>
    </xf>
    <xf numFmtId="192" fontId="46" fillId="0" borderId="205" xfId="46" applyNumberFormat="1" applyFont="1" applyBorder="1" applyAlignment="1">
      <alignment horizontal="center" vertical="center" shrinkToFit="1"/>
    </xf>
    <xf numFmtId="192" fontId="46" fillId="0" borderId="206" xfId="46" applyNumberFormat="1" applyFont="1" applyBorder="1" applyAlignment="1">
      <alignment horizontal="center" vertical="center" shrinkToFit="1"/>
    </xf>
    <xf numFmtId="192" fontId="46" fillId="0" borderId="57" xfId="46" applyNumberFormat="1" applyFont="1" applyBorder="1" applyAlignment="1">
      <alignment horizontal="center" vertical="center" shrinkToFit="1"/>
    </xf>
    <xf numFmtId="0" fontId="152" fillId="33" borderId="0" xfId="0" applyFont="1" applyFill="1" applyAlignment="1">
      <alignment vertical="center" shrinkToFit="1"/>
    </xf>
    <xf numFmtId="0" fontId="152" fillId="33" borderId="10" xfId="0" applyFont="1" applyFill="1" applyBorder="1" applyAlignment="1">
      <alignment vertical="center" shrinkToFit="1"/>
    </xf>
    <xf numFmtId="0" fontId="153" fillId="0" borderId="10" xfId="0" applyFont="1" applyBorder="1" applyAlignment="1">
      <alignment vertical="center" shrinkToFit="1"/>
    </xf>
    <xf numFmtId="0" fontId="154" fillId="33" borderId="10" xfId="0" applyFont="1" applyFill="1" applyBorder="1" applyAlignment="1">
      <alignment vertical="center" shrinkToFit="1"/>
    </xf>
    <xf numFmtId="0" fontId="153" fillId="33" borderId="10" xfId="0" applyFont="1" applyFill="1" applyBorder="1" applyAlignment="1">
      <alignment vertical="center" shrinkToFit="1"/>
    </xf>
    <xf numFmtId="186" fontId="152" fillId="33" borderId="10" xfId="0" applyNumberFormat="1" applyFont="1" applyFill="1" applyBorder="1" applyAlignment="1">
      <alignment vertical="center" shrinkToFit="1"/>
    </xf>
    <xf numFmtId="0" fontId="152" fillId="33" borderId="10" xfId="0" applyFont="1" applyFill="1" applyBorder="1" applyAlignment="1">
      <alignment vertical="center"/>
    </xf>
    <xf numFmtId="38" fontId="152" fillId="33" borderId="10" xfId="46" applyFont="1" applyFill="1" applyBorder="1" applyAlignment="1">
      <alignment vertical="center" shrinkToFit="1"/>
    </xf>
    <xf numFmtId="38" fontId="153" fillId="33" borderId="10" xfId="46" applyFont="1" applyFill="1" applyBorder="1" applyAlignment="1">
      <alignment vertical="center" shrinkToFit="1"/>
    </xf>
    <xf numFmtId="0" fontId="152" fillId="0" borderId="0" xfId="0" applyFont="1" applyAlignment="1">
      <alignment vertical="center" shrinkToFit="1"/>
    </xf>
    <xf numFmtId="0" fontId="152" fillId="0" borderId="10" xfId="0" applyFont="1" applyBorder="1" applyAlignment="1">
      <alignment vertical="center" shrinkToFit="1"/>
    </xf>
    <xf numFmtId="0" fontId="154" fillId="0" borderId="10" xfId="0" applyFont="1" applyBorder="1" applyAlignment="1">
      <alignment vertical="center" shrinkToFit="1"/>
    </xf>
    <xf numFmtId="0" fontId="152" fillId="0" borderId="16" xfId="0" applyFont="1" applyBorder="1" applyAlignment="1">
      <alignment vertical="center" shrinkToFit="1"/>
    </xf>
    <xf numFmtId="0" fontId="152" fillId="0" borderId="14" xfId="0" applyFont="1" applyBorder="1" applyAlignment="1">
      <alignment vertical="center"/>
    </xf>
    <xf numFmtId="192" fontId="154" fillId="0" borderId="10" xfId="46" applyNumberFormat="1" applyFont="1" applyBorder="1" applyAlignment="1">
      <alignment horizontal="right" vertical="center" wrapText="1"/>
    </xf>
    <xf numFmtId="0" fontId="152" fillId="0" borderId="10" xfId="0" applyFont="1" applyBorder="1" applyAlignment="1">
      <alignment vertical="center"/>
    </xf>
    <xf numFmtId="0" fontId="152" fillId="0" borderId="0" xfId="0" applyFont="1" applyAlignment="1">
      <alignment horizontal="left" vertical="center" shrinkToFit="1"/>
    </xf>
    <xf numFmtId="0" fontId="152" fillId="0" borderId="0" xfId="0" applyFont="1" applyAlignment="1">
      <alignment vertical="center"/>
    </xf>
    <xf numFmtId="0" fontId="152" fillId="0" borderId="10" xfId="0" applyFont="1" applyBorder="1" applyAlignment="1">
      <alignment vertical="center" wrapText="1" shrinkToFit="1"/>
    </xf>
    <xf numFmtId="0" fontId="152" fillId="0" borderId="50" xfId="0" applyFont="1" applyBorder="1" applyAlignment="1">
      <alignment vertical="center"/>
    </xf>
    <xf numFmtId="0" fontId="39" fillId="0" borderId="0" xfId="0" applyFont="1" applyAlignment="1">
      <alignment horizontal="left" vertical="center"/>
    </xf>
    <xf numFmtId="0" fontId="39" fillId="0" borderId="0" xfId="0" applyFont="1" applyAlignment="1">
      <alignment horizontal="center" vertical="center"/>
    </xf>
    <xf numFmtId="49" fontId="56" fillId="0" borderId="0" xfId="0" applyNumberFormat="1" applyFont="1" applyAlignment="1">
      <alignment vertical="top"/>
    </xf>
    <xf numFmtId="49" fontId="56" fillId="0" borderId="0" xfId="0" applyNumberFormat="1" applyFont="1" applyAlignment="1">
      <alignment horizontal="right" vertical="top" wrapText="1"/>
    </xf>
    <xf numFmtId="49" fontId="56" fillId="0" borderId="0" xfId="0" applyNumberFormat="1" applyFont="1" applyAlignment="1">
      <alignment horizontal="left" vertical="top"/>
    </xf>
    <xf numFmtId="0" fontId="157" fillId="0" borderId="0" xfId="0" applyFont="1" applyAlignment="1">
      <alignment vertical="top"/>
    </xf>
    <xf numFmtId="182" fontId="138" fillId="0" borderId="12" xfId="0" applyNumberFormat="1" applyFont="1" applyBorder="1" applyAlignment="1">
      <alignment horizontal="right" vertical="center" shrinkToFit="1"/>
    </xf>
    <xf numFmtId="192" fontId="144" fillId="0" borderId="12" xfId="46" applyNumberFormat="1" applyFont="1" applyFill="1" applyBorder="1" applyAlignment="1">
      <alignment horizontal="right" vertical="center" shrinkToFit="1"/>
    </xf>
    <xf numFmtId="192" fontId="144" fillId="0" borderId="0" xfId="0" applyNumberFormat="1" applyFont="1" applyAlignment="1">
      <alignment horizontal="right" vertical="center" shrinkToFit="1"/>
    </xf>
    <xf numFmtId="0" fontId="145" fillId="0" borderId="175" xfId="0" applyFont="1" applyBorder="1" applyAlignment="1">
      <alignment horizontal="center" vertical="center" shrinkToFit="1"/>
    </xf>
    <xf numFmtId="0" fontId="144" fillId="0" borderId="175" xfId="0" applyFont="1" applyBorder="1" applyAlignment="1">
      <alignment horizontal="center" vertical="center" shrinkToFit="1"/>
    </xf>
    <xf numFmtId="182" fontId="144" fillId="0" borderId="175" xfId="0" applyNumberFormat="1" applyFont="1" applyBorder="1" applyAlignment="1">
      <alignment horizontal="right" vertical="center" shrinkToFit="1"/>
    </xf>
    <xf numFmtId="192" fontId="144" fillId="0" borderId="216" xfId="46" applyNumberFormat="1" applyFont="1" applyFill="1" applyBorder="1" applyAlignment="1">
      <alignment horizontal="right" vertical="center" shrinkToFit="1"/>
    </xf>
    <xf numFmtId="192" fontId="144" fillId="0" borderId="224" xfId="0" applyNumberFormat="1" applyFont="1" applyBorder="1" applyAlignment="1">
      <alignment horizontal="right" vertical="center" shrinkToFit="1"/>
    </xf>
    <xf numFmtId="192" fontId="144" fillId="0" borderId="225" xfId="0" applyNumberFormat="1" applyFont="1" applyBorder="1" applyAlignment="1">
      <alignment horizontal="right" vertical="center" shrinkToFit="1"/>
    </xf>
    <xf numFmtId="0" fontId="155" fillId="0" borderId="0" xfId="0" applyFont="1" applyAlignment="1">
      <alignment vertical="center"/>
    </xf>
    <xf numFmtId="0" fontId="145" fillId="0" borderId="0" xfId="0" applyFont="1" applyAlignment="1">
      <alignment vertical="center"/>
    </xf>
    <xf numFmtId="192" fontId="144" fillId="0" borderId="156" xfId="0" applyNumberFormat="1" applyFont="1" applyBorder="1" applyAlignment="1">
      <alignment horizontal="right" vertical="center" shrinkToFit="1"/>
    </xf>
    <xf numFmtId="192" fontId="144" fillId="0" borderId="73" xfId="0" applyNumberFormat="1" applyFont="1" applyBorder="1" applyAlignment="1">
      <alignment horizontal="right" vertical="center" shrinkToFit="1"/>
    </xf>
    <xf numFmtId="192" fontId="144" fillId="0" borderId="74" xfId="0" applyNumberFormat="1" applyFont="1" applyBorder="1" applyAlignment="1">
      <alignment horizontal="right" vertical="center" shrinkToFit="1"/>
    </xf>
    <xf numFmtId="192" fontId="144" fillId="0" borderId="75" xfId="0" applyNumberFormat="1" applyFont="1" applyBorder="1" applyAlignment="1">
      <alignment horizontal="right" vertical="center" shrinkToFit="1"/>
    </xf>
    <xf numFmtId="192" fontId="153" fillId="0" borderId="10" xfId="46" applyNumberFormat="1" applyFont="1" applyBorder="1" applyAlignment="1">
      <alignment horizontal="right" vertical="center" wrapText="1"/>
    </xf>
    <xf numFmtId="0" fontId="138" fillId="0" borderId="0" xfId="0" applyFont="1" applyAlignment="1">
      <alignment horizontal="left" vertical="center"/>
    </xf>
    <xf numFmtId="187" fontId="134" fillId="0" borderId="0" xfId="0" applyNumberFormat="1" applyFont="1" applyAlignment="1">
      <alignment vertical="center"/>
    </xf>
    <xf numFmtId="188" fontId="138" fillId="0" borderId="0" xfId="0" applyNumberFormat="1" applyFont="1" applyAlignment="1">
      <alignment vertical="center"/>
    </xf>
    <xf numFmtId="0" fontId="142" fillId="0" borderId="0" xfId="0" applyFont="1" applyAlignment="1">
      <alignment vertical="center"/>
    </xf>
    <xf numFmtId="180" fontId="138" fillId="0" borderId="0" xfId="0" applyNumberFormat="1" applyFont="1" applyAlignment="1">
      <alignment vertical="center"/>
    </xf>
    <xf numFmtId="182" fontId="138" fillId="0" borderId="0" xfId="0" applyNumberFormat="1" applyFont="1" applyAlignment="1">
      <alignment vertical="center"/>
    </xf>
    <xf numFmtId="0" fontId="134" fillId="0" borderId="0" xfId="0" applyFont="1" applyAlignment="1">
      <alignment horizontal="left" vertical="center"/>
    </xf>
    <xf numFmtId="0" fontId="143" fillId="0" borderId="0" xfId="0" applyFont="1" applyAlignment="1">
      <alignment vertical="center"/>
    </xf>
    <xf numFmtId="180" fontId="134" fillId="0" borderId="0" xfId="0" applyNumberFormat="1" applyFont="1" applyAlignment="1">
      <alignment vertical="center"/>
    </xf>
    <xf numFmtId="182" fontId="134" fillId="0" borderId="0" xfId="0" applyNumberFormat="1" applyFont="1" applyAlignment="1">
      <alignment vertical="center"/>
    </xf>
    <xf numFmtId="0" fontId="0" fillId="0" borderId="0" xfId="0" applyAlignment="1">
      <alignment horizontal="left" vertical="center"/>
    </xf>
    <xf numFmtId="1" fontId="118" fillId="0" borderId="10" xfId="43" applyNumberFormat="1" applyFont="1" applyBorder="1">
      <alignment vertical="center"/>
    </xf>
    <xf numFmtId="0" fontId="156" fillId="0" borderId="10" xfId="43" applyFont="1" applyBorder="1">
      <alignment vertical="center"/>
    </xf>
    <xf numFmtId="0" fontId="156" fillId="0" borderId="10" xfId="43" applyFont="1" applyBorder="1" applyAlignment="1"/>
    <xf numFmtId="0" fontId="156" fillId="0" borderId="10" xfId="43" applyFont="1" applyBorder="1" applyAlignment="1">
      <alignment vertical="center" shrinkToFit="1"/>
    </xf>
    <xf numFmtId="0" fontId="111" fillId="44" borderId="10" xfId="80" applyFont="1" applyFill="1" applyBorder="1" applyAlignment="1">
      <alignment horizontal="center" vertical="center"/>
    </xf>
    <xf numFmtId="6" fontId="113" fillId="0" borderId="10" xfId="78" applyFont="1" applyBorder="1" applyAlignment="1">
      <alignment horizontal="center" vertical="center"/>
    </xf>
    <xf numFmtId="0" fontId="111" fillId="42" borderId="10" xfId="74" applyFont="1" applyFill="1" applyBorder="1" applyAlignment="1">
      <alignment vertical="center" shrinkToFit="1"/>
    </xf>
    <xf numFmtId="0" fontId="111" fillId="0" borderId="10" xfId="80" applyFont="1" applyBorder="1">
      <alignment vertical="center"/>
    </xf>
    <xf numFmtId="0" fontId="73" fillId="0" borderId="0" xfId="0" applyFont="1" applyAlignment="1">
      <alignment vertical="top"/>
    </xf>
    <xf numFmtId="49" fontId="159" fillId="0" borderId="0" xfId="0" applyNumberFormat="1" applyFont="1" applyAlignment="1">
      <alignment horizontal="right" vertical="top" wrapText="1"/>
    </xf>
    <xf numFmtId="49" fontId="159" fillId="0" borderId="0" xfId="0" applyNumberFormat="1" applyFont="1" applyAlignment="1">
      <alignment horizontal="left" vertical="top"/>
    </xf>
    <xf numFmtId="0" fontId="47" fillId="34" borderId="0" xfId="0" applyFont="1" applyFill="1" applyAlignment="1">
      <alignment vertical="center"/>
    </xf>
    <xf numFmtId="0" fontId="44" fillId="34" borderId="10" xfId="0" applyFont="1" applyFill="1" applyBorder="1" applyAlignment="1">
      <alignment vertical="center" shrinkToFit="1"/>
    </xf>
    <xf numFmtId="0" fontId="152" fillId="34" borderId="10" xfId="0" applyFont="1" applyFill="1" applyBorder="1" applyAlignment="1">
      <alignment vertical="center"/>
    </xf>
    <xf numFmtId="0" fontId="152" fillId="34" borderId="0" xfId="0" applyFont="1" applyFill="1" applyAlignment="1">
      <alignment vertical="center"/>
    </xf>
    <xf numFmtId="0" fontId="39" fillId="34" borderId="10" xfId="44" applyFont="1" applyFill="1" applyBorder="1" applyAlignment="1">
      <alignment vertical="center" shrinkToFit="1"/>
    </xf>
    <xf numFmtId="0" fontId="44" fillId="34" borderId="10" xfId="0" applyFont="1" applyFill="1" applyBorder="1" applyAlignment="1">
      <alignment vertical="center"/>
    </xf>
    <xf numFmtId="0" fontId="160" fillId="0" borderId="0" xfId="0" applyFont="1" applyAlignment="1">
      <alignment vertical="center"/>
    </xf>
    <xf numFmtId="0" fontId="17" fillId="0" borderId="0" xfId="0" applyFont="1" applyAlignment="1">
      <alignment horizontal="center" vertical="center" shrinkToFit="1"/>
    </xf>
    <xf numFmtId="0" fontId="56" fillId="0" borderId="0" xfId="0" applyFont="1" applyAlignment="1">
      <alignment horizontal="left" vertical="top" wrapText="1"/>
    </xf>
    <xf numFmtId="0" fontId="159" fillId="0" borderId="0" xfId="0" applyFont="1" applyAlignment="1">
      <alignment horizontal="left" vertical="top" wrapText="1"/>
    </xf>
    <xf numFmtId="49" fontId="60" fillId="0" borderId="0" xfId="0" applyNumberFormat="1" applyFont="1" applyAlignment="1">
      <alignment vertical="center" wrapText="1"/>
    </xf>
    <xf numFmtId="0" fontId="156" fillId="0" borderId="10" xfId="43" applyFont="1" applyBorder="1" applyAlignment="1">
      <alignment horizontal="center" vertical="center" shrinkToFit="1"/>
    </xf>
    <xf numFmtId="0" fontId="56" fillId="0" borderId="0" xfId="0" applyFont="1" applyAlignment="1">
      <alignment horizontal="right" vertical="top" wrapText="1"/>
    </xf>
    <xf numFmtId="0" fontId="56" fillId="0" borderId="0" xfId="0" applyFont="1" applyAlignment="1">
      <alignment horizontal="left" vertical="top"/>
    </xf>
    <xf numFmtId="0" fontId="56" fillId="0" borderId="0" xfId="0" applyFont="1" applyAlignment="1">
      <alignment horizontal="right" vertical="top"/>
    </xf>
    <xf numFmtId="0" fontId="56" fillId="0" borderId="0" xfId="0" applyFont="1" applyAlignment="1">
      <alignment vertical="top" wrapText="1"/>
    </xf>
    <xf numFmtId="0" fontId="17" fillId="0" borderId="0" xfId="0" applyFont="1" applyAlignment="1">
      <alignment horizontal="left" vertical="center"/>
    </xf>
    <xf numFmtId="49" fontId="56" fillId="0" borderId="0" xfId="0" applyNumberFormat="1" applyFont="1" applyAlignment="1">
      <alignment horizontal="left" vertical="top" wrapText="1"/>
    </xf>
    <xf numFmtId="49" fontId="159" fillId="0" borderId="0" xfId="0" applyNumberFormat="1" applyFont="1" applyAlignment="1">
      <alignment vertical="top"/>
    </xf>
    <xf numFmtId="0" fontId="159" fillId="0" borderId="0" xfId="0" applyFont="1" applyAlignment="1">
      <alignment horizontal="right" vertical="top" wrapText="1"/>
    </xf>
    <xf numFmtId="0" fontId="159" fillId="0" borderId="0" xfId="0" applyFont="1" applyAlignment="1">
      <alignment horizontal="left" vertical="top"/>
    </xf>
    <xf numFmtId="0" fontId="159" fillId="0" borderId="0" xfId="0" applyFont="1" applyAlignment="1">
      <alignment horizontal="right" vertical="top"/>
    </xf>
    <xf numFmtId="0" fontId="118" fillId="0" borderId="0" xfId="43" applyFont="1" applyAlignment="1">
      <alignment vertical="center" shrinkToFit="1"/>
    </xf>
    <xf numFmtId="0" fontId="118" fillId="0" borderId="71" xfId="43" applyFont="1" applyBorder="1" applyAlignment="1" applyProtection="1">
      <alignment vertical="center" shrinkToFit="1"/>
      <protection locked="0"/>
    </xf>
    <xf numFmtId="0" fontId="114" fillId="0" borderId="10" xfId="43" applyFont="1" applyBorder="1" applyAlignment="1">
      <alignment vertical="center" shrinkToFit="1"/>
    </xf>
    <xf numFmtId="0" fontId="118" fillId="0" borderId="10" xfId="43" applyFont="1" applyBorder="1" applyAlignment="1">
      <alignment vertical="center" shrinkToFit="1"/>
    </xf>
    <xf numFmtId="0" fontId="118" fillId="0" borderId="0" xfId="43" applyFont="1" applyAlignment="1">
      <alignment horizontal="center" vertical="center"/>
    </xf>
    <xf numFmtId="6" fontId="118" fillId="0" borderId="0" xfId="76" applyFont="1" applyFill="1" applyBorder="1" applyAlignment="1" applyProtection="1">
      <alignment vertical="center"/>
    </xf>
    <xf numFmtId="0" fontId="118" fillId="49" borderId="0" xfId="43" applyFont="1" applyFill="1">
      <alignment vertical="center"/>
    </xf>
    <xf numFmtId="1" fontId="118" fillId="49" borderId="0" xfId="46" applyNumberFormat="1" applyFont="1" applyFill="1" applyProtection="1">
      <alignment vertical="center"/>
    </xf>
    <xf numFmtId="0" fontId="121" fillId="0" borderId="0" xfId="43" applyFont="1" applyAlignment="1">
      <alignment horizontal="center"/>
    </xf>
    <xf numFmtId="0" fontId="161" fillId="0" borderId="0" xfId="43" applyFont="1" applyAlignment="1">
      <alignment vertical="center" wrapText="1"/>
    </xf>
    <xf numFmtId="38" fontId="118" fillId="0" borderId="0" xfId="46" applyFont="1" applyFill="1" applyBorder="1" applyAlignment="1" applyProtection="1">
      <alignment vertical="center"/>
    </xf>
    <xf numFmtId="0" fontId="44" fillId="0" borderId="10" xfId="0" applyFont="1" applyBorder="1" applyAlignment="1" applyProtection="1">
      <alignment horizontal="left" vertical="center"/>
      <protection locked="0"/>
    </xf>
    <xf numFmtId="0" fontId="44" fillId="34" borderId="172" xfId="0" applyFont="1" applyFill="1" applyBorder="1" applyAlignment="1">
      <alignment horizontal="center" vertical="center" shrinkToFit="1"/>
    </xf>
    <xf numFmtId="0" fontId="17" fillId="0" borderId="0" xfId="0" applyFont="1" applyAlignment="1">
      <alignment horizontal="center" vertical="top" wrapText="1"/>
    </xf>
    <xf numFmtId="38" fontId="17" fillId="0" borderId="0" xfId="0" applyNumberFormat="1" applyFont="1" applyAlignment="1">
      <alignment horizontal="right" vertical="top"/>
    </xf>
    <xf numFmtId="6" fontId="113" fillId="0" borderId="50" xfId="78" applyFont="1" applyFill="1" applyBorder="1" applyProtection="1">
      <alignment vertical="center"/>
    </xf>
    <xf numFmtId="6" fontId="113" fillId="0" borderId="10" xfId="78" applyFont="1" applyFill="1" applyBorder="1" applyProtection="1">
      <alignment vertical="center"/>
    </xf>
    <xf numFmtId="6" fontId="113" fillId="0" borderId="175" xfId="78" applyFont="1" applyFill="1" applyBorder="1" applyProtection="1">
      <alignment vertical="center"/>
    </xf>
    <xf numFmtId="0" fontId="152" fillId="0" borderId="10" xfId="0" applyFont="1" applyBorder="1" applyAlignment="1" applyProtection="1">
      <alignment horizontal="center" vertical="center"/>
      <protection locked="0"/>
    </xf>
    <xf numFmtId="0" fontId="114" fillId="0" borderId="23" xfId="43" applyFont="1" applyBorder="1">
      <alignment vertical="center"/>
    </xf>
    <xf numFmtId="0" fontId="163" fillId="0" borderId="10" xfId="43" applyFont="1" applyBorder="1">
      <alignment vertical="center"/>
    </xf>
    <xf numFmtId="0" fontId="163" fillId="0" borderId="0" xfId="43" applyFont="1">
      <alignment vertical="center"/>
    </xf>
    <xf numFmtId="49" fontId="56" fillId="0" borderId="0" xfId="0" applyNumberFormat="1" applyFont="1" applyAlignment="1">
      <alignment horizontal="right" vertical="top"/>
    </xf>
    <xf numFmtId="0" fontId="39" fillId="0" borderId="0" xfId="0" applyFont="1" applyAlignment="1">
      <alignment horizontal="right" vertical="center" shrinkToFit="1"/>
    </xf>
    <xf numFmtId="0" fontId="164" fillId="0" borderId="0" xfId="0" applyFont="1" applyAlignment="1">
      <alignment vertical="center"/>
    </xf>
    <xf numFmtId="179" fontId="165" fillId="30" borderId="10" xfId="0" applyNumberFormat="1" applyFont="1" applyFill="1" applyBorder="1" applyAlignment="1">
      <alignment horizontal="right" vertical="center" shrinkToFit="1"/>
    </xf>
    <xf numFmtId="0" fontId="166" fillId="33" borderId="10" xfId="0" applyFont="1" applyFill="1" applyBorder="1" applyAlignment="1">
      <alignment vertical="center" shrinkToFit="1"/>
    </xf>
    <xf numFmtId="38" fontId="167" fillId="33" borderId="10" xfId="46" applyFont="1" applyFill="1" applyBorder="1" applyAlignment="1">
      <alignment vertical="center" shrinkToFit="1"/>
    </xf>
    <xf numFmtId="38" fontId="167" fillId="0" borderId="10" xfId="46" applyFont="1" applyBorder="1" applyAlignment="1">
      <alignment horizontal="right" vertical="center" shrinkToFit="1"/>
    </xf>
    <xf numFmtId="0" fontId="168" fillId="0" borderId="0" xfId="0" applyFont="1" applyAlignment="1">
      <alignment vertical="center"/>
    </xf>
    <xf numFmtId="0" fontId="169" fillId="0" borderId="0" xfId="0" applyFont="1" applyAlignment="1">
      <alignment vertical="center"/>
    </xf>
    <xf numFmtId="0" fontId="156" fillId="0" borderId="10" xfId="43" applyFont="1" applyBorder="1" applyAlignment="1">
      <alignment horizontal="center" vertical="center"/>
    </xf>
    <xf numFmtId="0" fontId="156" fillId="0" borderId="0" xfId="43" applyFont="1">
      <alignment vertical="center"/>
    </xf>
    <xf numFmtId="0" fontId="44" fillId="37" borderId="10" xfId="0" applyFont="1" applyFill="1" applyBorder="1" applyAlignment="1">
      <alignment horizontal="right" vertical="center" shrinkToFit="1"/>
    </xf>
    <xf numFmtId="0" fontId="163" fillId="0" borderId="10" xfId="43" applyFont="1" applyBorder="1" applyAlignment="1"/>
    <xf numFmtId="3" fontId="118" fillId="0" borderId="10" xfId="43" applyNumberFormat="1" applyFont="1" applyBorder="1">
      <alignment vertical="center"/>
    </xf>
    <xf numFmtId="6" fontId="113" fillId="0" borderId="226" xfId="78" applyFont="1" applyBorder="1" applyProtection="1">
      <alignment vertical="center"/>
    </xf>
    <xf numFmtId="6" fontId="111" fillId="0" borderId="226" xfId="74" applyNumberFormat="1" applyFont="1" applyBorder="1">
      <alignment vertical="center"/>
    </xf>
    <xf numFmtId="0" fontId="111" fillId="0" borderId="228" xfId="80" applyFont="1" applyBorder="1" applyAlignment="1">
      <alignment vertical="center" shrinkToFit="1"/>
    </xf>
    <xf numFmtId="0" fontId="111" fillId="0" borderId="10" xfId="43" applyFont="1" applyBorder="1">
      <alignment vertical="center"/>
    </xf>
    <xf numFmtId="38" fontId="111" fillId="0" borderId="10" xfId="46" applyFont="1" applyBorder="1">
      <alignment vertical="center"/>
    </xf>
    <xf numFmtId="6" fontId="111" fillId="0" borderId="10" xfId="54" applyFont="1" applyBorder="1" applyAlignment="1">
      <alignment horizontal="right" vertical="center"/>
    </xf>
    <xf numFmtId="0" fontId="171" fillId="0" borderId="0" xfId="0" applyFont="1" applyAlignment="1">
      <alignment vertical="center"/>
    </xf>
    <xf numFmtId="38" fontId="163" fillId="0" borderId="10" xfId="46" applyFont="1" applyBorder="1" applyAlignment="1" applyProtection="1"/>
    <xf numFmtId="38" fontId="163" fillId="0" borderId="10" xfId="46" applyFont="1" applyBorder="1" applyAlignment="1" applyProtection="1">
      <alignment horizontal="right"/>
    </xf>
    <xf numFmtId="38" fontId="163" fillId="0" borderId="10" xfId="46" applyFont="1" applyBorder="1" applyAlignment="1" applyProtection="1">
      <alignment horizontal="right" vertical="center"/>
    </xf>
    <xf numFmtId="0" fontId="121" fillId="0" borderId="10" xfId="80" applyFont="1" applyBorder="1" applyAlignment="1">
      <alignment horizontal="right" vertical="center" shrinkToFit="1"/>
    </xf>
    <xf numFmtId="38" fontId="173" fillId="0" borderId="10" xfId="46" applyFont="1" applyBorder="1" applyAlignment="1" applyProtection="1"/>
    <xf numFmtId="0" fontId="121" fillId="0" borderId="14" xfId="80" applyFont="1" applyBorder="1" applyAlignment="1">
      <alignment horizontal="right" vertical="center"/>
    </xf>
    <xf numFmtId="0" fontId="44" fillId="0" borderId="16" xfId="0" applyFont="1" applyBorder="1" applyAlignment="1" applyProtection="1">
      <alignment vertical="center"/>
      <protection locked="0"/>
    </xf>
    <xf numFmtId="0" fontId="46" fillId="49" borderId="25" xfId="0" applyFont="1" applyFill="1" applyBorder="1" applyAlignment="1">
      <alignment horizontal="center" vertical="center" wrapText="1"/>
    </xf>
    <xf numFmtId="0" fontId="46" fillId="49" borderId="10" xfId="0" applyFont="1" applyFill="1" applyBorder="1" applyAlignment="1">
      <alignment horizontal="center" vertical="center" wrapText="1"/>
    </xf>
    <xf numFmtId="0" fontId="46" fillId="49" borderId="14" xfId="0" applyFont="1" applyFill="1" applyBorder="1" applyAlignment="1">
      <alignment horizontal="center" vertical="center" wrapText="1"/>
    </xf>
    <xf numFmtId="0" fontId="46" fillId="49" borderId="45" xfId="0" applyFont="1" applyFill="1" applyBorder="1" applyAlignment="1">
      <alignment horizontal="center" vertical="center" wrapText="1"/>
    </xf>
    <xf numFmtId="0" fontId="46" fillId="49" borderId="46" xfId="0" applyFont="1" applyFill="1" applyBorder="1" applyAlignment="1">
      <alignment horizontal="center" vertical="center" wrapText="1"/>
    </xf>
    <xf numFmtId="0" fontId="46" fillId="49" borderId="16" xfId="0" applyFont="1" applyFill="1" applyBorder="1" applyAlignment="1">
      <alignment horizontal="center" vertical="center" wrapText="1"/>
    </xf>
    <xf numFmtId="3" fontId="46" fillId="49" borderId="14" xfId="0" applyNumberFormat="1" applyFont="1" applyFill="1" applyBorder="1" applyAlignment="1">
      <alignment horizontal="center" vertical="center" wrapText="1"/>
    </xf>
    <xf numFmtId="3" fontId="46" fillId="49" borderId="10" xfId="0" applyNumberFormat="1" applyFont="1" applyFill="1" applyBorder="1" applyAlignment="1">
      <alignment horizontal="center" vertical="center" wrapText="1"/>
    </xf>
    <xf numFmtId="3" fontId="46" fillId="49" borderId="46" xfId="0" applyNumberFormat="1" applyFont="1" applyFill="1" applyBorder="1" applyAlignment="1">
      <alignment horizontal="center" vertical="center" wrapText="1"/>
    </xf>
    <xf numFmtId="3" fontId="46" fillId="49" borderId="17" xfId="0" applyNumberFormat="1" applyFont="1" applyFill="1" applyBorder="1" applyAlignment="1">
      <alignment horizontal="center" vertical="center" wrapText="1"/>
    </xf>
    <xf numFmtId="0" fontId="44" fillId="33" borderId="0" xfId="0" applyFont="1" applyFill="1" applyAlignment="1">
      <alignment horizontal="right" vertical="center"/>
    </xf>
    <xf numFmtId="0" fontId="44" fillId="34" borderId="10" xfId="0" applyFont="1" applyFill="1" applyBorder="1" applyAlignment="1" applyProtection="1">
      <alignment horizontal="center" vertical="center"/>
      <protection locked="0"/>
    </xf>
    <xf numFmtId="0" fontId="44" fillId="34" borderId="226" xfId="0" applyFont="1" applyFill="1" applyBorder="1" applyAlignment="1">
      <alignment horizontal="center" vertical="center"/>
    </xf>
    <xf numFmtId="0" fontId="180" fillId="50" borderId="209" xfId="0" applyFont="1" applyFill="1" applyBorder="1" applyAlignment="1">
      <alignment horizontal="left" vertical="center"/>
    </xf>
    <xf numFmtId="0" fontId="44" fillId="0" borderId="62" xfId="0" applyFont="1" applyBorder="1" applyAlignment="1" applyProtection="1">
      <alignment horizontal="center" vertical="center"/>
      <protection locked="0"/>
    </xf>
    <xf numFmtId="177" fontId="18" fillId="0" borderId="10" xfId="0" applyNumberFormat="1" applyFont="1" applyBorder="1" applyAlignment="1" applyProtection="1">
      <alignment horizontal="right" vertical="center"/>
      <protection locked="0"/>
    </xf>
    <xf numFmtId="177" fontId="180" fillId="0" borderId="50" xfId="0" applyNumberFormat="1" applyFont="1" applyBorder="1" applyAlignment="1" applyProtection="1">
      <alignment horizontal="right" vertical="center"/>
      <protection locked="0"/>
    </xf>
    <xf numFmtId="177" fontId="18" fillId="0" borderId="16" xfId="0" applyNumberFormat="1" applyFont="1" applyBorder="1" applyAlignment="1" applyProtection="1">
      <alignment horizontal="right" vertical="center"/>
      <protection locked="0"/>
    </xf>
    <xf numFmtId="177" fontId="180" fillId="0" borderId="18" xfId="0" applyNumberFormat="1" applyFont="1" applyBorder="1" applyAlignment="1" applyProtection="1">
      <alignment horizontal="right" vertical="center"/>
      <protection locked="0"/>
    </xf>
    <xf numFmtId="177" fontId="44" fillId="37" borderId="79" xfId="46" quotePrefix="1" applyNumberFormat="1" applyFont="1" applyFill="1" applyBorder="1" applyAlignment="1">
      <alignment vertical="center" shrinkToFit="1"/>
    </xf>
    <xf numFmtId="177" fontId="44" fillId="0" borderId="79" xfId="46" quotePrefix="1" applyNumberFormat="1" applyFont="1" applyFill="1" applyBorder="1" applyAlignment="1" applyProtection="1">
      <alignment vertical="center" shrinkToFit="1"/>
      <protection locked="0"/>
    </xf>
    <xf numFmtId="0" fontId="162" fillId="0" borderId="0" xfId="43" applyFont="1">
      <alignment vertical="center"/>
    </xf>
    <xf numFmtId="0" fontId="163" fillId="0" borderId="0" xfId="43" applyFont="1" applyAlignment="1">
      <alignment horizontal="right" vertical="center"/>
    </xf>
    <xf numFmtId="0" fontId="162" fillId="0" borderId="0" xfId="43" applyFont="1" applyAlignment="1">
      <alignment horizontal="right" vertical="center"/>
    </xf>
    <xf numFmtId="49" fontId="44" fillId="0" borderId="10" xfId="0" applyNumberFormat="1" applyFont="1" applyBorder="1" applyAlignment="1" applyProtection="1">
      <alignment horizontal="center" vertical="center"/>
      <protection locked="0"/>
    </xf>
    <xf numFmtId="0" fontId="44" fillId="0" borderId="10" xfId="0" applyFont="1" applyBorder="1" applyAlignment="1" applyProtection="1">
      <alignment horizontal="right" vertical="center"/>
      <protection locked="0"/>
    </xf>
    <xf numFmtId="49" fontId="44" fillId="0" borderId="215" xfId="0" applyNumberFormat="1" applyFont="1" applyBorder="1" applyAlignment="1" applyProtection="1">
      <alignment horizontal="right" vertical="center" shrinkToFit="1"/>
      <protection locked="0"/>
    </xf>
    <xf numFmtId="49" fontId="44" fillId="0" borderId="214" xfId="0" applyNumberFormat="1" applyFont="1" applyBorder="1" applyAlignment="1" applyProtection="1">
      <alignment horizontal="right" vertical="center" shrinkToFit="1"/>
      <protection locked="0"/>
    </xf>
    <xf numFmtId="177" fontId="44" fillId="37" borderId="80" xfId="46" quotePrefix="1" applyNumberFormat="1" applyFont="1" applyFill="1" applyBorder="1" applyAlignment="1">
      <alignment vertical="center" shrinkToFit="1"/>
    </xf>
    <xf numFmtId="49" fontId="180" fillId="0" borderId="90" xfId="0" applyNumberFormat="1" applyFont="1" applyBorder="1" applyAlignment="1" applyProtection="1">
      <alignment horizontal="right" vertical="center" shrinkToFit="1"/>
      <protection locked="0"/>
    </xf>
    <xf numFmtId="0" fontId="44" fillId="0" borderId="49" xfId="0" applyFont="1" applyBorder="1" applyAlignment="1" applyProtection="1">
      <alignment horizontal="left" vertical="center"/>
      <protection locked="0"/>
    </xf>
    <xf numFmtId="177" fontId="44" fillId="0" borderId="47" xfId="0" applyNumberFormat="1" applyFont="1" applyBorder="1" applyAlignment="1" applyProtection="1">
      <alignment horizontal="right" vertical="center"/>
      <protection locked="0"/>
    </xf>
    <xf numFmtId="0" fontId="140" fillId="0" borderId="0" xfId="0" applyFont="1" applyAlignment="1">
      <alignment horizontal="right" vertical="center"/>
    </xf>
    <xf numFmtId="49" fontId="181" fillId="0" borderId="0" xfId="0" applyNumberFormat="1" applyFont="1" applyAlignment="1">
      <alignment vertical="center"/>
    </xf>
    <xf numFmtId="0" fontId="181" fillId="0" borderId="0" xfId="0" applyFont="1" applyAlignment="1">
      <alignment vertical="center"/>
    </xf>
    <xf numFmtId="49" fontId="181" fillId="0" borderId="0" xfId="0" applyNumberFormat="1" applyFont="1" applyAlignment="1">
      <alignment vertical="center" wrapText="1"/>
    </xf>
    <xf numFmtId="49" fontId="181" fillId="0" borderId="0" xfId="0" applyNumberFormat="1" applyFont="1" applyAlignment="1">
      <alignment horizontal="center" vertical="center"/>
    </xf>
    <xf numFmtId="0" fontId="111" fillId="0" borderId="0" xfId="80" applyFont="1" applyAlignment="1">
      <alignment horizontal="left" vertical="center"/>
    </xf>
    <xf numFmtId="0" fontId="44" fillId="37" borderId="10" xfId="0" applyFont="1" applyFill="1" applyBorder="1" applyAlignment="1" applyProtection="1">
      <alignment horizontal="left" vertical="center" shrinkToFit="1"/>
      <protection locked="0"/>
    </xf>
    <xf numFmtId="0" fontId="44" fillId="0" borderId="35" xfId="0" applyFont="1" applyBorder="1" applyAlignment="1" applyProtection="1">
      <alignment horizontal="left" vertical="center" shrinkToFit="1"/>
      <protection locked="0"/>
    </xf>
    <xf numFmtId="0" fontId="44" fillId="0" borderId="36" xfId="0" applyFont="1" applyBorder="1" applyAlignment="1" applyProtection="1">
      <alignment horizontal="left" vertical="center" shrinkToFit="1"/>
      <protection locked="0"/>
    </xf>
    <xf numFmtId="0" fontId="44" fillId="0" borderId="66" xfId="0" applyFont="1" applyBorder="1" applyAlignment="1" applyProtection="1">
      <alignment horizontal="left" vertical="center" shrinkToFit="1"/>
      <protection locked="0"/>
    </xf>
    <xf numFmtId="0" fontId="44" fillId="0" borderId="61" xfId="0" applyFont="1" applyBorder="1" applyAlignment="1" applyProtection="1">
      <alignment horizontal="left" vertical="center" shrinkToFit="1"/>
      <protection locked="0"/>
    </xf>
    <xf numFmtId="0" fontId="44" fillId="0" borderId="25" xfId="0" applyFont="1" applyBorder="1" applyAlignment="1" applyProtection="1">
      <alignment horizontal="center" vertical="center" shrinkToFit="1"/>
      <protection locked="0"/>
    </xf>
    <xf numFmtId="0" fontId="44" fillId="0" borderId="15" xfId="0" applyFont="1" applyBorder="1" applyAlignment="1" applyProtection="1">
      <alignment horizontal="center" vertical="center" shrinkToFit="1"/>
      <protection locked="0"/>
    </xf>
    <xf numFmtId="0" fontId="44" fillId="0" borderId="17" xfId="0" applyFont="1" applyBorder="1" applyAlignment="1" applyProtection="1">
      <alignment horizontal="center" vertical="center" shrinkToFit="1"/>
      <protection locked="0"/>
    </xf>
    <xf numFmtId="0" fontId="44" fillId="30" borderId="60" xfId="0" applyFont="1" applyFill="1" applyBorder="1" applyAlignment="1">
      <alignment horizontal="center" vertical="center" shrinkToFit="1"/>
    </xf>
    <xf numFmtId="0" fontId="44" fillId="30" borderId="66" xfId="0" applyFont="1" applyFill="1" applyBorder="1" applyAlignment="1">
      <alignment horizontal="center" vertical="center" shrinkToFit="1"/>
    </xf>
    <xf numFmtId="0" fontId="44" fillId="30" borderId="14" xfId="0" applyFont="1" applyFill="1" applyBorder="1" applyAlignment="1">
      <alignment horizontal="left" vertical="center" shrinkToFit="1"/>
    </xf>
    <xf numFmtId="0" fontId="44" fillId="30" borderId="16" xfId="0" applyFont="1" applyFill="1" applyBorder="1" applyAlignment="1">
      <alignment horizontal="left" vertical="center" shrinkToFit="1"/>
    </xf>
    <xf numFmtId="0" fontId="44" fillId="30" borderId="10" xfId="0" applyFont="1" applyFill="1" applyBorder="1" applyAlignment="1">
      <alignment horizontal="left" vertical="center" shrinkToFit="1"/>
    </xf>
    <xf numFmtId="0" fontId="152" fillId="28" borderId="14" xfId="0" applyFont="1" applyFill="1" applyBorder="1" applyAlignment="1">
      <alignment horizontal="left" vertical="center" shrinkToFit="1"/>
    </xf>
    <xf numFmtId="0" fontId="152" fillId="28" borderId="16" xfId="0" applyFont="1" applyFill="1" applyBorder="1" applyAlignment="1">
      <alignment horizontal="left" vertical="center" shrinkToFit="1"/>
    </xf>
    <xf numFmtId="0" fontId="44" fillId="28" borderId="14" xfId="0" applyFont="1" applyFill="1" applyBorder="1" applyAlignment="1">
      <alignment horizontal="left" vertical="center" shrinkToFit="1"/>
    </xf>
    <xf numFmtId="0" fontId="44" fillId="28" borderId="16" xfId="0" applyFont="1" applyFill="1" applyBorder="1" applyAlignment="1">
      <alignment horizontal="left" vertical="center" shrinkToFit="1"/>
    </xf>
    <xf numFmtId="0" fontId="44" fillId="34" borderId="23" xfId="0" applyFont="1" applyFill="1" applyBorder="1" applyAlignment="1">
      <alignment horizontal="left" vertical="center" shrinkToFit="1"/>
    </xf>
    <xf numFmtId="0" fontId="44" fillId="34" borderId="0" xfId="0" applyFont="1" applyFill="1" applyAlignment="1">
      <alignment horizontal="left" vertical="center" shrinkToFit="1"/>
    </xf>
    <xf numFmtId="0" fontId="44" fillId="34" borderId="24" xfId="0" applyFont="1" applyFill="1" applyBorder="1" applyAlignment="1">
      <alignment horizontal="left" vertical="center" shrinkToFit="1"/>
    </xf>
    <xf numFmtId="0" fontId="153" fillId="28" borderId="14" xfId="0" applyFont="1" applyFill="1" applyBorder="1" applyAlignment="1">
      <alignment horizontal="left" vertical="center" shrinkToFit="1"/>
    </xf>
    <xf numFmtId="0" fontId="153" fillId="28" borderId="16" xfId="0" applyFont="1" applyFill="1" applyBorder="1" applyAlignment="1">
      <alignment horizontal="left" vertical="center" shrinkToFit="1"/>
    </xf>
    <xf numFmtId="0" fontId="153" fillId="30" borderId="10" xfId="0" applyFont="1" applyFill="1" applyBorder="1" applyAlignment="1">
      <alignment horizontal="left" vertical="center" shrinkToFit="1"/>
    </xf>
    <xf numFmtId="0" fontId="46" fillId="0" borderId="14"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16" xfId="0" applyFont="1" applyBorder="1" applyAlignment="1">
      <alignment horizontal="center" vertical="center" shrinkToFit="1"/>
    </xf>
    <xf numFmtId="0" fontId="44" fillId="28" borderId="10" xfId="0" applyFont="1" applyFill="1" applyBorder="1" applyAlignment="1">
      <alignment horizontal="center" vertical="center" shrinkToFit="1"/>
    </xf>
    <xf numFmtId="0" fontId="44" fillId="28" borderId="14" xfId="0" applyFont="1" applyFill="1" applyBorder="1" applyAlignment="1">
      <alignment horizontal="center" vertical="center" shrinkToFit="1"/>
    </xf>
    <xf numFmtId="0" fontId="46" fillId="28" borderId="10" xfId="0" applyFont="1" applyFill="1" applyBorder="1" applyAlignment="1">
      <alignment horizontal="left" vertical="center" shrinkToFit="1"/>
    </xf>
    <xf numFmtId="0" fontId="46" fillId="28" borderId="16" xfId="0" applyFont="1" applyFill="1" applyBorder="1" applyAlignment="1">
      <alignment horizontal="left" vertical="center" shrinkToFit="1"/>
    </xf>
    <xf numFmtId="0" fontId="46" fillId="28" borderId="14" xfId="0" applyFont="1" applyFill="1" applyBorder="1" applyAlignment="1">
      <alignment horizontal="left" vertical="center" shrinkToFit="1"/>
    </xf>
    <xf numFmtId="0" fontId="44" fillId="0" borderId="14" xfId="0" applyFont="1" applyBorder="1" applyAlignment="1">
      <alignment horizontal="left" vertical="center"/>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44" fillId="24" borderId="211" xfId="0" applyFont="1" applyFill="1" applyBorder="1" applyAlignment="1">
      <alignment horizontal="left" vertical="center" shrinkToFit="1"/>
    </xf>
    <xf numFmtId="0" fontId="44" fillId="24" borderId="173" xfId="0" applyFont="1" applyFill="1" applyBorder="1" applyAlignment="1">
      <alignment horizontal="left" vertical="center" shrinkToFit="1"/>
    </xf>
    <xf numFmtId="0" fontId="44" fillId="24" borderId="11" xfId="0" applyFont="1" applyFill="1" applyBorder="1" applyAlignment="1">
      <alignment horizontal="left" vertical="center" shrinkToFit="1"/>
    </xf>
    <xf numFmtId="0" fontId="44" fillId="24" borderId="12" xfId="0" applyFont="1" applyFill="1" applyBorder="1" applyAlignment="1">
      <alignment horizontal="left" vertical="center" shrinkToFit="1"/>
    </xf>
    <xf numFmtId="0" fontId="44" fillId="0" borderId="45" xfId="0" applyFont="1" applyBorder="1" applyAlignment="1" applyProtection="1">
      <alignment horizontal="left" vertical="center"/>
      <protection locked="0"/>
    </xf>
    <xf numFmtId="0" fontId="44" fillId="0" borderId="10" xfId="0" applyFont="1" applyBorder="1" applyAlignment="1" applyProtection="1">
      <alignment horizontal="left" vertical="center"/>
      <protection locked="0"/>
    </xf>
    <xf numFmtId="0" fontId="44" fillId="0" borderId="50" xfId="0" applyFont="1" applyBorder="1" applyAlignment="1" applyProtection="1">
      <alignment horizontal="left" vertical="center"/>
      <protection locked="0"/>
    </xf>
    <xf numFmtId="0" fontId="44" fillId="0" borderId="51" xfId="0" applyFont="1" applyBorder="1" applyAlignment="1" applyProtection="1">
      <alignment horizontal="left" vertical="center"/>
      <protection locked="0"/>
    </xf>
    <xf numFmtId="0" fontId="44" fillId="25" borderId="10" xfId="0" applyFont="1" applyFill="1" applyBorder="1" applyAlignment="1">
      <alignment horizontal="left" vertical="center" shrinkToFit="1"/>
    </xf>
    <xf numFmtId="0" fontId="44" fillId="25" borderId="14" xfId="0" applyFont="1" applyFill="1" applyBorder="1" applyAlignment="1">
      <alignment horizontal="left" vertical="center" shrinkToFit="1"/>
    </xf>
    <xf numFmtId="0" fontId="47" fillId="0" borderId="0" xfId="0" applyFont="1" applyAlignment="1">
      <alignment horizontal="left" vertical="center" shrinkToFit="1"/>
    </xf>
    <xf numFmtId="0" fontId="44" fillId="24" borderId="10" xfId="0" applyFont="1" applyFill="1" applyBorder="1" applyAlignment="1">
      <alignment horizontal="left" vertical="center" shrinkToFit="1"/>
    </xf>
    <xf numFmtId="0" fontId="44" fillId="24" borderId="46" xfId="0" applyFont="1" applyFill="1" applyBorder="1" applyAlignment="1">
      <alignment horizontal="left" vertical="center" shrinkToFit="1"/>
    </xf>
    <xf numFmtId="0" fontId="44" fillId="0" borderId="65" xfId="0" applyFont="1" applyBorder="1" applyAlignment="1" applyProtection="1">
      <alignment horizontal="left" vertical="center"/>
      <protection locked="0"/>
    </xf>
    <xf numFmtId="0" fontId="44" fillId="0" borderId="47" xfId="0" applyFont="1" applyBorder="1" applyAlignment="1" applyProtection="1">
      <alignment horizontal="left" vertical="center"/>
      <protection locked="0"/>
    </xf>
    <xf numFmtId="0" fontId="44" fillId="0" borderId="48" xfId="0" applyFont="1" applyBorder="1" applyAlignment="1" applyProtection="1">
      <alignment horizontal="left" vertical="center"/>
      <protection locked="0"/>
    </xf>
    <xf numFmtId="0" fontId="44" fillId="0" borderId="16" xfId="0" applyFont="1" applyBorder="1" applyAlignment="1" applyProtection="1">
      <alignment horizontal="left" vertical="center"/>
      <protection locked="0"/>
    </xf>
    <xf numFmtId="0" fontId="44" fillId="0" borderId="46" xfId="0" applyFont="1" applyBorder="1" applyAlignment="1" applyProtection="1">
      <alignment horizontal="left" vertical="center"/>
      <protection locked="0"/>
    </xf>
    <xf numFmtId="0" fontId="44" fillId="24" borderId="211" xfId="0" applyFont="1" applyFill="1" applyBorder="1" applyAlignment="1">
      <alignment horizontal="left" vertical="center" wrapText="1" shrinkToFit="1"/>
    </xf>
    <xf numFmtId="0" fontId="44" fillId="24" borderId="212" xfId="0" applyFont="1" applyFill="1" applyBorder="1" applyAlignment="1">
      <alignment horizontal="left" vertical="center" wrapText="1" shrinkToFit="1"/>
    </xf>
    <xf numFmtId="0" fontId="44" fillId="24" borderId="11" xfId="0" applyFont="1" applyFill="1" applyBorder="1" applyAlignment="1">
      <alignment horizontal="left" vertical="center" wrapText="1" shrinkToFit="1"/>
    </xf>
    <xf numFmtId="0" fontId="44" fillId="24" borderId="13" xfId="0" applyFont="1" applyFill="1" applyBorder="1" applyAlignment="1">
      <alignment horizontal="left" vertical="center" wrapText="1" shrinkToFit="1"/>
    </xf>
    <xf numFmtId="0" fontId="44" fillId="0" borderId="14" xfId="0" applyFont="1" applyBorder="1" applyAlignment="1" applyProtection="1">
      <alignment horizontal="left" vertical="center"/>
      <protection locked="0"/>
    </xf>
    <xf numFmtId="0" fontId="44" fillId="0" borderId="15" xfId="0" applyFont="1" applyBorder="1" applyAlignment="1" applyProtection="1">
      <alignment horizontal="left" vertical="center"/>
      <protection locked="0"/>
    </xf>
    <xf numFmtId="0" fontId="44" fillId="0" borderId="12" xfId="0" applyFont="1" applyBorder="1" applyAlignment="1" applyProtection="1">
      <alignment horizontal="left" vertical="center"/>
      <protection locked="0"/>
    </xf>
    <xf numFmtId="0" fontId="44" fillId="0" borderId="13" xfId="0" applyFont="1" applyBorder="1" applyAlignment="1" applyProtection="1">
      <alignment horizontal="left" vertical="center"/>
      <protection locked="0"/>
    </xf>
    <xf numFmtId="0" fontId="44" fillId="0" borderId="226" xfId="0" applyFont="1" applyBorder="1" applyAlignment="1" applyProtection="1">
      <alignment horizontal="left" vertical="center"/>
      <protection locked="0"/>
    </xf>
    <xf numFmtId="0" fontId="44" fillId="0" borderId="214" xfId="0" applyFont="1" applyBorder="1" applyAlignment="1" applyProtection="1">
      <alignment horizontal="left" vertical="center"/>
      <protection locked="0"/>
    </xf>
    <xf numFmtId="0" fontId="44" fillId="24" borderId="14" xfId="0" applyFont="1" applyFill="1" applyBorder="1" applyAlignment="1">
      <alignment horizontal="left" vertical="center" shrinkToFit="1"/>
    </xf>
    <xf numFmtId="0" fontId="44" fillId="24" borderId="15" xfId="0" applyFont="1" applyFill="1" applyBorder="1" applyAlignment="1">
      <alignment horizontal="left" vertical="center" shrinkToFit="1"/>
    </xf>
    <xf numFmtId="0" fontId="44" fillId="24" borderId="67" xfId="0" applyFont="1" applyFill="1" applyBorder="1" applyAlignment="1">
      <alignment horizontal="left" vertical="center" shrinkToFit="1"/>
    </xf>
    <xf numFmtId="0" fontId="44" fillId="24" borderId="22" xfId="0" applyFont="1" applyFill="1" applyBorder="1" applyAlignment="1">
      <alignment horizontal="left" vertical="center" shrinkToFit="1"/>
    </xf>
    <xf numFmtId="0" fontId="44" fillId="24" borderId="34" xfId="0" applyFont="1" applyFill="1" applyBorder="1" applyAlignment="1">
      <alignment horizontal="left" vertical="center" shrinkToFit="1"/>
    </xf>
    <xf numFmtId="0" fontId="44" fillId="39" borderId="60" xfId="0" applyFont="1" applyFill="1" applyBorder="1" applyAlignment="1">
      <alignment horizontal="center" vertical="center" shrinkToFit="1"/>
    </xf>
    <xf numFmtId="0" fontId="44" fillId="39" borderId="66" xfId="0" applyFont="1" applyFill="1" applyBorder="1" applyAlignment="1">
      <alignment horizontal="center" vertical="center" shrinkToFit="1"/>
    </xf>
    <xf numFmtId="0" fontId="44" fillId="0" borderId="16"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4" xfId="0" applyFont="1" applyBorder="1" applyAlignment="1" applyProtection="1">
      <alignment horizontal="center" vertical="center"/>
      <protection locked="0"/>
    </xf>
    <xf numFmtId="0" fontId="44" fillId="24" borderId="43" xfId="0" applyFont="1" applyFill="1" applyBorder="1" applyAlignment="1">
      <alignment horizontal="left" vertical="center" shrinkToFit="1"/>
    </xf>
    <xf numFmtId="0" fontId="44" fillId="24" borderId="76" xfId="0" applyFont="1" applyFill="1" applyBorder="1" applyAlignment="1">
      <alignment horizontal="left" vertical="center" shrinkToFit="1"/>
    </xf>
    <xf numFmtId="0" fontId="44" fillId="24" borderId="77" xfId="0" applyFont="1" applyFill="1" applyBorder="1" applyAlignment="1">
      <alignment horizontal="left" vertical="center" shrinkToFit="1"/>
    </xf>
    <xf numFmtId="0" fontId="44" fillId="0" borderId="46" xfId="0" applyFont="1" applyBorder="1" applyAlignment="1" applyProtection="1">
      <alignment horizontal="center" vertical="center"/>
      <protection locked="0"/>
    </xf>
    <xf numFmtId="0" fontId="44" fillId="0" borderId="40"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44" fillId="0" borderId="64" xfId="0" applyFont="1" applyBorder="1" applyAlignment="1" applyProtection="1">
      <alignment horizontal="center" vertical="center"/>
      <protection locked="0"/>
    </xf>
    <xf numFmtId="0" fontId="44" fillId="0" borderId="57" xfId="0" applyFont="1" applyBorder="1" applyAlignment="1" applyProtection="1">
      <alignment horizontal="center" vertical="center"/>
      <protection locked="0"/>
    </xf>
    <xf numFmtId="0" fontId="44" fillId="26" borderId="10" xfId="0" applyFont="1" applyFill="1" applyBorder="1" applyAlignment="1">
      <alignment horizontal="left" vertical="center" shrinkToFit="1"/>
    </xf>
    <xf numFmtId="0" fontId="44" fillId="26" borderId="14" xfId="0" applyFont="1" applyFill="1" applyBorder="1" applyAlignment="1">
      <alignment horizontal="left" vertical="center" shrinkToFit="1"/>
    </xf>
    <xf numFmtId="0" fontId="44" fillId="24" borderId="17" xfId="0" applyFont="1" applyFill="1" applyBorder="1" applyAlignment="1">
      <alignment horizontal="left" vertical="center" shrinkToFit="1"/>
    </xf>
    <xf numFmtId="0" fontId="44" fillId="24" borderId="26" xfId="0" applyFont="1" applyFill="1" applyBorder="1" applyAlignment="1">
      <alignment horizontal="left" vertical="center" shrinkToFit="1"/>
    </xf>
    <xf numFmtId="0" fontId="44" fillId="24" borderId="0" xfId="0" applyFont="1" applyFill="1" applyAlignment="1">
      <alignment horizontal="left" vertical="center" shrinkToFit="1"/>
    </xf>
    <xf numFmtId="0" fontId="44" fillId="24" borderId="19" xfId="0" applyFont="1" applyFill="1" applyBorder="1" applyAlignment="1">
      <alignment horizontal="left" vertical="center" shrinkToFit="1"/>
    </xf>
    <xf numFmtId="49" fontId="44" fillId="49" borderId="62" xfId="0" applyNumberFormat="1" applyFont="1" applyFill="1" applyBorder="1" applyAlignment="1" applyProtection="1">
      <alignment horizontal="left" vertical="center" shrinkToFit="1"/>
      <protection locked="0"/>
    </xf>
    <xf numFmtId="49" fontId="44" fillId="49" borderId="50" xfId="0" applyNumberFormat="1" applyFont="1" applyFill="1" applyBorder="1" applyAlignment="1" applyProtection="1">
      <alignment horizontal="left" vertical="center" shrinkToFit="1"/>
      <protection locked="0"/>
    </xf>
    <xf numFmtId="49" fontId="44" fillId="49" borderId="47" xfId="0" applyNumberFormat="1" applyFont="1" applyFill="1" applyBorder="1" applyAlignment="1" applyProtection="1">
      <alignment horizontal="left" vertical="center" shrinkToFit="1"/>
      <protection locked="0"/>
    </xf>
    <xf numFmtId="49" fontId="44" fillId="49" borderId="48" xfId="0" applyNumberFormat="1" applyFont="1" applyFill="1" applyBorder="1" applyAlignment="1" applyProtection="1">
      <alignment horizontal="left" vertical="center" shrinkToFit="1"/>
      <protection locked="0"/>
    </xf>
    <xf numFmtId="49" fontId="44" fillId="49" borderId="215" xfId="0" applyNumberFormat="1" applyFont="1" applyFill="1" applyBorder="1" applyAlignment="1" applyProtection="1">
      <alignment horizontal="left" vertical="center" shrinkToFit="1"/>
      <protection locked="0"/>
    </xf>
    <xf numFmtId="49" fontId="44" fillId="49" borderId="226" xfId="0" applyNumberFormat="1" applyFont="1" applyFill="1" applyBorder="1" applyAlignment="1" applyProtection="1">
      <alignment horizontal="left" vertical="center" shrinkToFit="1"/>
      <protection locked="0"/>
    </xf>
    <xf numFmtId="49" fontId="44" fillId="49" borderId="41" xfId="0" applyNumberFormat="1" applyFont="1" applyFill="1" applyBorder="1" applyAlignment="1" applyProtection="1">
      <alignment horizontal="left" vertical="center" shrinkToFit="1"/>
      <protection locked="0"/>
    </xf>
    <xf numFmtId="49" fontId="44" fillId="49" borderId="42" xfId="0" applyNumberFormat="1" applyFont="1" applyFill="1" applyBorder="1" applyAlignment="1" applyProtection="1">
      <alignment horizontal="left" vertical="center" shrinkToFit="1"/>
      <protection locked="0"/>
    </xf>
    <xf numFmtId="0" fontId="44" fillId="0" borderId="60" xfId="0" applyFont="1" applyBorder="1" applyAlignment="1" applyProtection="1">
      <alignment horizontal="center" vertical="center" shrinkToFit="1"/>
      <protection locked="0"/>
    </xf>
    <xf numFmtId="0" fontId="44" fillId="0" borderId="209" xfId="0" applyFont="1" applyBorder="1" applyAlignment="1" applyProtection="1">
      <alignment horizontal="center" vertical="center" shrinkToFit="1"/>
      <protection locked="0"/>
    </xf>
    <xf numFmtId="0" fontId="44" fillId="31" borderId="76" xfId="0" applyFont="1" applyFill="1" applyBorder="1" applyAlignment="1">
      <alignment horizontal="center" vertical="center"/>
    </xf>
    <xf numFmtId="0" fontId="44" fillId="31" borderId="77" xfId="0" applyFont="1" applyFill="1" applyBorder="1" applyAlignment="1">
      <alignment horizontal="center" vertical="center"/>
    </xf>
    <xf numFmtId="0" fontId="44" fillId="0" borderId="56" xfId="0" applyFont="1" applyBorder="1" applyAlignment="1" applyProtection="1">
      <alignment horizontal="center" vertical="center"/>
      <protection locked="0"/>
    </xf>
    <xf numFmtId="0" fontId="44" fillId="0" borderId="37" xfId="0" applyFont="1" applyBorder="1" applyAlignment="1" applyProtection="1">
      <alignment horizontal="center" vertical="center"/>
      <protection locked="0"/>
    </xf>
    <xf numFmtId="0" fontId="44" fillId="24" borderId="28" xfId="0" applyFont="1" applyFill="1" applyBorder="1" applyAlignment="1">
      <alignment horizontal="left" vertical="center" shrinkToFit="1"/>
    </xf>
    <xf numFmtId="0" fontId="44" fillId="24" borderId="13" xfId="0" applyFont="1" applyFill="1" applyBorder="1" applyAlignment="1">
      <alignment horizontal="left" vertical="center" shrinkToFit="1"/>
    </xf>
    <xf numFmtId="0" fontId="44" fillId="0" borderId="222" xfId="0" applyFont="1" applyBorder="1" applyAlignment="1" applyProtection="1">
      <alignment horizontal="center" vertical="center" shrinkToFit="1"/>
      <protection locked="0"/>
    </xf>
    <xf numFmtId="0" fontId="44" fillId="0" borderId="61" xfId="0" applyFont="1" applyBorder="1" applyAlignment="1" applyProtection="1">
      <alignment horizontal="center" vertical="center" shrinkToFit="1"/>
      <protection locked="0"/>
    </xf>
    <xf numFmtId="0" fontId="44" fillId="0" borderId="31" xfId="0" applyFont="1" applyBorder="1" applyAlignment="1" applyProtection="1">
      <alignment horizontal="center" vertical="center"/>
      <protection locked="0"/>
    </xf>
    <xf numFmtId="0" fontId="44" fillId="0" borderId="42" xfId="0" applyFont="1" applyBorder="1" applyAlignment="1" applyProtection="1">
      <alignment horizontal="center" vertical="center"/>
      <protection locked="0"/>
    </xf>
    <xf numFmtId="0" fontId="44" fillId="26" borderId="211" xfId="0" applyFont="1" applyFill="1" applyBorder="1" applyAlignment="1">
      <alignment horizontal="left" vertical="center" wrapText="1" shrinkToFit="1"/>
    </xf>
    <xf numFmtId="0" fontId="44" fillId="26" borderId="172" xfId="0" applyFont="1" applyFill="1" applyBorder="1" applyAlignment="1">
      <alignment horizontal="left" vertical="center" shrinkToFit="1"/>
    </xf>
    <xf numFmtId="0" fontId="44" fillId="26" borderId="11" xfId="0" applyFont="1" applyFill="1" applyBorder="1" applyAlignment="1">
      <alignment horizontal="left" vertical="center" shrinkToFit="1"/>
    </xf>
    <xf numFmtId="0" fontId="44" fillId="26" borderId="12" xfId="0" applyFont="1" applyFill="1" applyBorder="1" applyAlignment="1">
      <alignment horizontal="left" vertical="center" shrinkToFit="1"/>
    </xf>
    <xf numFmtId="0" fontId="44" fillId="0" borderId="215" xfId="0" applyFont="1" applyBorder="1" applyAlignment="1" applyProtection="1">
      <alignment horizontal="center" vertical="center"/>
      <protection locked="0"/>
    </xf>
    <xf numFmtId="0" fontId="44" fillId="0" borderId="226" xfId="0" applyFont="1" applyBorder="1" applyAlignment="1" applyProtection="1">
      <alignment horizontal="center" vertical="center"/>
      <protection locked="0"/>
    </xf>
    <xf numFmtId="0" fontId="44" fillId="0" borderId="214" xfId="0" applyFont="1" applyBorder="1" applyAlignment="1" applyProtection="1">
      <alignment horizontal="center" vertical="center"/>
      <protection locked="0"/>
    </xf>
    <xf numFmtId="0" fontId="44" fillId="26" borderId="43" xfId="0" applyFont="1" applyFill="1" applyBorder="1" applyAlignment="1">
      <alignment horizontal="left" vertical="center" shrinkToFit="1"/>
    </xf>
    <xf numFmtId="0" fontId="44" fillId="26" borderId="76" xfId="0" applyFont="1" applyFill="1" applyBorder="1" applyAlignment="1">
      <alignment horizontal="left" vertical="center" shrinkToFit="1"/>
    </xf>
    <xf numFmtId="0" fontId="44" fillId="26" borderId="55" xfId="0" applyFont="1" applyFill="1" applyBorder="1" applyAlignment="1">
      <alignment horizontal="left" vertical="center" shrinkToFit="1"/>
    </xf>
    <xf numFmtId="0" fontId="44" fillId="0" borderId="32" xfId="0" applyFont="1" applyBorder="1" applyAlignment="1" applyProtection="1">
      <alignment horizontal="right" vertical="center" shrinkToFit="1"/>
      <protection locked="0"/>
    </xf>
    <xf numFmtId="0" fontId="44" fillId="0" borderId="21" xfId="0" applyFont="1" applyBorder="1" applyAlignment="1" applyProtection="1">
      <alignment horizontal="right" vertical="center" shrinkToFit="1"/>
      <protection locked="0"/>
    </xf>
    <xf numFmtId="0" fontId="44" fillId="27" borderId="211" xfId="0" applyFont="1" applyFill="1" applyBorder="1" applyAlignment="1">
      <alignment horizontal="center" vertical="center" shrinkToFit="1"/>
    </xf>
    <xf numFmtId="0" fontId="44" fillId="27" borderId="173" xfId="0" applyFont="1" applyFill="1" applyBorder="1" applyAlignment="1">
      <alignment horizontal="center" vertical="center" shrinkToFit="1"/>
    </xf>
    <xf numFmtId="0" fontId="44" fillId="27" borderId="175" xfId="0" applyFont="1" applyFill="1" applyBorder="1" applyAlignment="1">
      <alignment horizontal="center" vertical="center" shrinkToFit="1"/>
    </xf>
    <xf numFmtId="0" fontId="44" fillId="0" borderId="49" xfId="0" applyFont="1" applyBorder="1" applyAlignment="1" applyProtection="1">
      <alignment horizontal="right" vertical="center" shrinkToFit="1"/>
      <protection locked="0"/>
    </xf>
    <xf numFmtId="0" fontId="44" fillId="0" borderId="47" xfId="0" applyFont="1" applyBorder="1" applyAlignment="1" applyProtection="1">
      <alignment horizontal="right" vertical="center" shrinkToFit="1"/>
      <protection locked="0"/>
    </xf>
    <xf numFmtId="0" fontId="44" fillId="0" borderId="33" xfId="0" applyFont="1" applyBorder="1" applyAlignment="1" applyProtection="1">
      <alignment horizontal="right" vertical="center" shrinkToFit="1"/>
      <protection locked="0"/>
    </xf>
    <xf numFmtId="0" fontId="44" fillId="0" borderId="22" xfId="0" applyFont="1" applyBorder="1" applyAlignment="1" applyProtection="1">
      <alignment horizontal="right" vertical="center" shrinkToFit="1"/>
      <protection locked="0"/>
    </xf>
    <xf numFmtId="0" fontId="44" fillId="29" borderId="40" xfId="0" applyFont="1" applyFill="1" applyBorder="1" applyAlignment="1">
      <alignment horizontal="right" vertical="center" shrinkToFit="1"/>
    </xf>
    <xf numFmtId="0" fontId="44" fillId="29" borderId="41" xfId="0" applyFont="1" applyFill="1" applyBorder="1" applyAlignment="1">
      <alignment horizontal="right" vertical="center" shrinkToFit="1"/>
    </xf>
    <xf numFmtId="0" fontId="44" fillId="0" borderId="11" xfId="0" applyFont="1" applyBorder="1" applyAlignment="1" applyProtection="1">
      <alignment horizontal="right" vertical="center" shrinkToFit="1"/>
      <protection locked="0"/>
    </xf>
    <xf numFmtId="0" fontId="44" fillId="0" borderId="13" xfId="0" applyFont="1" applyBorder="1" applyAlignment="1" applyProtection="1">
      <alignment horizontal="right" vertical="center" shrinkToFit="1"/>
      <protection locked="0"/>
    </xf>
    <xf numFmtId="0" fontId="44" fillId="0" borderId="14" xfId="0" applyFont="1" applyBorder="1" applyAlignment="1" applyProtection="1">
      <alignment horizontal="right" vertical="center" shrinkToFit="1"/>
      <protection locked="0"/>
    </xf>
    <xf numFmtId="0" fontId="44" fillId="0" borderId="16" xfId="0" applyFont="1" applyBorder="1" applyAlignment="1" applyProtection="1">
      <alignment horizontal="right" vertical="center" shrinkToFit="1"/>
      <protection locked="0"/>
    </xf>
    <xf numFmtId="0" fontId="44" fillId="0" borderId="17" xfId="0" applyFont="1" applyBorder="1" applyAlignment="1" applyProtection="1">
      <alignment horizontal="right" vertical="center" shrinkToFit="1"/>
      <protection locked="0"/>
    </xf>
    <xf numFmtId="0" fontId="44" fillId="0" borderId="215" xfId="0" applyFont="1" applyBorder="1" applyAlignment="1" applyProtection="1">
      <alignment horizontal="right" vertical="center" shrinkToFit="1"/>
      <protection locked="0"/>
    </xf>
    <xf numFmtId="0" fontId="44" fillId="0" borderId="226" xfId="0" applyFont="1" applyBorder="1" applyAlignment="1" applyProtection="1">
      <alignment horizontal="right" vertical="center" shrinkToFit="1"/>
      <protection locked="0"/>
    </xf>
    <xf numFmtId="0" fontId="44" fillId="27" borderId="10" xfId="0" applyFont="1" applyFill="1" applyBorder="1" applyAlignment="1">
      <alignment horizontal="center" vertical="center" shrinkToFit="1"/>
    </xf>
    <xf numFmtId="0" fontId="46" fillId="27" borderId="10" xfId="0" applyFont="1" applyFill="1" applyBorder="1" applyAlignment="1">
      <alignment horizontal="left" vertical="center" shrinkToFit="1"/>
    </xf>
    <xf numFmtId="0" fontId="44" fillId="0" borderId="18" xfId="0" applyFont="1" applyBorder="1" applyAlignment="1" applyProtection="1">
      <alignment horizontal="right" vertical="center" shrinkToFit="1"/>
      <protection locked="0"/>
    </xf>
    <xf numFmtId="0" fontId="44" fillId="48" borderId="49" xfId="0" applyFont="1" applyFill="1" applyBorder="1" applyAlignment="1">
      <alignment horizontal="left" vertical="center" shrinkToFit="1"/>
    </xf>
    <xf numFmtId="0" fontId="44" fillId="48" borderId="48" xfId="0" applyFont="1" applyFill="1" applyBorder="1" applyAlignment="1">
      <alignment horizontal="left" vertical="center" shrinkToFit="1"/>
    </xf>
    <xf numFmtId="0" fontId="44" fillId="48" borderId="45" xfId="0" applyFont="1" applyFill="1" applyBorder="1" applyAlignment="1">
      <alignment horizontal="left" vertical="center"/>
    </xf>
    <xf numFmtId="0" fontId="44" fillId="48" borderId="46" xfId="0" applyFont="1" applyFill="1" applyBorder="1" applyAlignment="1">
      <alignment horizontal="left" vertical="center"/>
    </xf>
    <xf numFmtId="0" fontId="44" fillId="48" borderId="40" xfId="0" applyFont="1" applyFill="1" applyBorder="1" applyAlignment="1">
      <alignment horizontal="left" vertical="center" shrinkToFit="1"/>
    </xf>
    <xf numFmtId="0" fontId="44" fillId="48" borderId="42" xfId="0" applyFont="1" applyFill="1" applyBorder="1" applyAlignment="1">
      <alignment horizontal="left" vertical="center" shrinkToFit="1"/>
    </xf>
    <xf numFmtId="0" fontId="44" fillId="27" borderId="10" xfId="0" applyFont="1" applyFill="1" applyBorder="1" applyAlignment="1">
      <alignment horizontal="left" vertical="center" shrinkToFit="1"/>
    </xf>
    <xf numFmtId="0" fontId="44" fillId="27" borderId="14" xfId="0" applyFont="1" applyFill="1" applyBorder="1" applyAlignment="1">
      <alignment horizontal="left" vertical="center" shrinkToFit="1"/>
    </xf>
    <xf numFmtId="0" fontId="44" fillId="0" borderId="43" xfId="0" applyFont="1" applyBorder="1" applyAlignment="1" applyProtection="1">
      <alignment horizontal="center" vertical="center" shrinkToFit="1"/>
      <protection locked="0"/>
    </xf>
    <xf numFmtId="0" fontId="44" fillId="0" borderId="76" xfId="0" applyFont="1" applyBorder="1" applyAlignment="1" applyProtection="1">
      <alignment horizontal="center" vertical="center" shrinkToFit="1"/>
      <protection locked="0"/>
    </xf>
    <xf numFmtId="0" fontId="44" fillId="0" borderId="77" xfId="0" applyFont="1" applyBorder="1" applyAlignment="1" applyProtection="1">
      <alignment horizontal="center" vertical="center" shrinkToFit="1"/>
      <protection locked="0"/>
    </xf>
    <xf numFmtId="0" fontId="44" fillId="49" borderId="10" xfId="0" applyFont="1" applyFill="1" applyBorder="1" applyAlignment="1">
      <alignment horizontal="center" vertical="center"/>
    </xf>
    <xf numFmtId="0" fontId="44" fillId="49" borderId="14" xfId="0" applyFont="1" applyFill="1" applyBorder="1" applyAlignment="1">
      <alignment horizontal="center" vertical="center"/>
    </xf>
    <xf numFmtId="0" fontId="44" fillId="49" borderId="15" xfId="0" applyFont="1" applyFill="1" applyBorder="1" applyAlignment="1">
      <alignment horizontal="center" vertical="center"/>
    </xf>
    <xf numFmtId="0" fontId="44" fillId="28" borderId="10" xfId="0" applyFont="1" applyFill="1" applyBorder="1" applyAlignment="1">
      <alignment horizontal="left" vertical="center" shrinkToFit="1"/>
    </xf>
    <xf numFmtId="0" fontId="44" fillId="40" borderId="198" xfId="0" applyFont="1" applyFill="1" applyBorder="1" applyAlignment="1">
      <alignment horizontal="center" vertical="center"/>
    </xf>
    <xf numFmtId="0" fontId="44" fillId="40" borderId="176" xfId="0" applyFont="1" applyFill="1" applyBorder="1" applyAlignment="1">
      <alignment horizontal="center" vertical="center"/>
    </xf>
    <xf numFmtId="0" fontId="152" fillId="0" borderId="58" xfId="0" applyFont="1" applyBorder="1" applyAlignment="1" applyProtection="1">
      <alignment horizontal="left" vertical="center"/>
      <protection locked="0"/>
    </xf>
    <xf numFmtId="0" fontId="152" fillId="0" borderId="169" xfId="0" applyFont="1" applyBorder="1" applyAlignment="1" applyProtection="1">
      <alignment horizontal="left" vertical="center"/>
      <protection locked="0"/>
    </xf>
    <xf numFmtId="0" fontId="152" fillId="0" borderId="207" xfId="0" applyFont="1" applyBorder="1" applyAlignment="1" applyProtection="1">
      <alignment horizontal="left" vertical="center"/>
      <protection locked="0"/>
    </xf>
    <xf numFmtId="0" fontId="152" fillId="0" borderId="208" xfId="0" applyFont="1" applyBorder="1" applyAlignment="1" applyProtection="1">
      <alignment horizontal="left" vertical="center"/>
      <protection locked="0"/>
    </xf>
    <xf numFmtId="0" fontId="108" fillId="34" borderId="0" xfId="0" applyFont="1" applyFill="1" applyAlignment="1">
      <alignment horizontal="left" vertical="center" shrinkToFit="1"/>
    </xf>
    <xf numFmtId="0" fontId="180" fillId="50" borderId="229" xfId="0" applyFont="1" applyFill="1" applyBorder="1" applyAlignment="1">
      <alignment horizontal="center" vertical="center" shrinkToFit="1"/>
    </xf>
    <xf numFmtId="0" fontId="180" fillId="50" borderId="66" xfId="0" applyFont="1" applyFill="1" applyBorder="1" applyAlignment="1">
      <alignment horizontal="center" vertical="center" shrinkToFit="1"/>
    </xf>
    <xf numFmtId="0" fontId="180" fillId="50" borderId="61" xfId="0" applyFont="1" applyFill="1" applyBorder="1" applyAlignment="1">
      <alignment horizontal="center" vertical="center" shrinkToFit="1"/>
    </xf>
    <xf numFmtId="0" fontId="44" fillId="0" borderId="43" xfId="0" applyFont="1" applyBorder="1" applyAlignment="1" applyProtection="1">
      <alignment horizontal="center" vertical="center"/>
      <protection locked="0"/>
    </xf>
    <xf numFmtId="0" fontId="44" fillId="0" borderId="77" xfId="0" applyFont="1" applyBorder="1" applyAlignment="1" applyProtection="1">
      <alignment horizontal="center" vertical="center"/>
      <protection locked="0"/>
    </xf>
    <xf numFmtId="0" fontId="44" fillId="0" borderId="60" xfId="0" applyFont="1" applyBorder="1" applyAlignment="1" applyProtection="1">
      <alignment horizontal="left" vertical="center"/>
      <protection locked="0"/>
    </xf>
    <xf numFmtId="0" fontId="44" fillId="0" borderId="66" xfId="0" applyFont="1" applyBorder="1" applyAlignment="1" applyProtection="1">
      <alignment horizontal="left" vertical="center"/>
      <protection locked="0"/>
    </xf>
    <xf numFmtId="0" fontId="44" fillId="0" borderId="61" xfId="0" applyFont="1" applyBorder="1" applyAlignment="1" applyProtection="1">
      <alignment horizontal="left" vertical="center"/>
      <protection locked="0"/>
    </xf>
    <xf numFmtId="0" fontId="152" fillId="0" borderId="68" xfId="0" applyFont="1" applyBorder="1" applyAlignment="1" applyProtection="1">
      <alignment horizontal="left" vertical="center"/>
      <protection locked="0"/>
    </xf>
    <xf numFmtId="0" fontId="152" fillId="0" borderId="192" xfId="0" applyFont="1" applyBorder="1" applyAlignment="1" applyProtection="1">
      <alignment horizontal="left" vertical="center"/>
      <protection locked="0"/>
    </xf>
    <xf numFmtId="0" fontId="44" fillId="0" borderId="22"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40" borderId="215" xfId="0" applyFont="1" applyFill="1" applyBorder="1" applyAlignment="1">
      <alignment horizontal="center" vertical="center"/>
    </xf>
    <xf numFmtId="0" fontId="44" fillId="40" borderId="62" xfId="0" applyFont="1" applyFill="1" applyBorder="1" applyAlignment="1">
      <alignment horizontal="center" vertical="center"/>
    </xf>
    <xf numFmtId="0" fontId="44" fillId="28" borderId="175" xfId="0" applyFont="1" applyFill="1" applyBorder="1" applyAlignment="1">
      <alignment horizontal="center" vertical="center" shrinkToFit="1"/>
    </xf>
    <xf numFmtId="0" fontId="44" fillId="28" borderId="214" xfId="0" applyFont="1" applyFill="1" applyBorder="1" applyAlignment="1">
      <alignment horizontal="center" vertical="center" shrinkToFit="1"/>
    </xf>
    <xf numFmtId="0" fontId="44" fillId="0" borderId="67" xfId="0" applyFont="1" applyBorder="1" applyAlignment="1" applyProtection="1">
      <alignment horizontal="left" vertical="center"/>
      <protection locked="0"/>
    </xf>
    <xf numFmtId="0" fontId="44" fillId="0" borderId="81" xfId="0" applyFont="1" applyBorder="1" applyAlignment="1" applyProtection="1">
      <alignment horizontal="left" vertical="center"/>
      <protection locked="0"/>
    </xf>
    <xf numFmtId="0" fontId="44" fillId="0" borderId="20" xfId="0" applyFont="1" applyBorder="1" applyAlignment="1" applyProtection="1">
      <alignment horizontal="left" vertical="center"/>
      <protection locked="0"/>
    </xf>
    <xf numFmtId="0" fontId="44" fillId="0" borderId="21" xfId="0" applyFont="1" applyBorder="1" applyAlignment="1" applyProtection="1">
      <alignment horizontal="left" vertical="center"/>
      <protection locked="0"/>
    </xf>
    <xf numFmtId="0" fontId="44" fillId="48" borderId="43" xfId="0" applyFont="1" applyFill="1" applyBorder="1" applyAlignment="1">
      <alignment horizontal="center" vertical="center"/>
    </xf>
    <xf numFmtId="0" fontId="44" fillId="48" borderId="77" xfId="0" applyFont="1" applyFill="1" applyBorder="1" applyAlignment="1">
      <alignment horizontal="center" vertical="center"/>
    </xf>
    <xf numFmtId="0" fontId="44" fillId="0" borderId="65" xfId="0"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4" fillId="0" borderId="48" xfId="0" applyFont="1" applyBorder="1" applyAlignment="1" applyProtection="1">
      <alignment horizontal="center" vertical="center"/>
      <protection locked="0"/>
    </xf>
    <xf numFmtId="0" fontId="44" fillId="0" borderId="45" xfId="0" applyFont="1" applyBorder="1" applyAlignment="1" applyProtection="1">
      <alignment horizontal="right" vertical="center" shrinkToFit="1"/>
      <protection locked="0"/>
    </xf>
    <xf numFmtId="0" fontId="44" fillId="0" borderId="10" xfId="0" applyFont="1" applyBorder="1" applyAlignment="1" applyProtection="1">
      <alignment horizontal="right" vertical="center" shrinkToFit="1"/>
      <protection locked="0"/>
    </xf>
    <xf numFmtId="0" fontId="44" fillId="0" borderId="31" xfId="0" applyFont="1" applyBorder="1" applyAlignment="1" applyProtection="1">
      <alignment horizontal="right" vertical="center" shrinkToFit="1"/>
      <protection locked="0"/>
    </xf>
    <xf numFmtId="0" fontId="44" fillId="28" borderId="15" xfId="0" applyFont="1" applyFill="1" applyBorder="1" applyAlignment="1">
      <alignment horizontal="left" vertical="center" shrinkToFit="1"/>
    </xf>
    <xf numFmtId="0" fontId="170" fillId="34" borderId="26" xfId="0" applyFont="1" applyFill="1" applyBorder="1" applyAlignment="1">
      <alignment horizontal="center" vertical="center"/>
    </xf>
    <xf numFmtId="0" fontId="170" fillId="34" borderId="0" xfId="0" applyFont="1" applyFill="1" applyAlignment="1">
      <alignment horizontal="center" vertical="center"/>
    </xf>
    <xf numFmtId="0" fontId="174" fillId="49" borderId="26" xfId="0" applyFont="1" applyFill="1" applyBorder="1" applyAlignment="1">
      <alignment horizontal="center" vertical="center"/>
    </xf>
    <xf numFmtId="0" fontId="174" fillId="49" borderId="0" xfId="0" applyFont="1" applyFill="1" applyAlignment="1">
      <alignment horizontal="center" vertical="center"/>
    </xf>
    <xf numFmtId="0" fontId="152" fillId="0" borderId="14" xfId="0" applyFont="1" applyBorder="1" applyAlignment="1">
      <alignment horizontal="left" vertical="center" shrinkToFit="1"/>
    </xf>
    <xf numFmtId="0" fontId="152" fillId="0" borderId="15" xfId="0" applyFont="1" applyBorder="1" applyAlignment="1">
      <alignment horizontal="left" vertical="center" shrinkToFit="1"/>
    </xf>
    <xf numFmtId="0" fontId="152" fillId="0" borderId="16" xfId="0" applyFont="1" applyBorder="1" applyAlignment="1">
      <alignment horizontal="left" vertical="center" shrinkToFit="1"/>
    </xf>
    <xf numFmtId="0" fontId="165" fillId="28" borderId="14" xfId="0" applyFont="1" applyFill="1" applyBorder="1" applyAlignment="1">
      <alignment horizontal="left" vertical="center" shrinkToFit="1"/>
    </xf>
    <xf numFmtId="0" fontId="165" fillId="28" borderId="15" xfId="0" applyFont="1" applyFill="1" applyBorder="1" applyAlignment="1">
      <alignment horizontal="left" vertical="center" shrinkToFit="1"/>
    </xf>
    <xf numFmtId="0" fontId="165" fillId="28" borderId="16" xfId="0" applyFont="1" applyFill="1" applyBorder="1" applyAlignment="1">
      <alignment horizontal="left" vertical="center" shrinkToFit="1"/>
    </xf>
    <xf numFmtId="0" fontId="17" fillId="0" borderId="0" xfId="0" applyFont="1" applyAlignment="1">
      <alignment horizontal="left" vertical="top" wrapText="1"/>
    </xf>
    <xf numFmtId="0" fontId="17" fillId="0" borderId="0" xfId="0" applyFont="1" applyAlignment="1">
      <alignment horizontal="right" vertical="top"/>
    </xf>
    <xf numFmtId="0" fontId="17" fillId="0" borderId="0" xfId="0" quotePrefix="1" applyFont="1" applyAlignment="1">
      <alignment horizontal="right" vertical="top"/>
    </xf>
    <xf numFmtId="0" fontId="17" fillId="0" borderId="0" xfId="0" quotePrefix="1" applyFont="1" applyAlignment="1">
      <alignment horizontal="left" vertical="top"/>
    </xf>
    <xf numFmtId="0" fontId="17" fillId="0" borderId="0" xfId="0" quotePrefix="1" applyFont="1" applyAlignment="1">
      <alignment horizontal="left" vertical="top" wrapText="1"/>
    </xf>
    <xf numFmtId="0" fontId="56" fillId="0" borderId="0" xfId="0" applyFont="1" applyAlignment="1">
      <alignment horizontal="left" vertical="top" wrapText="1"/>
    </xf>
    <xf numFmtId="0" fontId="56" fillId="0" borderId="0" xfId="0" applyFont="1" applyAlignment="1">
      <alignment horizontal="left" vertical="top"/>
    </xf>
    <xf numFmtId="49" fontId="56" fillId="0" borderId="0" xfId="0" applyNumberFormat="1" applyFont="1" applyAlignment="1">
      <alignment horizontal="left" vertical="top" wrapText="1"/>
    </xf>
    <xf numFmtId="0" fontId="65" fillId="0" borderId="0" xfId="0" applyFont="1" applyAlignment="1">
      <alignment horizontal="center" vertical="center"/>
    </xf>
    <xf numFmtId="0" fontId="62" fillId="32" borderId="0" xfId="0" applyFont="1" applyFill="1" applyAlignment="1">
      <alignment horizontal="center" vertical="center" shrinkToFit="1"/>
    </xf>
    <xf numFmtId="0" fontId="64" fillId="0" borderId="0" xfId="0" applyFont="1" applyAlignment="1">
      <alignment horizontal="center" vertical="center"/>
    </xf>
    <xf numFmtId="0" fontId="61" fillId="0" borderId="0" xfId="0" applyFont="1" applyAlignment="1">
      <alignment horizontal="center" vertical="top"/>
    </xf>
    <xf numFmtId="0" fontId="17" fillId="0" borderId="12" xfId="0" applyFont="1" applyBorder="1" applyAlignment="1">
      <alignment horizontal="center" vertical="top" wrapText="1"/>
    </xf>
    <xf numFmtId="0" fontId="17" fillId="0" borderId="0" xfId="0" applyFont="1" applyAlignment="1">
      <alignment horizontal="center" vertical="top"/>
    </xf>
    <xf numFmtId="0" fontId="17" fillId="0" borderId="0" xfId="0" applyFont="1" applyAlignment="1">
      <alignment horizontal="right" vertical="top" wrapText="1"/>
    </xf>
    <xf numFmtId="0" fontId="17" fillId="0" borderId="0" xfId="0" applyFont="1" applyAlignment="1">
      <alignment horizontal="left" vertical="top" shrinkToFit="1"/>
    </xf>
    <xf numFmtId="0" fontId="138" fillId="0" borderId="10" xfId="0" applyFont="1" applyBorder="1" applyAlignment="1">
      <alignment horizontal="center" vertical="center" shrinkToFit="1"/>
    </xf>
    <xf numFmtId="0" fontId="141" fillId="0" borderId="0" xfId="0" applyFont="1" applyAlignment="1">
      <alignment horizontal="left" vertical="center" wrapText="1"/>
    </xf>
    <xf numFmtId="0" fontId="144" fillId="0" borderId="153" xfId="0" applyFont="1" applyBorder="1" applyAlignment="1">
      <alignment horizontal="center" vertical="center" shrinkToFit="1"/>
    </xf>
    <xf numFmtId="0" fontId="144" fillId="0" borderId="154" xfId="0" applyFont="1" applyBorder="1" applyAlignment="1">
      <alignment horizontal="center" vertical="center" shrinkToFit="1"/>
    </xf>
    <xf numFmtId="0" fontId="144" fillId="0" borderId="155" xfId="0" applyFont="1" applyBorder="1" applyAlignment="1">
      <alignment horizontal="center" vertical="center" shrinkToFit="1"/>
    </xf>
    <xf numFmtId="0" fontId="138" fillId="0" borderId="211" xfId="0" applyFont="1" applyBorder="1" applyAlignment="1">
      <alignment horizontal="center" vertical="center" shrinkToFit="1"/>
    </xf>
    <xf numFmtId="0" fontId="138" fillId="0" borderId="172" xfId="0" applyFont="1" applyBorder="1" applyAlignment="1">
      <alignment horizontal="center" vertical="center" shrinkToFit="1"/>
    </xf>
    <xf numFmtId="0" fontId="138" fillId="0" borderId="11" xfId="0" applyFont="1" applyBorder="1" applyAlignment="1">
      <alignment horizontal="center" vertical="center" shrinkToFit="1"/>
    </xf>
    <xf numFmtId="0" fontId="138" fillId="0" borderId="12" xfId="0" applyFont="1" applyBorder="1" applyAlignment="1">
      <alignment horizontal="center" vertical="center" shrinkToFit="1"/>
    </xf>
    <xf numFmtId="0" fontId="133" fillId="0" borderId="15" xfId="0" applyFont="1" applyBorder="1" applyAlignment="1">
      <alignment horizontal="left" vertical="center" shrinkToFit="1"/>
    </xf>
    <xf numFmtId="49" fontId="0" fillId="0" borderId="0" xfId="0" applyNumberFormat="1" applyAlignment="1">
      <alignment horizontal="left" vertical="center" wrapText="1"/>
    </xf>
    <xf numFmtId="0" fontId="0" fillId="0" borderId="0" xfId="0" applyAlignment="1">
      <alignment horizontal="left" vertical="center" wrapText="1"/>
    </xf>
    <xf numFmtId="0" fontId="138" fillId="0" borderId="84" xfId="0" applyFont="1" applyBorder="1" applyAlignment="1">
      <alignment horizontal="center" vertical="center" shrinkToFit="1"/>
    </xf>
    <xf numFmtId="0" fontId="138" fillId="0" borderId="85" xfId="0" applyFont="1" applyBorder="1" applyAlignment="1">
      <alignment horizontal="center" vertical="center" shrinkToFit="1"/>
    </xf>
    <xf numFmtId="0" fontId="138" fillId="0" borderId="86" xfId="0" applyFont="1" applyBorder="1" applyAlignment="1">
      <alignment horizontal="center" vertical="center" shrinkToFit="1"/>
    </xf>
    <xf numFmtId="0" fontId="134" fillId="0" borderId="175" xfId="0" applyFont="1" applyBorder="1" applyAlignment="1">
      <alignment horizontal="center" vertical="center" shrinkToFit="1"/>
    </xf>
    <xf numFmtId="0" fontId="134" fillId="0" borderId="50" xfId="0" applyFont="1" applyBorder="1" applyAlignment="1">
      <alignment horizontal="center" vertical="center" shrinkToFit="1"/>
    </xf>
    <xf numFmtId="180" fontId="138" fillId="0" borderId="14" xfId="0" applyNumberFormat="1" applyFont="1" applyBorder="1" applyAlignment="1">
      <alignment horizontal="center" vertical="center" shrinkToFit="1"/>
    </xf>
    <xf numFmtId="180" fontId="138" fillId="0" borderId="15" xfId="0" applyNumberFormat="1" applyFont="1" applyBorder="1" applyAlignment="1">
      <alignment horizontal="center" vertical="center" shrinkToFit="1"/>
    </xf>
    <xf numFmtId="0" fontId="138" fillId="0" borderId="173" xfId="0" applyFont="1" applyBorder="1" applyAlignment="1">
      <alignment horizontal="center" vertical="center" shrinkToFit="1"/>
    </xf>
    <xf numFmtId="0" fontId="138" fillId="0" borderId="23" xfId="0" applyFont="1" applyBorder="1" applyAlignment="1">
      <alignment horizontal="center" vertical="center" shrinkToFit="1"/>
    </xf>
    <xf numFmtId="0" fontId="138" fillId="0" borderId="24" xfId="0" applyFont="1" applyBorder="1" applyAlignment="1">
      <alignment horizontal="center" vertical="center" shrinkToFit="1"/>
    </xf>
    <xf numFmtId="0" fontId="138" fillId="0" borderId="18" xfId="0" applyFont="1" applyBorder="1" applyAlignment="1">
      <alignment horizontal="center" vertical="center" shrinkToFit="1"/>
    </xf>
    <xf numFmtId="0" fontId="158" fillId="0" borderId="211" xfId="0" applyFont="1" applyBorder="1" applyAlignment="1">
      <alignment vertical="center" shrinkToFit="1"/>
    </xf>
    <xf numFmtId="0" fontId="158" fillId="0" borderId="173" xfId="0" applyFont="1" applyBorder="1" applyAlignment="1">
      <alignment vertical="center" shrinkToFit="1"/>
    </xf>
    <xf numFmtId="0" fontId="158" fillId="0" borderId="87" xfId="0" applyFont="1" applyBorder="1" applyAlignment="1">
      <alignment vertical="center" shrinkToFit="1"/>
    </xf>
    <xf numFmtId="0" fontId="158" fillId="0" borderId="89" xfId="0" applyFont="1" applyBorder="1" applyAlignment="1">
      <alignment vertical="center" shrinkToFit="1"/>
    </xf>
    <xf numFmtId="0" fontId="158" fillId="0" borderId="85" xfId="0" applyFont="1" applyBorder="1" applyAlignment="1">
      <alignment vertical="center" shrinkToFit="1"/>
    </xf>
    <xf numFmtId="0" fontId="152" fillId="0" borderId="87" xfId="0" applyFont="1" applyBorder="1" applyAlignment="1">
      <alignment vertical="center" shrinkToFit="1"/>
    </xf>
    <xf numFmtId="0" fontId="152" fillId="0" borderId="89" xfId="0" applyFont="1" applyBorder="1" applyAlignment="1">
      <alignment vertical="center" shrinkToFit="1"/>
    </xf>
    <xf numFmtId="0" fontId="144" fillId="0" borderId="52" xfId="0" applyFont="1" applyBorder="1" applyAlignment="1">
      <alignment horizontal="center" vertical="center" shrinkToFit="1"/>
    </xf>
    <xf numFmtId="0" fontId="144" fillId="0" borderId="58" xfId="0" applyFont="1" applyBorder="1" applyAlignment="1">
      <alignment horizontal="center" vertical="center" shrinkToFit="1"/>
    </xf>
    <xf numFmtId="0" fontId="144" fillId="0" borderId="59" xfId="0" applyFont="1" applyBorder="1" applyAlignment="1">
      <alignment horizontal="center" vertical="center" shrinkToFit="1"/>
    </xf>
    <xf numFmtId="0" fontId="134" fillId="0" borderId="60" xfId="0" applyFont="1" applyBorder="1" applyAlignment="1">
      <alignment horizontal="left" vertical="center" wrapText="1"/>
    </xf>
    <xf numFmtId="0" fontId="134" fillId="0" borderId="66" xfId="0" applyFont="1" applyBorder="1" applyAlignment="1">
      <alignment horizontal="left" vertical="center" wrapText="1"/>
    </xf>
    <xf numFmtId="0" fontId="134" fillId="0" borderId="61" xfId="0" applyFont="1" applyBorder="1" applyAlignment="1">
      <alignment horizontal="left" vertical="center" wrapText="1"/>
    </xf>
    <xf numFmtId="49" fontId="139" fillId="0" borderId="0" xfId="0" applyNumberFormat="1" applyFont="1" applyAlignment="1">
      <alignment horizontal="left" vertical="center" wrapText="1"/>
    </xf>
    <xf numFmtId="0" fontId="0" fillId="0" borderId="0" xfId="0" applyAlignment="1">
      <alignment horizontal="center" vertical="center" shrinkToFit="1"/>
    </xf>
    <xf numFmtId="0" fontId="145" fillId="0" borderId="87" xfId="0" applyFont="1" applyBorder="1" applyAlignment="1">
      <alignment vertical="center" shrinkToFit="1"/>
    </xf>
    <xf numFmtId="0" fontId="145" fillId="0" borderId="89" xfId="0" applyFont="1" applyBorder="1" applyAlignment="1">
      <alignment vertical="center" shrinkToFit="1"/>
    </xf>
    <xf numFmtId="0" fontId="145" fillId="0" borderId="85" xfId="0" applyFont="1" applyBorder="1" applyAlignment="1">
      <alignment vertical="center" shrinkToFit="1"/>
    </xf>
    <xf numFmtId="0" fontId="145" fillId="0" borderId="50" xfId="0" applyFont="1" applyBorder="1" applyAlignment="1">
      <alignment vertical="center" shrinkToFit="1"/>
    </xf>
    <xf numFmtId="0" fontId="17" fillId="0" borderId="10" xfId="0" applyFont="1" applyBorder="1" applyAlignment="1">
      <alignment horizontal="center" vertical="center" wrapText="1"/>
    </xf>
    <xf numFmtId="0" fontId="17" fillId="0" borderId="172" xfId="0" applyFont="1" applyBorder="1" applyAlignment="1">
      <alignment horizontal="left" vertical="center" wrapText="1"/>
    </xf>
    <xf numFmtId="0" fontId="17" fillId="0" borderId="173" xfId="0" applyFont="1" applyBorder="1" applyAlignment="1">
      <alignment horizontal="left" vertical="center" wrapText="1"/>
    </xf>
    <xf numFmtId="0" fontId="17" fillId="0" borderId="0" xfId="0" applyFont="1" applyAlignment="1">
      <alignment horizontal="left" vertical="center" wrapText="1"/>
    </xf>
    <xf numFmtId="0" fontId="17" fillId="0" borderId="2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8" xfId="0" applyFont="1" applyBorder="1" applyAlignment="1">
      <alignment horizontal="left" vertical="center" wrapText="1"/>
    </xf>
    <xf numFmtId="0" fontId="17" fillId="0" borderId="84" xfId="0" applyFont="1" applyBorder="1" applyAlignment="1">
      <alignment horizontal="center" vertical="center" wrapText="1"/>
    </xf>
    <xf numFmtId="0" fontId="17" fillId="0" borderId="52" xfId="0" applyFont="1" applyBorder="1" applyAlignment="1">
      <alignment horizontal="left" vertical="center" shrinkToFit="1"/>
    </xf>
    <xf numFmtId="0" fontId="17" fillId="0" borderId="58" xfId="0" applyFont="1" applyBorder="1" applyAlignment="1">
      <alignment horizontal="left" vertical="center" shrinkToFit="1"/>
    </xf>
    <xf numFmtId="0" fontId="17" fillId="0" borderId="59" xfId="0" applyFont="1" applyBorder="1" applyAlignment="1">
      <alignment horizontal="left" vertical="center" shrinkToFit="1"/>
    </xf>
    <xf numFmtId="0" fontId="17" fillId="0" borderId="85" xfId="0" applyFont="1" applyBorder="1" applyAlignment="1">
      <alignment horizontal="center" vertical="center" wrapText="1"/>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17" fillId="0" borderId="89" xfId="0" applyFont="1" applyBorder="1" applyAlignment="1">
      <alignment horizontal="left" vertical="center"/>
    </xf>
    <xf numFmtId="0" fontId="17" fillId="0" borderId="86" xfId="0" applyFont="1" applyBorder="1" applyAlignment="1">
      <alignment horizontal="center" vertical="center" wrapText="1"/>
    </xf>
    <xf numFmtId="0" fontId="17" fillId="0" borderId="70" xfId="0" applyFont="1" applyBorder="1" applyAlignment="1">
      <alignment horizontal="left" vertical="center"/>
    </xf>
    <xf numFmtId="0" fontId="17" fillId="0" borderId="68" xfId="0" applyFont="1" applyBorder="1" applyAlignment="1">
      <alignment horizontal="left" vertical="center"/>
    </xf>
    <xf numFmtId="0" fontId="17" fillId="0" borderId="69" xfId="0" applyFont="1" applyBorder="1" applyAlignment="1">
      <alignment horizontal="left" vertical="center"/>
    </xf>
    <xf numFmtId="0" fontId="17" fillId="0" borderId="10" xfId="0" applyFont="1" applyBorder="1" applyAlignment="1">
      <alignment horizontal="center" vertical="center"/>
    </xf>
    <xf numFmtId="0" fontId="17" fillId="0" borderId="0" xfId="0" applyFont="1" applyAlignment="1">
      <alignment horizontal="left" vertical="top" wrapText="1" indent="1"/>
    </xf>
    <xf numFmtId="0" fontId="17" fillId="0" borderId="0" xfId="0" applyFont="1" applyAlignment="1">
      <alignment horizontal="center" vertical="center" shrinkToFit="1"/>
    </xf>
    <xf numFmtId="49" fontId="17" fillId="0" borderId="0" xfId="0" applyNumberFormat="1" applyFont="1" applyAlignment="1">
      <alignment horizontal="left" vertical="top"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211"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52"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88" xfId="0" applyFont="1" applyBorder="1" applyAlignment="1">
      <alignment horizontal="distributed" vertical="center" wrapText="1"/>
    </xf>
    <xf numFmtId="0" fontId="17" fillId="0" borderId="89" xfId="0" applyFont="1" applyBorder="1" applyAlignment="1">
      <alignment horizontal="distributed" vertical="center" wrapText="1"/>
    </xf>
    <xf numFmtId="0" fontId="17" fillId="0" borderId="85" xfId="0" applyFont="1" applyBorder="1" applyAlignment="1">
      <alignment horizontal="left" vertical="top"/>
    </xf>
    <xf numFmtId="0" fontId="17" fillId="0" borderId="68" xfId="0" applyFont="1" applyBorder="1" applyAlignment="1">
      <alignment horizontal="distributed" vertical="center" wrapText="1"/>
    </xf>
    <xf numFmtId="0" fontId="17" fillId="0" borderId="69" xfId="0" applyFont="1" applyBorder="1" applyAlignment="1">
      <alignment horizontal="distributed" vertical="center" wrapText="1"/>
    </xf>
    <xf numFmtId="0" fontId="17" fillId="0" borderId="86" xfId="0" applyFont="1" applyBorder="1" applyAlignment="1">
      <alignment horizontal="left" vertical="top"/>
    </xf>
    <xf numFmtId="0" fontId="17" fillId="0" borderId="84" xfId="0" applyFont="1" applyBorder="1" applyAlignment="1">
      <alignment horizontal="left" vertical="top"/>
    </xf>
    <xf numFmtId="0" fontId="17" fillId="0" borderId="131" xfId="0" applyFont="1" applyBorder="1" applyAlignment="1">
      <alignment horizontal="center" vertical="center" shrinkToFit="1"/>
    </xf>
    <xf numFmtId="0" fontId="17" fillId="0" borderId="107"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49" fontId="17" fillId="0" borderId="10" xfId="0" applyNumberFormat="1" applyFont="1" applyBorder="1" applyAlignment="1">
      <alignment horizontal="left" vertical="center" wrapText="1"/>
    </xf>
    <xf numFmtId="49" fontId="17" fillId="0" borderId="211" xfId="0" applyNumberFormat="1" applyFont="1" applyBorder="1" applyAlignment="1">
      <alignment horizontal="left" vertical="center" wrapText="1" indent="1"/>
    </xf>
    <xf numFmtId="49" fontId="17" fillId="0" borderId="172" xfId="0" applyNumberFormat="1" applyFont="1" applyBorder="1" applyAlignment="1">
      <alignment horizontal="left" vertical="center" wrapText="1" indent="1"/>
    </xf>
    <xf numFmtId="49" fontId="17" fillId="0" borderId="172" xfId="0" applyNumberFormat="1" applyFont="1" applyBorder="1" applyAlignment="1">
      <alignment horizontal="left" vertical="center" wrapText="1"/>
    </xf>
    <xf numFmtId="49" fontId="17" fillId="0" borderId="173" xfId="0" applyNumberFormat="1" applyFont="1" applyBorder="1" applyAlignment="1">
      <alignment horizontal="left" vertical="center" wrapText="1"/>
    </xf>
    <xf numFmtId="49" fontId="17" fillId="0" borderId="23" xfId="0" applyNumberFormat="1" applyFont="1" applyBorder="1" applyAlignment="1">
      <alignment horizontal="left" vertical="center" wrapText="1" indent="1"/>
    </xf>
    <xf numFmtId="49" fontId="17" fillId="0" borderId="0" xfId="0" applyNumberFormat="1" applyFont="1" applyAlignment="1">
      <alignment horizontal="left" vertical="center" wrapText="1" indent="1"/>
    </xf>
    <xf numFmtId="49" fontId="17" fillId="0" borderId="0" xfId="0" applyNumberFormat="1" applyFont="1" applyAlignment="1">
      <alignment horizontal="left" vertical="center" wrapText="1"/>
    </xf>
    <xf numFmtId="49" fontId="17" fillId="0" borderId="24" xfId="0" applyNumberFormat="1" applyFont="1" applyBorder="1" applyAlignment="1">
      <alignment horizontal="left" vertical="center" wrapText="1"/>
    </xf>
    <xf numFmtId="49" fontId="17" fillId="0" borderId="11" xfId="0" applyNumberFormat="1" applyFont="1" applyBorder="1" applyAlignment="1">
      <alignment horizontal="left" vertical="center" wrapText="1" indent="1"/>
    </xf>
    <xf numFmtId="49" fontId="17" fillId="0" borderId="12" xfId="0" applyNumberFormat="1" applyFont="1" applyBorder="1" applyAlignment="1">
      <alignment horizontal="left" vertical="center" wrapText="1" indent="1"/>
    </xf>
    <xf numFmtId="49" fontId="17" fillId="0" borderId="12" xfId="0" applyNumberFormat="1" applyFont="1" applyBorder="1" applyAlignment="1">
      <alignment horizontal="left" vertical="center" wrapText="1"/>
    </xf>
    <xf numFmtId="49" fontId="17" fillId="0" borderId="18" xfId="0" applyNumberFormat="1" applyFont="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49" fontId="17" fillId="0" borderId="14" xfId="0" applyNumberFormat="1" applyFont="1" applyBorder="1" applyAlignment="1">
      <alignment horizontal="left" vertical="center" wrapText="1"/>
    </xf>
    <xf numFmtId="49" fontId="17" fillId="0" borderId="15" xfId="0" applyNumberFormat="1" applyFont="1" applyBorder="1" applyAlignment="1">
      <alignment horizontal="left" vertical="center" wrapText="1"/>
    </xf>
    <xf numFmtId="49" fontId="17" fillId="0" borderId="16" xfId="0" applyNumberFormat="1" applyFont="1" applyBorder="1" applyAlignment="1">
      <alignment horizontal="left" vertical="center" wrapText="1"/>
    </xf>
    <xf numFmtId="0" fontId="17" fillId="0" borderId="10" xfId="0" applyFont="1" applyBorder="1" applyAlignment="1">
      <alignment horizontal="center" vertical="top"/>
    </xf>
    <xf numFmtId="49" fontId="17" fillId="0" borderId="10" xfId="0" applyNumberFormat="1" applyFont="1" applyBorder="1" applyAlignment="1">
      <alignment horizontal="center" vertical="top" wrapText="1"/>
    </xf>
    <xf numFmtId="0" fontId="17" fillId="0" borderId="12" xfId="0" applyFont="1" applyBorder="1" applyAlignment="1">
      <alignment horizontal="center" vertical="top"/>
    </xf>
    <xf numFmtId="49" fontId="17" fillId="0" borderId="0" xfId="0" applyNumberFormat="1" applyFont="1" applyAlignment="1">
      <alignment horizontal="left" vertical="top" wrapText="1" indent="1"/>
    </xf>
    <xf numFmtId="0" fontId="17" fillId="0" borderId="172" xfId="0" applyFont="1" applyBorder="1" applyAlignment="1">
      <alignment horizontal="distributed" vertical="center" shrinkToFit="1"/>
    </xf>
    <xf numFmtId="0" fontId="17" fillId="0" borderId="12" xfId="0" applyFont="1" applyBorder="1" applyAlignment="1">
      <alignment horizontal="distributed" vertical="center" shrinkToFit="1"/>
    </xf>
    <xf numFmtId="0" fontId="17" fillId="0" borderId="211" xfId="0" applyFont="1" applyBorder="1" applyAlignment="1">
      <alignment horizontal="left" vertical="top" wrapText="1"/>
    </xf>
    <xf numFmtId="0" fontId="17" fillId="0" borderId="172" xfId="0" applyFont="1" applyBorder="1" applyAlignment="1">
      <alignment horizontal="left" vertical="top" wrapText="1"/>
    </xf>
    <xf numFmtId="0" fontId="17" fillId="0" borderId="173"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8" xfId="0" applyFont="1" applyBorder="1" applyAlignment="1">
      <alignment horizontal="left" vertical="top" wrapText="1"/>
    </xf>
    <xf numFmtId="0" fontId="17" fillId="0" borderId="10" xfId="0" applyFont="1" applyBorder="1" applyAlignment="1">
      <alignment horizontal="center" vertical="center" shrinkToFit="1"/>
    </xf>
    <xf numFmtId="0" fontId="17" fillId="0" borderId="14" xfId="0" applyFont="1" applyBorder="1" applyAlignment="1">
      <alignment horizontal="center" vertical="top"/>
    </xf>
    <xf numFmtId="0" fontId="17" fillId="0" borderId="15" xfId="0" applyFont="1" applyBorder="1" applyAlignment="1">
      <alignment horizontal="center" vertical="top"/>
    </xf>
    <xf numFmtId="0" fontId="17" fillId="0" borderId="16" xfId="0" applyFont="1" applyBorder="1" applyAlignment="1">
      <alignment horizontal="center" vertical="top"/>
    </xf>
    <xf numFmtId="0" fontId="17" fillId="0" borderId="211" xfId="0" applyFont="1" applyBorder="1" applyAlignment="1">
      <alignment horizontal="left" vertical="top"/>
    </xf>
    <xf numFmtId="0" fontId="17" fillId="0" borderId="172" xfId="0" applyFont="1" applyBorder="1" applyAlignment="1">
      <alignment horizontal="left" vertical="top"/>
    </xf>
    <xf numFmtId="0" fontId="17" fillId="0" borderId="173" xfId="0" applyFont="1" applyBorder="1" applyAlignment="1">
      <alignment horizontal="left" vertical="top"/>
    </xf>
    <xf numFmtId="0" fontId="17" fillId="0" borderId="11" xfId="0" applyFont="1" applyBorder="1" applyAlignment="1">
      <alignment horizontal="left" vertical="top"/>
    </xf>
    <xf numFmtId="0" fontId="17" fillId="0" borderId="12" xfId="0" applyFont="1" applyBorder="1" applyAlignment="1">
      <alignment horizontal="left" vertical="top"/>
    </xf>
    <xf numFmtId="0" fontId="17" fillId="0" borderId="18" xfId="0" applyFont="1" applyBorder="1" applyAlignment="1">
      <alignment horizontal="left" vertical="top"/>
    </xf>
    <xf numFmtId="0" fontId="17" fillId="0" borderId="211" xfId="0" applyFont="1" applyBorder="1" applyAlignment="1">
      <alignment horizontal="center" vertical="top" wrapText="1"/>
    </xf>
    <xf numFmtId="0" fontId="17" fillId="0" borderId="172" xfId="0" applyFont="1" applyBorder="1" applyAlignment="1">
      <alignment horizontal="center" vertical="top" wrapText="1"/>
    </xf>
    <xf numFmtId="0" fontId="17" fillId="0" borderId="173" xfId="0" applyFont="1" applyBorder="1" applyAlignment="1">
      <alignment horizontal="center" vertical="top" wrapText="1"/>
    </xf>
    <xf numFmtId="0" fontId="17" fillId="0" borderId="11" xfId="0" applyFont="1" applyBorder="1" applyAlignment="1">
      <alignment horizontal="center" vertical="top" wrapText="1"/>
    </xf>
    <xf numFmtId="0" fontId="17" fillId="0" borderId="18" xfId="0" applyFont="1" applyBorder="1" applyAlignment="1">
      <alignment horizontal="center" vertical="top" wrapText="1"/>
    </xf>
    <xf numFmtId="0" fontId="17" fillId="0" borderId="15" xfId="0" applyFont="1" applyBorder="1" applyAlignment="1">
      <alignment horizontal="distributed" vertical="top"/>
    </xf>
    <xf numFmtId="181" fontId="17" fillId="0" borderId="14" xfId="0" applyNumberFormat="1" applyFont="1" applyBorder="1" applyAlignment="1">
      <alignment horizontal="center" vertical="top"/>
    </xf>
    <xf numFmtId="181" fontId="17" fillId="0" borderId="15" xfId="0" applyNumberFormat="1" applyFont="1" applyBorder="1" applyAlignment="1">
      <alignment horizontal="center" vertical="top"/>
    </xf>
    <xf numFmtId="181" fontId="17" fillId="0" borderId="16" xfId="0" applyNumberFormat="1" applyFont="1" applyBorder="1" applyAlignment="1">
      <alignment horizontal="center" vertical="top"/>
    </xf>
    <xf numFmtId="0" fontId="17" fillId="0" borderId="211" xfId="0" applyFont="1" applyBorder="1" applyAlignment="1">
      <alignment horizontal="center" vertical="center"/>
    </xf>
    <xf numFmtId="0" fontId="17" fillId="0" borderId="172" xfId="0" applyFont="1" applyBorder="1" applyAlignment="1">
      <alignment horizontal="center" vertical="center"/>
    </xf>
    <xf numFmtId="0" fontId="17" fillId="0" borderId="173"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7" fillId="0" borderId="211" xfId="0" applyFont="1" applyBorder="1" applyAlignment="1">
      <alignment horizontal="left" vertical="center" shrinkToFit="1"/>
    </xf>
    <xf numFmtId="0" fontId="17" fillId="0" borderId="172" xfId="0" applyFont="1" applyBorder="1" applyAlignment="1">
      <alignment horizontal="left" vertical="center" shrinkToFit="1"/>
    </xf>
    <xf numFmtId="0" fontId="17" fillId="0" borderId="173"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18" xfId="0" applyFont="1" applyBorder="1" applyAlignment="1">
      <alignment horizontal="left" vertical="center" shrinkToFit="1"/>
    </xf>
    <xf numFmtId="0" fontId="17" fillId="0" borderId="172" xfId="0" applyFont="1" applyBorder="1" applyAlignment="1">
      <alignment horizontal="distributed" vertical="top"/>
    </xf>
    <xf numFmtId="20" fontId="17" fillId="0" borderId="14" xfId="0" applyNumberFormat="1" applyFont="1" applyBorder="1" applyAlignment="1">
      <alignment horizontal="center" vertical="top"/>
    </xf>
    <xf numFmtId="20" fontId="17" fillId="0" borderId="15" xfId="0" applyNumberFormat="1" applyFont="1" applyBorder="1" applyAlignment="1">
      <alignment horizontal="center" vertical="top"/>
    </xf>
    <xf numFmtId="20" fontId="17" fillId="0" borderId="16" xfId="0" applyNumberFormat="1" applyFont="1" applyBorder="1" applyAlignment="1">
      <alignment horizontal="center" vertical="top"/>
    </xf>
    <xf numFmtId="0" fontId="17" fillId="0" borderId="14" xfId="0" applyFont="1" applyBorder="1" applyAlignment="1">
      <alignment horizontal="left" vertical="top" shrinkToFit="1"/>
    </xf>
    <xf numFmtId="0" fontId="17" fillId="0" borderId="15" xfId="0" applyFont="1" applyBorder="1" applyAlignment="1">
      <alignment horizontal="left" vertical="top" shrinkToFit="1"/>
    </xf>
    <xf numFmtId="0" fontId="17" fillId="0" borderId="16" xfId="0" applyFont="1" applyBorder="1" applyAlignment="1">
      <alignment horizontal="left" vertical="top" shrinkToFit="1"/>
    </xf>
    <xf numFmtId="0" fontId="17" fillId="0" borderId="14" xfId="0" applyFont="1" applyBorder="1" applyAlignment="1">
      <alignment horizontal="center" vertical="top" wrapText="1"/>
    </xf>
    <xf numFmtId="0" fontId="17" fillId="0" borderId="15" xfId="0" applyFont="1" applyBorder="1" applyAlignment="1">
      <alignment horizontal="center" vertical="top" wrapText="1"/>
    </xf>
    <xf numFmtId="0" fontId="17" fillId="0" borderId="16" xfId="0" applyFont="1" applyBorder="1" applyAlignment="1">
      <alignment horizontal="center" vertical="top" wrapText="1"/>
    </xf>
    <xf numFmtId="0" fontId="17" fillId="0" borderId="10" xfId="0" applyFont="1" applyBorder="1" applyAlignment="1">
      <alignment horizontal="center" vertical="top" wrapText="1"/>
    </xf>
    <xf numFmtId="0" fontId="17" fillId="0" borderId="15" xfId="0" applyFont="1" applyBorder="1" applyAlignment="1">
      <alignment horizontal="center" vertical="center"/>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82" xfId="0" applyFont="1" applyBorder="1" applyAlignment="1">
      <alignment horizontal="center" vertical="top" wrapText="1"/>
    </xf>
    <xf numFmtId="0" fontId="18" fillId="0" borderId="175" xfId="0" applyFont="1" applyBorder="1" applyAlignment="1">
      <alignment horizontal="center" vertical="center" shrinkToFit="1"/>
    </xf>
    <xf numFmtId="0" fontId="17" fillId="0" borderId="211" xfId="0" applyFont="1" applyBorder="1" applyAlignment="1">
      <alignment horizontal="center" vertical="center" wrapText="1"/>
    </xf>
    <xf numFmtId="0" fontId="17" fillId="0" borderId="17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17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3" xfId="0" applyFont="1" applyBorder="1" applyAlignment="1">
      <alignment horizontal="center" vertical="top" wrapText="1"/>
    </xf>
    <xf numFmtId="0" fontId="17" fillId="0" borderId="0" xfId="0" applyFont="1" applyAlignment="1">
      <alignment horizontal="center" vertical="top" wrapText="1"/>
    </xf>
    <xf numFmtId="0" fontId="17" fillId="0" borderId="11" xfId="0" applyFont="1" applyBorder="1" applyAlignment="1">
      <alignment horizontal="center" vertical="top" shrinkToFit="1"/>
    </xf>
    <xf numFmtId="0" fontId="17" fillId="0" borderId="12" xfId="0" applyFont="1" applyBorder="1" applyAlignment="1">
      <alignment horizontal="center" vertical="top" shrinkToFit="1"/>
    </xf>
    <xf numFmtId="0" fontId="17" fillId="0" borderId="10" xfId="0" applyFont="1" applyBorder="1" applyAlignment="1">
      <alignment horizontal="left" vertical="center" wrapText="1"/>
    </xf>
    <xf numFmtId="0" fontId="17" fillId="0" borderId="10" xfId="0" applyFont="1" applyBorder="1" applyAlignment="1">
      <alignment horizontal="left" vertical="top"/>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5" xfId="0" applyFont="1" applyBorder="1" applyAlignment="1">
      <alignment horizontal="left" vertical="top"/>
    </xf>
    <xf numFmtId="0" fontId="17" fillId="0" borderId="16" xfId="0" applyFont="1" applyBorder="1" applyAlignment="1">
      <alignment horizontal="left" vertical="top"/>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72" xfId="0" applyFont="1" applyBorder="1" applyAlignment="1">
      <alignment horizontal="distributed" vertical="distributed"/>
    </xf>
    <xf numFmtId="0" fontId="17" fillId="0" borderId="0" xfId="0" applyFont="1" applyAlignment="1">
      <alignment horizontal="distributed" vertical="distributed"/>
    </xf>
    <xf numFmtId="0" fontId="17" fillId="0" borderId="12" xfId="0" applyFont="1" applyBorder="1" applyAlignment="1">
      <alignment horizontal="distributed" vertical="distributed"/>
    </xf>
    <xf numFmtId="0" fontId="17" fillId="0" borderId="10" xfId="0" applyFont="1" applyBorder="1" applyAlignment="1">
      <alignment horizontal="left" vertical="center"/>
    </xf>
    <xf numFmtId="0" fontId="17" fillId="0" borderId="14" xfId="0" applyFont="1" applyBorder="1" applyAlignment="1">
      <alignment horizontal="left" vertical="center" shrinkToFit="1"/>
    </xf>
    <xf numFmtId="0" fontId="17" fillId="0" borderId="15" xfId="0" applyFont="1" applyBorder="1" applyAlignment="1">
      <alignment horizontal="left" vertical="center" shrinkToFit="1"/>
    </xf>
    <xf numFmtId="0" fontId="18" fillId="0" borderId="10" xfId="0" applyFont="1" applyBorder="1" applyAlignment="1">
      <alignment horizontal="center" vertical="center"/>
    </xf>
    <xf numFmtId="0" fontId="39" fillId="0" borderId="10" xfId="0" applyFont="1" applyBorder="1" applyAlignment="1">
      <alignment horizontal="center" vertical="center"/>
    </xf>
    <xf numFmtId="0" fontId="17" fillId="0" borderId="0" xfId="0" applyFont="1" applyAlignment="1">
      <alignment horizontal="left" vertical="center" shrinkToFit="1"/>
    </xf>
    <xf numFmtId="49" fontId="17" fillId="0" borderId="12" xfId="0" applyNumberFormat="1" applyFont="1" applyBorder="1" applyAlignment="1">
      <alignment horizontal="left" vertical="top" wrapText="1"/>
    </xf>
    <xf numFmtId="0" fontId="17" fillId="0" borderId="14" xfId="0" applyFont="1" applyBorder="1" applyAlignment="1">
      <alignment horizontal="left" vertical="top"/>
    </xf>
    <xf numFmtId="49" fontId="17" fillId="0" borderId="14" xfId="0" applyNumberFormat="1" applyFont="1" applyBorder="1" applyAlignment="1">
      <alignment horizontal="left" vertical="top" wrapText="1"/>
    </xf>
    <xf numFmtId="49" fontId="17" fillId="0" borderId="15" xfId="0" applyNumberFormat="1" applyFont="1" applyBorder="1" applyAlignment="1">
      <alignment horizontal="left" vertical="top" wrapText="1"/>
    </xf>
    <xf numFmtId="49" fontId="17" fillId="0" borderId="16" xfId="0" applyNumberFormat="1" applyFont="1" applyBorder="1" applyAlignment="1">
      <alignment horizontal="left" vertical="top" wrapText="1"/>
    </xf>
    <xf numFmtId="49" fontId="17" fillId="0" borderId="0" xfId="0" applyNumberFormat="1" applyFont="1" applyAlignment="1">
      <alignment horizontal="right" vertical="top"/>
    </xf>
    <xf numFmtId="0" fontId="17" fillId="37" borderId="0" xfId="0" applyFont="1" applyFill="1" applyAlignment="1">
      <alignment horizontal="left" vertical="top" wrapText="1"/>
    </xf>
    <xf numFmtId="0" fontId="0" fillId="0" borderId="0" xfId="0" applyAlignment="1">
      <alignment horizontal="left" vertical="top" wrapText="1"/>
    </xf>
    <xf numFmtId="0" fontId="17"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lignment vertical="top"/>
    </xf>
    <xf numFmtId="49" fontId="17" fillId="0" borderId="0" xfId="0" applyNumberFormat="1" applyFont="1" applyAlignment="1">
      <alignment horizontal="right" vertical="top" wrapText="1"/>
    </xf>
    <xf numFmtId="0" fontId="17" fillId="37" borderId="23" xfId="0" applyFont="1" applyFill="1" applyBorder="1" applyAlignment="1">
      <alignment horizontal="center" vertical="center" wrapText="1"/>
    </xf>
    <xf numFmtId="0" fontId="17" fillId="37" borderId="0" xfId="0" applyFont="1" applyFill="1" applyAlignment="1">
      <alignment horizontal="center" vertical="center" wrapText="1"/>
    </xf>
    <xf numFmtId="0" fontId="17" fillId="37" borderId="24" xfId="0" applyFont="1" applyFill="1" applyBorder="1" applyAlignment="1">
      <alignment horizontal="center" vertical="center" wrapText="1"/>
    </xf>
    <xf numFmtId="0" fontId="17" fillId="37" borderId="11" xfId="0" applyFont="1" applyFill="1" applyBorder="1" applyAlignment="1">
      <alignment horizontal="center" vertical="center" wrapText="1"/>
    </xf>
    <xf numFmtId="0" fontId="17" fillId="37" borderId="12" xfId="0" applyFont="1" applyFill="1" applyBorder="1" applyAlignment="1">
      <alignment horizontal="center" vertical="center" wrapText="1"/>
    </xf>
    <xf numFmtId="0" fontId="17" fillId="37" borderId="18" xfId="0" applyFont="1" applyFill="1" applyBorder="1" applyAlignment="1">
      <alignment horizontal="center" vertical="center" wrapText="1"/>
    </xf>
    <xf numFmtId="0" fontId="17" fillId="37" borderId="211" xfId="0" applyFont="1" applyFill="1" applyBorder="1" applyAlignment="1">
      <alignment horizontal="center" vertical="center" shrinkToFit="1"/>
    </xf>
    <xf numFmtId="0" fontId="17" fillId="37" borderId="172" xfId="0" applyFont="1" applyFill="1" applyBorder="1" applyAlignment="1">
      <alignment horizontal="center" vertical="center" shrinkToFit="1"/>
    </xf>
    <xf numFmtId="0" fontId="17" fillId="37" borderId="173" xfId="0" applyFont="1" applyFill="1" applyBorder="1" applyAlignment="1">
      <alignment horizontal="center" vertical="center" shrinkToFit="1"/>
    </xf>
    <xf numFmtId="0" fontId="17" fillId="37" borderId="11" xfId="0" applyFont="1" applyFill="1" applyBorder="1" applyAlignment="1">
      <alignment horizontal="center" vertical="center" shrinkToFit="1"/>
    </xf>
    <xf numFmtId="0" fontId="17" fillId="37" borderId="12" xfId="0" applyFont="1" applyFill="1" applyBorder="1" applyAlignment="1">
      <alignment horizontal="center" vertical="center" shrinkToFit="1"/>
    </xf>
    <xf numFmtId="0" fontId="17" fillId="37" borderId="18" xfId="0" applyFont="1" applyFill="1" applyBorder="1" applyAlignment="1">
      <alignment horizontal="center" vertical="center" shrinkToFit="1"/>
    </xf>
    <xf numFmtId="0" fontId="18" fillId="0" borderId="172" xfId="0" applyFont="1" applyBorder="1" applyAlignment="1">
      <alignment horizontal="left" vertical="center" wrapText="1"/>
    </xf>
    <xf numFmtId="0" fontId="18" fillId="0" borderId="173" xfId="0" applyFont="1" applyBorder="1" applyAlignment="1">
      <alignment horizontal="left" vertical="center" wrapText="1"/>
    </xf>
    <xf numFmtId="0" fontId="18" fillId="0" borderId="0" xfId="0" applyFont="1" applyAlignment="1">
      <alignment horizontal="left" vertical="center" wrapText="1"/>
    </xf>
    <xf numFmtId="0" fontId="18" fillId="0" borderId="24" xfId="0" applyFont="1" applyBorder="1" applyAlignment="1">
      <alignment horizontal="left" vertical="center" wrapText="1"/>
    </xf>
    <xf numFmtId="0" fontId="18" fillId="0" borderId="12" xfId="0" applyFont="1" applyBorder="1" applyAlignment="1">
      <alignment horizontal="left" vertical="center" wrapText="1"/>
    </xf>
    <xf numFmtId="0" fontId="18" fillId="0" borderId="18" xfId="0" applyFont="1" applyBorder="1" applyAlignment="1">
      <alignment horizontal="left" vertical="center" wrapText="1"/>
    </xf>
    <xf numFmtId="0" fontId="17" fillId="37" borderId="52" xfId="0" applyFont="1" applyFill="1" applyBorder="1" applyAlignment="1">
      <alignment horizontal="center" vertical="center" wrapText="1"/>
    </xf>
    <xf numFmtId="0" fontId="17" fillId="37" borderId="58" xfId="0" applyFont="1" applyFill="1" applyBorder="1" applyAlignment="1">
      <alignment horizontal="center" vertical="center" wrapText="1"/>
    </xf>
    <xf numFmtId="0" fontId="17" fillId="37" borderId="59" xfId="0" applyFont="1" applyFill="1" applyBorder="1" applyAlignment="1">
      <alignment horizontal="center" vertical="center" wrapText="1"/>
    </xf>
    <xf numFmtId="0" fontId="17" fillId="37" borderId="211" xfId="0" applyFont="1" applyFill="1" applyBorder="1" applyAlignment="1">
      <alignment horizontal="center" vertical="center"/>
    </xf>
    <xf numFmtId="0" fontId="17" fillId="37" borderId="172" xfId="0" applyFont="1" applyFill="1" applyBorder="1" applyAlignment="1">
      <alignment horizontal="center" vertical="center"/>
    </xf>
    <xf numFmtId="0" fontId="17" fillId="37" borderId="173" xfId="0" applyFont="1" applyFill="1" applyBorder="1" applyAlignment="1">
      <alignment horizontal="center" vertical="center"/>
    </xf>
    <xf numFmtId="0" fontId="17" fillId="37" borderId="11" xfId="0" applyFont="1" applyFill="1" applyBorder="1" applyAlignment="1">
      <alignment horizontal="center" vertical="center"/>
    </xf>
    <xf numFmtId="0" fontId="17" fillId="37" borderId="12" xfId="0" applyFont="1" applyFill="1" applyBorder="1" applyAlignment="1">
      <alignment horizontal="center" vertical="center"/>
    </xf>
    <xf numFmtId="0" fontId="17" fillId="37" borderId="18" xfId="0" applyFont="1" applyFill="1" applyBorder="1" applyAlignment="1">
      <alignment horizontal="center" vertical="center"/>
    </xf>
    <xf numFmtId="0" fontId="17" fillId="37" borderId="0" xfId="0" applyFont="1" applyFill="1" applyAlignment="1">
      <alignment horizontal="right" vertical="center"/>
    </xf>
    <xf numFmtId="0" fontId="17" fillId="37" borderId="84" xfId="0" applyFont="1" applyFill="1" applyBorder="1" applyAlignment="1">
      <alignment horizontal="center" vertical="center" wrapText="1"/>
    </xf>
    <xf numFmtId="0" fontId="18" fillId="0" borderId="21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1" xfId="0" applyFont="1" applyBorder="1" applyAlignment="1">
      <alignment horizontal="left" vertical="center" wrapText="1"/>
    </xf>
    <xf numFmtId="0" fontId="17" fillId="37" borderId="211" xfId="0" applyFont="1" applyFill="1" applyBorder="1" applyAlignment="1">
      <alignment horizontal="center" vertical="center" wrapText="1" shrinkToFit="1"/>
    </xf>
    <xf numFmtId="0" fontId="17" fillId="37" borderId="23" xfId="0" applyFont="1" applyFill="1" applyBorder="1" applyAlignment="1">
      <alignment horizontal="center" vertical="center" wrapText="1" shrinkToFit="1"/>
    </xf>
    <xf numFmtId="0" fontId="17" fillId="37" borderId="0" xfId="0" applyFont="1" applyFill="1" applyAlignment="1">
      <alignment horizontal="center" vertical="center" shrinkToFit="1"/>
    </xf>
    <xf numFmtId="0" fontId="17" fillId="37" borderId="24" xfId="0" applyFont="1" applyFill="1" applyBorder="1" applyAlignment="1">
      <alignment horizontal="center" vertical="center" shrinkToFit="1"/>
    </xf>
    <xf numFmtId="0" fontId="17" fillId="37" borderId="23" xfId="0" applyFont="1" applyFill="1" applyBorder="1" applyAlignment="1">
      <alignment horizontal="center" vertical="center" shrinkToFit="1"/>
    </xf>
    <xf numFmtId="0" fontId="17" fillId="0" borderId="211" xfId="0" applyFont="1" applyBorder="1" applyAlignment="1">
      <alignment horizontal="center" vertical="top"/>
    </xf>
    <xf numFmtId="0" fontId="17" fillId="0" borderId="23" xfId="0" applyFont="1" applyBorder="1" applyAlignment="1">
      <alignment horizontal="center" vertical="top"/>
    </xf>
    <xf numFmtId="0" fontId="17" fillId="0" borderId="11" xfId="0" applyFont="1" applyBorder="1" applyAlignment="1">
      <alignment horizontal="center" vertical="top"/>
    </xf>
    <xf numFmtId="0" fontId="17" fillId="37" borderId="11" xfId="0" applyFont="1" applyFill="1" applyBorder="1" applyAlignment="1">
      <alignment horizontal="center" vertical="center" wrapText="1" shrinkToFit="1"/>
    </xf>
    <xf numFmtId="0" fontId="17" fillId="37" borderId="0" xfId="0" applyFont="1" applyFill="1" applyAlignment="1">
      <alignment horizontal="center" vertical="center"/>
    </xf>
    <xf numFmtId="0" fontId="17" fillId="37" borderId="24" xfId="0" applyFont="1" applyFill="1" applyBorder="1" applyAlignment="1">
      <alignment horizontal="center" vertical="center"/>
    </xf>
    <xf numFmtId="0" fontId="17" fillId="37" borderId="23" xfId="0" applyFont="1" applyFill="1" applyBorder="1" applyAlignment="1">
      <alignment horizontal="center" vertical="center"/>
    </xf>
    <xf numFmtId="0" fontId="17" fillId="37" borderId="211" xfId="0" applyFont="1" applyFill="1" applyBorder="1" applyAlignment="1">
      <alignment horizontal="center" vertical="center" wrapText="1"/>
    </xf>
    <xf numFmtId="0" fontId="17" fillId="37" borderId="172" xfId="0" applyFont="1" applyFill="1" applyBorder="1" applyAlignment="1">
      <alignment horizontal="center" vertical="center" wrapText="1"/>
    </xf>
    <xf numFmtId="0" fontId="17" fillId="37" borderId="173" xfId="0" applyFont="1" applyFill="1" applyBorder="1" applyAlignment="1">
      <alignment horizontal="center" vertical="center" wrapText="1"/>
    </xf>
    <xf numFmtId="0" fontId="17" fillId="37" borderId="211" xfId="0" applyFont="1" applyFill="1" applyBorder="1" applyAlignment="1">
      <alignment horizontal="center" wrapText="1"/>
    </xf>
    <xf numFmtId="0" fontId="17" fillId="37" borderId="172" xfId="0" applyFont="1" applyFill="1" applyBorder="1" applyAlignment="1">
      <alignment horizontal="center" wrapText="1"/>
    </xf>
    <xf numFmtId="0" fontId="17" fillId="37" borderId="173" xfId="0" applyFont="1" applyFill="1" applyBorder="1" applyAlignment="1">
      <alignment horizontal="center" wrapText="1"/>
    </xf>
    <xf numFmtId="0" fontId="17" fillId="37" borderId="23" xfId="0" applyFont="1" applyFill="1" applyBorder="1" applyAlignment="1">
      <alignment horizontal="center" wrapText="1"/>
    </xf>
    <xf numFmtId="0" fontId="17" fillId="37" borderId="0" xfId="0" applyFont="1" applyFill="1" applyAlignment="1">
      <alignment horizontal="center" wrapText="1"/>
    </xf>
    <xf numFmtId="0" fontId="17" fillId="37" borderId="24" xfId="0" applyFont="1" applyFill="1" applyBorder="1" applyAlignment="1">
      <alignment horizontal="center" wrapText="1"/>
    </xf>
    <xf numFmtId="0" fontId="17" fillId="37" borderId="131" xfId="0" applyFont="1" applyFill="1" applyBorder="1" applyAlignment="1">
      <alignment horizontal="center" vertical="center" shrinkToFit="1"/>
    </xf>
    <xf numFmtId="0" fontId="17" fillId="37" borderId="107" xfId="0" applyFont="1" applyFill="1" applyBorder="1" applyAlignment="1">
      <alignment horizontal="center" vertical="center" shrinkToFit="1"/>
    </xf>
    <xf numFmtId="0" fontId="17" fillId="37" borderId="132" xfId="0" applyFont="1" applyFill="1" applyBorder="1" applyAlignment="1">
      <alignment horizontal="center" vertical="center" shrinkToFit="1"/>
    </xf>
    <xf numFmtId="0" fontId="59" fillId="37" borderId="211" xfId="0" applyFont="1" applyFill="1" applyBorder="1" applyAlignment="1">
      <alignment horizontal="center" vertical="center" wrapText="1" shrinkToFit="1"/>
    </xf>
    <xf numFmtId="0" fontId="59" fillId="37" borderId="172" xfId="0" applyFont="1" applyFill="1" applyBorder="1" applyAlignment="1">
      <alignment horizontal="center" vertical="center" wrapText="1" shrinkToFit="1"/>
    </xf>
    <xf numFmtId="0" fontId="59" fillId="37" borderId="173" xfId="0" applyFont="1" applyFill="1" applyBorder="1" applyAlignment="1">
      <alignment horizontal="center" vertical="center" wrapText="1" shrinkToFit="1"/>
    </xf>
    <xf numFmtId="0" fontId="59" fillId="37" borderId="23" xfId="0" applyFont="1" applyFill="1" applyBorder="1" applyAlignment="1">
      <alignment horizontal="center" vertical="center" wrapText="1" shrinkToFit="1"/>
    </xf>
    <xf numFmtId="0" fontId="59" fillId="37" borderId="0" xfId="0" applyFont="1" applyFill="1" applyAlignment="1">
      <alignment horizontal="center" vertical="center" wrapText="1" shrinkToFit="1"/>
    </xf>
    <xf numFmtId="0" fontId="59" fillId="37" borderId="24" xfId="0" applyFont="1" applyFill="1" applyBorder="1" applyAlignment="1">
      <alignment horizontal="center" vertical="center" wrapText="1" shrinkToFit="1"/>
    </xf>
    <xf numFmtId="0" fontId="59" fillId="37" borderId="11" xfId="0" applyFont="1" applyFill="1" applyBorder="1" applyAlignment="1">
      <alignment horizontal="center" vertical="center" wrapText="1" shrinkToFit="1"/>
    </xf>
    <xf numFmtId="0" fontId="59" fillId="37" borderId="12" xfId="0" applyFont="1" applyFill="1" applyBorder="1" applyAlignment="1">
      <alignment horizontal="center" vertical="center" wrapText="1" shrinkToFit="1"/>
    </xf>
    <xf numFmtId="0" fontId="59" fillId="37" borderId="18" xfId="0" applyFont="1" applyFill="1" applyBorder="1" applyAlignment="1">
      <alignment horizontal="center" vertical="center" wrapText="1" shrinkToFit="1"/>
    </xf>
    <xf numFmtId="0" fontId="18" fillId="0" borderId="211" xfId="0" applyFont="1" applyBorder="1" applyAlignment="1">
      <alignment horizontal="left" vertical="top" wrapText="1"/>
    </xf>
    <xf numFmtId="0" fontId="18" fillId="0" borderId="172" xfId="0" applyFont="1" applyBorder="1" applyAlignment="1">
      <alignment horizontal="left" vertical="top" wrapText="1"/>
    </xf>
    <xf numFmtId="0" fontId="18" fillId="0" borderId="173" xfId="0" applyFont="1" applyBorder="1" applyAlignment="1">
      <alignment horizontal="left" vertical="top" wrapText="1"/>
    </xf>
    <xf numFmtId="0" fontId="18" fillId="0" borderId="23" xfId="0" applyFont="1" applyBorder="1" applyAlignment="1">
      <alignment horizontal="left" vertical="top" wrapText="1"/>
    </xf>
    <xf numFmtId="0" fontId="18" fillId="0" borderId="0" xfId="0" applyFont="1" applyAlignment="1">
      <alignment horizontal="left" vertical="top" wrapText="1"/>
    </xf>
    <xf numFmtId="0" fontId="18" fillId="0" borderId="24"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8" xfId="0" applyFont="1" applyBorder="1" applyAlignment="1">
      <alignment horizontal="left" vertical="top" wrapText="1"/>
    </xf>
    <xf numFmtId="0" fontId="17" fillId="0" borderId="211" xfId="0" applyFont="1" applyBorder="1" applyAlignment="1">
      <alignment horizontal="center" vertical="center" shrinkToFit="1"/>
    </xf>
    <xf numFmtId="0" fontId="17" fillId="0" borderId="172" xfId="0" applyFont="1" applyBorder="1" applyAlignment="1">
      <alignment horizontal="center" vertical="center" shrinkToFit="1"/>
    </xf>
    <xf numFmtId="0" fontId="17" fillId="0" borderId="173"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2" xfId="0" applyFont="1" applyBorder="1" applyAlignment="1" applyProtection="1">
      <alignment horizontal="left" vertical="top" wrapText="1"/>
      <protection locked="0"/>
    </xf>
    <xf numFmtId="38" fontId="118" fillId="0" borderId="10" xfId="46" applyFont="1" applyBorder="1" applyAlignment="1" applyProtection="1">
      <alignment horizontal="center" vertical="center"/>
    </xf>
    <xf numFmtId="0" fontId="118" fillId="0" borderId="10" xfId="43" applyFont="1" applyBorder="1" applyAlignment="1" applyProtection="1">
      <alignment horizontal="center" vertical="center" shrinkToFit="1"/>
      <protection locked="0"/>
    </xf>
    <xf numFmtId="38" fontId="118" fillId="0" borderId="10" xfId="77" applyFont="1" applyBorder="1" applyAlignment="1" applyProtection="1">
      <alignment horizontal="center" vertical="center"/>
    </xf>
    <xf numFmtId="0" fontId="118" fillId="0" borderId="10" xfId="43" applyFont="1" applyBorder="1" applyAlignment="1">
      <alignment horizontal="center" vertical="center" shrinkToFit="1"/>
    </xf>
    <xf numFmtId="0" fontId="114" fillId="27" borderId="211" xfId="43" applyFont="1" applyFill="1" applyBorder="1" applyAlignment="1">
      <alignment horizontal="center" vertical="center" shrinkToFit="1"/>
    </xf>
    <xf numFmtId="0" fontId="114" fillId="27" borderId="172" xfId="43" applyFont="1" applyFill="1" applyBorder="1" applyAlignment="1">
      <alignment horizontal="center" vertical="center" shrinkToFit="1"/>
    </xf>
    <xf numFmtId="0" fontId="161" fillId="27" borderId="211" xfId="43" applyFont="1" applyFill="1" applyBorder="1" applyAlignment="1">
      <alignment horizontal="center" vertical="center" wrapText="1" shrinkToFit="1"/>
    </xf>
    <xf numFmtId="0" fontId="161" fillId="27" borderId="172" xfId="43" applyFont="1" applyFill="1" applyBorder="1" applyAlignment="1">
      <alignment horizontal="center" vertical="center" shrinkToFit="1"/>
    </xf>
    <xf numFmtId="0" fontId="161" fillId="27" borderId="173" xfId="43" applyFont="1" applyFill="1" applyBorder="1" applyAlignment="1">
      <alignment horizontal="center" vertical="center" shrinkToFit="1"/>
    </xf>
    <xf numFmtId="0" fontId="161" fillId="27" borderId="11" xfId="43" applyFont="1" applyFill="1" applyBorder="1" applyAlignment="1">
      <alignment horizontal="center" vertical="center" shrinkToFit="1"/>
    </xf>
    <xf numFmtId="0" fontId="161" fillId="27" borderId="12" xfId="43" applyFont="1" applyFill="1" applyBorder="1" applyAlignment="1">
      <alignment horizontal="center" vertical="center" shrinkToFit="1"/>
    </xf>
    <xf numFmtId="0" fontId="161" fillId="27" borderId="18" xfId="43" applyFont="1" applyFill="1" applyBorder="1" applyAlignment="1">
      <alignment horizontal="center" vertical="center" shrinkToFit="1"/>
    </xf>
    <xf numFmtId="0" fontId="122" fillId="27" borderId="211" xfId="43" applyFont="1" applyFill="1" applyBorder="1" applyAlignment="1">
      <alignment horizontal="center" vertical="center" wrapText="1" shrinkToFit="1"/>
    </xf>
    <xf numFmtId="0" fontId="122" fillId="27" borderId="172" xfId="43" applyFont="1" applyFill="1" applyBorder="1" applyAlignment="1">
      <alignment horizontal="center" vertical="center" shrinkToFit="1"/>
    </xf>
    <xf numFmtId="0" fontId="122" fillId="27" borderId="173" xfId="43" applyFont="1" applyFill="1" applyBorder="1" applyAlignment="1">
      <alignment horizontal="center" vertical="center" shrinkToFit="1"/>
    </xf>
    <xf numFmtId="0" fontId="122" fillId="27" borderId="11" xfId="43" applyFont="1" applyFill="1" applyBorder="1" applyAlignment="1">
      <alignment horizontal="center" vertical="center" shrinkToFit="1"/>
    </xf>
    <xf numFmtId="0" fontId="122" fillId="27" borderId="12" xfId="43" applyFont="1" applyFill="1" applyBorder="1" applyAlignment="1">
      <alignment horizontal="center" vertical="center" shrinkToFit="1"/>
    </xf>
    <xf numFmtId="0" fontId="122" fillId="27" borderId="18" xfId="43" applyFont="1" applyFill="1" applyBorder="1" applyAlignment="1">
      <alignment horizontal="center" vertical="center" shrinkToFit="1"/>
    </xf>
    <xf numFmtId="0" fontId="114" fillId="27" borderId="11" xfId="43" applyFont="1" applyFill="1" applyBorder="1" applyAlignment="1">
      <alignment horizontal="center" vertical="center" shrinkToFit="1"/>
    </xf>
    <xf numFmtId="0" fontId="114" fillId="27" borderId="12" xfId="43" applyFont="1" applyFill="1" applyBorder="1" applyAlignment="1">
      <alignment horizontal="center" vertical="center" shrinkToFit="1"/>
    </xf>
    <xf numFmtId="0" fontId="114" fillId="27" borderId="18" xfId="43" applyFont="1" applyFill="1" applyBorder="1" applyAlignment="1">
      <alignment horizontal="center" vertical="center" shrinkToFit="1"/>
    </xf>
    <xf numFmtId="38" fontId="118" fillId="0" borderId="14" xfId="46" applyFont="1" applyBorder="1" applyAlignment="1" applyProtection="1">
      <alignment horizontal="center" vertical="center"/>
    </xf>
    <xf numFmtId="38" fontId="118" fillId="0" borderId="15" xfId="46" applyFont="1" applyBorder="1" applyAlignment="1" applyProtection="1">
      <alignment horizontal="center" vertical="center"/>
    </xf>
    <xf numFmtId="38" fontId="118" fillId="0" borderId="16" xfId="46" applyFont="1" applyBorder="1" applyAlignment="1" applyProtection="1">
      <alignment horizontal="center" vertical="center"/>
    </xf>
    <xf numFmtId="6" fontId="118" fillId="0" borderId="10" xfId="76" applyFont="1" applyBorder="1" applyAlignment="1" applyProtection="1">
      <alignment horizontal="center" vertical="center"/>
    </xf>
    <xf numFmtId="0" fontId="118" fillId="0" borderId="10" xfId="43" applyFont="1" applyBorder="1" applyAlignment="1">
      <alignment horizontal="center" vertical="center"/>
    </xf>
    <xf numFmtId="0" fontId="114" fillId="27" borderId="211" xfId="43" applyFont="1" applyFill="1" applyBorder="1" applyAlignment="1">
      <alignment horizontal="center" vertical="center" wrapText="1"/>
    </xf>
    <xf numFmtId="0" fontId="114" fillId="27" borderId="172" xfId="43" applyFont="1" applyFill="1" applyBorder="1" applyAlignment="1">
      <alignment horizontal="center" vertical="center" wrapText="1"/>
    </xf>
    <xf numFmtId="0" fontId="114" fillId="27" borderId="173" xfId="43" applyFont="1" applyFill="1" applyBorder="1" applyAlignment="1">
      <alignment horizontal="center" vertical="center" wrapText="1"/>
    </xf>
    <xf numFmtId="0" fontId="114" fillId="27" borderId="11" xfId="43" applyFont="1" applyFill="1" applyBorder="1" applyAlignment="1">
      <alignment horizontal="center" vertical="center" wrapText="1"/>
    </xf>
    <xf numFmtId="0" fontId="114" fillId="27" borderId="12" xfId="43" applyFont="1" applyFill="1" applyBorder="1" applyAlignment="1">
      <alignment horizontal="center" vertical="center" wrapText="1"/>
    </xf>
    <xf numFmtId="0" fontId="114" fillId="27" borderId="18" xfId="43" applyFont="1" applyFill="1" applyBorder="1" applyAlignment="1">
      <alignment horizontal="center" vertical="center" wrapText="1"/>
    </xf>
    <xf numFmtId="0" fontId="118" fillId="0" borderId="23" xfId="43" applyFont="1" applyBorder="1" applyAlignment="1">
      <alignment horizontal="center" vertical="center"/>
    </xf>
    <xf numFmtId="0" fontId="114" fillId="27" borderId="173" xfId="43" applyFont="1" applyFill="1" applyBorder="1" applyAlignment="1">
      <alignment horizontal="center" vertical="center" shrinkToFit="1"/>
    </xf>
    <xf numFmtId="0" fontId="114" fillId="27" borderId="211" xfId="43" applyFont="1" applyFill="1" applyBorder="1" applyAlignment="1">
      <alignment horizontal="center" shrinkToFit="1"/>
    </xf>
    <xf numFmtId="0" fontId="114" fillId="27" borderId="172" xfId="43" applyFont="1" applyFill="1" applyBorder="1" applyAlignment="1">
      <alignment horizontal="center" shrinkToFit="1"/>
    </xf>
    <xf numFmtId="0" fontId="114" fillId="27" borderId="173" xfId="43" applyFont="1" applyFill="1" applyBorder="1" applyAlignment="1">
      <alignment horizontal="center" shrinkToFit="1"/>
    </xf>
    <xf numFmtId="38" fontId="118" fillId="0" borderId="11" xfId="46" applyFont="1" applyBorder="1" applyAlignment="1" applyProtection="1">
      <alignment horizontal="center" vertical="center"/>
    </xf>
    <xf numFmtId="38" fontId="118" fillId="0" borderId="12" xfId="46" applyFont="1" applyBorder="1" applyAlignment="1" applyProtection="1">
      <alignment horizontal="center" vertical="center"/>
    </xf>
    <xf numFmtId="38" fontId="118" fillId="0" borderId="18" xfId="46" applyFont="1" applyBorder="1" applyAlignment="1" applyProtection="1">
      <alignment horizontal="center" vertical="center"/>
    </xf>
    <xf numFmtId="2" fontId="118" fillId="0" borderId="10" xfId="43" applyNumberFormat="1" applyFont="1" applyBorder="1" applyAlignment="1">
      <alignment horizontal="center" vertical="center"/>
    </xf>
    <xf numFmtId="0" fontId="114" fillId="27" borderId="228" xfId="43" applyFont="1" applyFill="1" applyBorder="1" applyAlignment="1">
      <alignment horizontal="center" vertical="center" wrapText="1"/>
    </xf>
    <xf numFmtId="0" fontId="118" fillId="0" borderId="10" xfId="54" applyNumberFormat="1" applyFont="1" applyFill="1" applyBorder="1" applyAlignment="1" applyProtection="1">
      <alignment horizontal="center" vertical="center"/>
    </xf>
    <xf numFmtId="0" fontId="114" fillId="27" borderId="10" xfId="43" applyFont="1" applyFill="1" applyBorder="1" applyAlignment="1">
      <alignment horizontal="center" vertical="center" shrinkToFit="1"/>
    </xf>
    <xf numFmtId="38" fontId="118" fillId="0" borderId="10" xfId="76" applyNumberFormat="1" applyFont="1" applyBorder="1" applyAlignment="1" applyProtection="1">
      <alignment horizontal="center" vertical="center"/>
    </xf>
    <xf numFmtId="0" fontId="114" fillId="27" borderId="10" xfId="43" applyFont="1" applyFill="1" applyBorder="1" applyAlignment="1">
      <alignment horizontal="center" vertical="center"/>
    </xf>
    <xf numFmtId="49" fontId="114" fillId="0" borderId="23" xfId="43" applyNumberFormat="1" applyFont="1" applyBorder="1" applyAlignment="1">
      <alignment horizontal="center" vertical="center" wrapText="1"/>
    </xf>
    <xf numFmtId="49" fontId="114" fillId="0" borderId="0" xfId="43" applyNumberFormat="1" applyFont="1" applyAlignment="1">
      <alignment horizontal="center" vertical="center" wrapText="1"/>
    </xf>
    <xf numFmtId="0" fontId="114" fillId="27" borderId="67" xfId="43" applyFont="1" applyFill="1" applyBorder="1" applyAlignment="1">
      <alignment horizontal="center" vertical="center" shrinkToFit="1"/>
    </xf>
    <xf numFmtId="0" fontId="114" fillId="27" borderId="22" xfId="43" applyFont="1" applyFill="1" applyBorder="1" applyAlignment="1">
      <alignment horizontal="center" vertical="center" shrinkToFit="1"/>
    </xf>
    <xf numFmtId="0" fontId="114" fillId="27" borderId="34" xfId="43" applyFont="1" applyFill="1" applyBorder="1" applyAlignment="1">
      <alignment horizontal="center" vertical="center" shrinkToFit="1"/>
    </xf>
    <xf numFmtId="6" fontId="147" fillId="0" borderId="219" xfId="76" applyFont="1" applyBorder="1" applyAlignment="1" applyProtection="1">
      <alignment horizontal="center" vertical="center"/>
    </xf>
    <xf numFmtId="6" fontId="147" fillId="0" borderId="172" xfId="76" applyFont="1" applyBorder="1" applyAlignment="1" applyProtection="1">
      <alignment horizontal="center" vertical="center"/>
    </xf>
    <xf numFmtId="6" fontId="147" fillId="0" borderId="212" xfId="76" applyFont="1" applyBorder="1" applyAlignment="1" applyProtection="1">
      <alignment horizontal="center" vertical="center"/>
    </xf>
    <xf numFmtId="6" fontId="147" fillId="0" borderId="29" xfId="76" applyFont="1" applyBorder="1" applyAlignment="1" applyProtection="1">
      <alignment horizontal="center" vertical="center"/>
    </xf>
    <xf numFmtId="6" fontId="147" fillId="0" borderId="30" xfId="76" applyFont="1" applyBorder="1" applyAlignment="1" applyProtection="1">
      <alignment horizontal="center" vertical="center"/>
    </xf>
    <xf numFmtId="6" fontId="147" fillId="0" borderId="37" xfId="76" applyFont="1" applyBorder="1" applyAlignment="1" applyProtection="1">
      <alignment horizontal="center" vertical="center"/>
    </xf>
    <xf numFmtId="0" fontId="122" fillId="27" borderId="10" xfId="43" applyFont="1" applyFill="1" applyBorder="1" applyAlignment="1">
      <alignment horizontal="center" vertical="center" wrapText="1" shrinkToFit="1"/>
    </xf>
    <xf numFmtId="0" fontId="114" fillId="27" borderId="172" xfId="43" applyFont="1" applyFill="1" applyBorder="1" applyAlignment="1">
      <alignment horizontal="center" vertical="center"/>
    </xf>
    <xf numFmtId="0" fontId="114" fillId="27" borderId="173" xfId="43" applyFont="1" applyFill="1" applyBorder="1" applyAlignment="1">
      <alignment horizontal="center" vertical="center"/>
    </xf>
    <xf numFmtId="0" fontId="114" fillId="27" borderId="11" xfId="43" applyFont="1" applyFill="1" applyBorder="1" applyAlignment="1">
      <alignment horizontal="center" vertical="center"/>
    </xf>
    <xf numFmtId="0" fontId="114" fillId="27" borderId="12" xfId="43" applyFont="1" applyFill="1" applyBorder="1" applyAlignment="1">
      <alignment horizontal="center" vertical="center"/>
    </xf>
    <xf numFmtId="0" fontId="114" fillId="27" borderId="18" xfId="43" applyFont="1" applyFill="1" applyBorder="1" applyAlignment="1">
      <alignment horizontal="center" vertical="center"/>
    </xf>
    <xf numFmtId="38" fontId="118" fillId="0" borderId="10" xfId="43" applyNumberFormat="1" applyFont="1" applyBorder="1" applyAlignment="1">
      <alignment horizontal="center" vertical="center"/>
    </xf>
    <xf numFmtId="6" fontId="123" fillId="0" borderId="10" xfId="76" applyFont="1" applyBorder="1" applyAlignment="1" applyProtection="1">
      <alignment horizontal="center" vertical="center"/>
    </xf>
    <xf numFmtId="6" fontId="123" fillId="0" borderId="10" xfId="54" applyFont="1" applyBorder="1" applyAlignment="1" applyProtection="1">
      <alignment horizontal="center" vertical="center"/>
    </xf>
    <xf numFmtId="0" fontId="118" fillId="37" borderId="10" xfId="43" applyFont="1" applyFill="1" applyBorder="1" applyAlignment="1" applyProtection="1">
      <alignment horizontal="center" vertical="center" shrinkToFit="1"/>
      <protection locked="0"/>
    </xf>
    <xf numFmtId="6" fontId="123" fillId="0" borderId="26" xfId="76" applyFont="1" applyBorder="1" applyAlignment="1" applyProtection="1">
      <alignment horizontal="center" vertical="center"/>
    </xf>
    <xf numFmtId="6" fontId="123" fillId="0" borderId="0" xfId="76" applyFont="1" applyBorder="1" applyAlignment="1" applyProtection="1">
      <alignment horizontal="center" vertical="center"/>
    </xf>
    <xf numFmtId="6" fontId="123" fillId="0" borderId="19" xfId="76" applyFont="1" applyBorder="1" applyAlignment="1" applyProtection="1">
      <alignment horizontal="center" vertical="center"/>
    </xf>
    <xf numFmtId="6" fontId="123" fillId="0" borderId="29" xfId="76" applyFont="1" applyBorder="1" applyAlignment="1" applyProtection="1">
      <alignment horizontal="center" vertical="center"/>
    </xf>
    <xf numFmtId="6" fontId="123" fillId="0" borderId="30" xfId="76" applyFont="1" applyBorder="1" applyAlignment="1" applyProtection="1">
      <alignment horizontal="center" vertical="center"/>
    </xf>
    <xf numFmtId="6" fontId="123" fillId="0" borderId="37" xfId="76" applyFont="1" applyBorder="1" applyAlignment="1" applyProtection="1">
      <alignment horizontal="center" vertical="center"/>
    </xf>
    <xf numFmtId="0" fontId="118" fillId="0" borderId="0" xfId="43" applyFont="1" applyAlignment="1">
      <alignment horizontal="center" vertical="center"/>
    </xf>
    <xf numFmtId="6" fontId="118" fillId="37" borderId="10" xfId="54" applyFont="1" applyFill="1" applyBorder="1" applyAlignment="1" applyProtection="1">
      <alignment horizontal="center" vertical="center"/>
    </xf>
    <xf numFmtId="6" fontId="118" fillId="0" borderId="10" xfId="54" applyFont="1" applyBorder="1" applyAlignment="1" applyProtection="1">
      <alignment horizontal="center" vertical="center"/>
    </xf>
    <xf numFmtId="0" fontId="121" fillId="27" borderId="10" xfId="43" applyFont="1" applyFill="1" applyBorder="1" applyAlignment="1">
      <alignment horizontal="center" vertical="center" wrapText="1"/>
    </xf>
    <xf numFmtId="0" fontId="120" fillId="0" borderId="26" xfId="43" applyFont="1" applyBorder="1" applyAlignment="1">
      <alignment horizontal="center" vertical="center" wrapText="1"/>
    </xf>
    <xf numFmtId="0" fontId="120" fillId="0" borderId="0" xfId="43" applyFont="1" applyAlignment="1">
      <alignment horizontal="center" vertical="center" wrapText="1"/>
    </xf>
    <xf numFmtId="0" fontId="119" fillId="46" borderId="0" xfId="43" applyFont="1" applyFill="1" applyAlignment="1">
      <alignment horizontal="center" vertical="center" shrinkToFit="1"/>
    </xf>
    <xf numFmtId="0" fontId="110" fillId="0" borderId="0" xfId="43" applyFont="1" applyAlignment="1">
      <alignment horizontal="center" vertical="center"/>
    </xf>
    <xf numFmtId="0" fontId="114" fillId="45" borderId="10" xfId="43" applyFont="1" applyFill="1" applyBorder="1" applyAlignment="1">
      <alignment horizontal="center" vertical="center"/>
    </xf>
    <xf numFmtId="0" fontId="118" fillId="0" borderId="10" xfId="43" applyFont="1" applyBorder="1" applyAlignment="1" applyProtection="1">
      <alignment horizontal="center" vertical="center"/>
      <protection locked="0"/>
    </xf>
    <xf numFmtId="6" fontId="118" fillId="0" borderId="10" xfId="76" applyFont="1" applyBorder="1" applyAlignment="1" applyProtection="1">
      <alignment horizontal="center" vertical="center" shrinkToFit="1"/>
    </xf>
    <xf numFmtId="0" fontId="121" fillId="27" borderId="211" xfId="43" applyFont="1" applyFill="1" applyBorder="1" applyAlignment="1">
      <alignment horizontal="center" vertical="center" wrapText="1"/>
    </xf>
    <xf numFmtId="0" fontId="121" fillId="27" borderId="172" xfId="43" applyFont="1" applyFill="1" applyBorder="1" applyAlignment="1">
      <alignment horizontal="center" vertical="center" wrapText="1"/>
    </xf>
    <xf numFmtId="0" fontId="121" fillId="27" borderId="228" xfId="43" applyFont="1" applyFill="1" applyBorder="1" applyAlignment="1">
      <alignment horizontal="center" vertical="center" wrapText="1"/>
    </xf>
    <xf numFmtId="0" fontId="121" fillId="27" borderId="11" xfId="43" applyFont="1" applyFill="1" applyBorder="1" applyAlignment="1">
      <alignment horizontal="center" vertical="center" wrapText="1"/>
    </xf>
    <xf numFmtId="0" fontId="121" fillId="27" borderId="12" xfId="43" applyFont="1" applyFill="1" applyBorder="1" applyAlignment="1">
      <alignment horizontal="center" vertical="center" wrapText="1"/>
    </xf>
    <xf numFmtId="0" fontId="121" fillId="27" borderId="18" xfId="43" applyFont="1" applyFill="1" applyBorder="1" applyAlignment="1">
      <alignment horizontal="center" vertical="center" wrapText="1"/>
    </xf>
    <xf numFmtId="0" fontId="17" fillId="0" borderId="0" xfId="47" applyFont="1" applyAlignment="1">
      <alignment horizontal="right" vertical="top" wrapText="1"/>
    </xf>
    <xf numFmtId="0" fontId="58" fillId="0" borderId="0" xfId="47" applyFont="1" applyAlignment="1">
      <alignment horizontal="center" vertical="top"/>
    </xf>
    <xf numFmtId="0" fontId="59" fillId="0" borderId="0" xfId="43" applyFont="1" applyAlignment="1">
      <alignment horizontal="left" vertical="center" wrapText="1"/>
    </xf>
    <xf numFmtId="0" fontId="56" fillId="0" borderId="0" xfId="47" applyFont="1" applyAlignment="1">
      <alignment horizontal="center" vertical="center"/>
    </xf>
    <xf numFmtId="0" fontId="59" fillId="0" borderId="0" xfId="43" applyFont="1" applyAlignment="1">
      <alignment horizontal="left" vertical="center"/>
    </xf>
    <xf numFmtId="0" fontId="56" fillId="0" borderId="82" xfId="47" applyFont="1" applyBorder="1" applyAlignment="1">
      <alignment horizontal="center" vertical="center" shrinkToFit="1"/>
    </xf>
    <xf numFmtId="0" fontId="56" fillId="0" borderId="10" xfId="47" applyFont="1" applyBorder="1" applyAlignment="1">
      <alignment horizontal="left" vertical="center"/>
    </xf>
    <xf numFmtId="0" fontId="56" fillId="0" borderId="10" xfId="47" applyFont="1" applyBorder="1" applyAlignment="1">
      <alignment horizontal="center" vertical="center"/>
    </xf>
    <xf numFmtId="0" fontId="56" fillId="0" borderId="175" xfId="47" applyFont="1" applyBorder="1" applyAlignment="1">
      <alignment horizontal="center" vertical="center"/>
    </xf>
    <xf numFmtId="0" fontId="56" fillId="0" borderId="10" xfId="47" applyFont="1" applyBorder="1" applyAlignment="1">
      <alignment horizontal="center" vertical="center" shrinkToFit="1"/>
    </xf>
    <xf numFmtId="0" fontId="56" fillId="0" borderId="14" xfId="47" applyFont="1" applyBorder="1" applyAlignment="1">
      <alignment horizontal="left" vertical="center"/>
    </xf>
    <xf numFmtId="0" fontId="56" fillId="0" borderId="15" xfId="47" applyFont="1" applyBorder="1" applyAlignment="1">
      <alignment horizontal="left" vertical="center"/>
    </xf>
    <xf numFmtId="0" fontId="56" fillId="0" borderId="16" xfId="47" applyFont="1" applyBorder="1" applyAlignment="1">
      <alignment horizontal="left" vertical="center"/>
    </xf>
    <xf numFmtId="0" fontId="56" fillId="0" borderId="10" xfId="47" applyFont="1" applyBorder="1" applyAlignment="1">
      <alignment horizontal="left" vertical="center" wrapText="1"/>
    </xf>
    <xf numFmtId="0" fontId="56" fillId="0" borderId="14" xfId="47" applyFont="1" applyBorder="1" applyAlignment="1">
      <alignment horizontal="left" vertical="center" wrapText="1"/>
    </xf>
    <xf numFmtId="0" fontId="56" fillId="0" borderId="211" xfId="47" applyFont="1" applyBorder="1" applyAlignment="1">
      <alignment horizontal="left" vertical="center" wrapText="1"/>
    </xf>
    <xf numFmtId="0" fontId="56" fillId="0" borderId="172" xfId="47" applyFont="1" applyBorder="1" applyAlignment="1">
      <alignment horizontal="left" vertical="center" wrapText="1"/>
    </xf>
    <xf numFmtId="0" fontId="56" fillId="0" borderId="173" xfId="47" applyFont="1" applyBorder="1" applyAlignment="1">
      <alignment horizontal="left" vertical="center" wrapText="1"/>
    </xf>
    <xf numFmtId="0" fontId="56" fillId="0" borderId="23" xfId="47" applyFont="1" applyBorder="1" applyAlignment="1">
      <alignment horizontal="left" vertical="center" wrapText="1"/>
    </xf>
    <xf numFmtId="0" fontId="56" fillId="0" borderId="0" xfId="47" applyFont="1" applyAlignment="1">
      <alignment horizontal="left" vertical="center" wrapText="1"/>
    </xf>
    <xf numFmtId="0" fontId="56" fillId="0" borderId="24" xfId="47" applyFont="1" applyBorder="1" applyAlignment="1">
      <alignment horizontal="left" vertical="center" wrapText="1"/>
    </xf>
    <xf numFmtId="0" fontId="56" fillId="0" borderId="11" xfId="47" applyFont="1" applyBorder="1" applyAlignment="1">
      <alignment horizontal="left" vertical="center" wrapText="1"/>
    </xf>
    <xf numFmtId="0" fontId="56" fillId="0" borderId="12" xfId="47" applyFont="1" applyBorder="1" applyAlignment="1">
      <alignment horizontal="left" vertical="center" wrapText="1"/>
    </xf>
    <xf numFmtId="0" fontId="56" fillId="0" borderId="18" xfId="47" applyFont="1" applyBorder="1" applyAlignment="1">
      <alignment horizontal="left" vertical="center" wrapText="1"/>
    </xf>
    <xf numFmtId="0" fontId="56" fillId="0" borderId="211" xfId="47" applyFont="1" applyBorder="1" applyAlignment="1">
      <alignment horizontal="center" vertical="center" shrinkToFit="1"/>
    </xf>
    <xf numFmtId="0" fontId="56" fillId="0" borderId="172" xfId="47" applyFont="1" applyBorder="1" applyAlignment="1">
      <alignment horizontal="center" vertical="center" shrinkToFit="1"/>
    </xf>
    <xf numFmtId="0" fontId="56" fillId="0" borderId="173" xfId="47" applyFont="1" applyBorder="1" applyAlignment="1">
      <alignment horizontal="center" vertical="center" shrinkToFit="1"/>
    </xf>
    <xf numFmtId="0" fontId="56" fillId="0" borderId="23" xfId="47" applyFont="1" applyBorder="1" applyAlignment="1">
      <alignment horizontal="center" vertical="center" shrinkToFit="1"/>
    </xf>
    <xf numFmtId="0" fontId="56" fillId="0" borderId="0" xfId="47" applyFont="1" applyAlignment="1">
      <alignment horizontal="center" vertical="center" shrinkToFit="1"/>
    </xf>
    <xf numFmtId="0" fontId="56" fillId="0" borderId="24" xfId="47" applyFont="1" applyBorder="1" applyAlignment="1">
      <alignment horizontal="center" vertical="center" shrinkToFit="1"/>
    </xf>
    <xf numFmtId="0" fontId="56" fillId="0" borderId="11" xfId="47" applyFont="1" applyBorder="1" applyAlignment="1">
      <alignment horizontal="center" vertical="center" shrinkToFit="1"/>
    </xf>
    <xf numFmtId="0" fontId="56" fillId="0" borderId="12" xfId="47" applyFont="1" applyBorder="1" applyAlignment="1">
      <alignment horizontal="center" vertical="center" shrinkToFit="1"/>
    </xf>
    <xf numFmtId="0" fontId="56" fillId="0" borderId="18" xfId="47" applyFont="1" applyBorder="1" applyAlignment="1">
      <alignment horizontal="center" vertical="center" shrinkToFit="1"/>
    </xf>
    <xf numFmtId="0" fontId="56" fillId="0" borderId="14" xfId="47" applyFont="1" applyBorder="1" applyAlignment="1">
      <alignment horizontal="center" vertical="center" shrinkToFit="1"/>
    </xf>
    <xf numFmtId="0" fontId="56" fillId="0" borderId="15" xfId="47" applyFont="1" applyBorder="1" applyAlignment="1">
      <alignment horizontal="center" vertical="center" shrinkToFit="1"/>
    </xf>
    <xf numFmtId="0" fontId="56" fillId="0" borderId="16" xfId="47" applyFont="1" applyBorder="1" applyAlignment="1">
      <alignment horizontal="center" vertical="center" shrinkToFit="1"/>
    </xf>
    <xf numFmtId="0" fontId="56" fillId="0" borderId="0" xfId="47" applyFont="1" applyAlignment="1">
      <alignment horizontal="right" vertical="center"/>
    </xf>
    <xf numFmtId="0" fontId="56" fillId="0" borderId="175" xfId="47" applyFont="1" applyBorder="1" applyAlignment="1">
      <alignment horizontal="center" vertical="center" textRotation="255" shrinkToFit="1"/>
    </xf>
    <xf numFmtId="0" fontId="56" fillId="0" borderId="53" xfId="47" applyFont="1" applyBorder="1" applyAlignment="1">
      <alignment horizontal="center" vertical="center" textRotation="255" shrinkToFit="1"/>
    </xf>
    <xf numFmtId="0" fontId="56" fillId="0" borderId="50" xfId="47" applyFont="1" applyBorder="1" applyAlignment="1">
      <alignment horizontal="center" vertical="center" textRotation="255" shrinkToFit="1"/>
    </xf>
    <xf numFmtId="0" fontId="56" fillId="0" borderId="58" xfId="47" applyFont="1" applyBorder="1" applyAlignment="1">
      <alignment horizontal="left" vertical="center" wrapText="1"/>
    </xf>
    <xf numFmtId="0" fontId="56" fillId="0" borderId="59" xfId="47" applyFont="1" applyBorder="1" applyAlignment="1">
      <alignment horizontal="left" vertical="center" wrapText="1"/>
    </xf>
    <xf numFmtId="0" fontId="56" fillId="0" borderId="88" xfId="47" applyFont="1" applyBorder="1" applyAlignment="1">
      <alignment horizontal="left" vertical="center" wrapText="1"/>
    </xf>
    <xf numFmtId="0" fontId="56" fillId="0" borderId="89" xfId="47" applyFont="1" applyBorder="1" applyAlignment="1">
      <alignment horizontal="left" vertical="center" wrapText="1"/>
    </xf>
    <xf numFmtId="0" fontId="56" fillId="0" borderId="68" xfId="47" applyFont="1" applyBorder="1" applyAlignment="1">
      <alignment horizontal="left" vertical="center" wrapText="1"/>
    </xf>
    <xf numFmtId="0" fontId="56" fillId="0" borderId="69" xfId="47" applyFont="1" applyBorder="1" applyAlignment="1">
      <alignment horizontal="left" vertical="center" wrapText="1"/>
    </xf>
    <xf numFmtId="0" fontId="17" fillId="0" borderId="12" xfId="0" applyFont="1" applyBorder="1" applyAlignment="1">
      <alignment horizontal="left" vertical="top" shrinkToFit="1"/>
    </xf>
    <xf numFmtId="49" fontId="56" fillId="0" borderId="0" xfId="48" applyNumberFormat="1" applyFont="1" applyAlignment="1">
      <alignment horizontal="left" vertical="center"/>
    </xf>
    <xf numFmtId="49" fontId="56" fillId="0" borderId="93" xfId="48" applyNumberFormat="1" applyFont="1" applyBorder="1" applyAlignment="1">
      <alignment horizontal="left" vertical="center"/>
    </xf>
    <xf numFmtId="0" fontId="56" fillId="0" borderId="0" xfId="48" applyFont="1" applyAlignment="1" applyProtection="1">
      <alignment horizontal="left" vertical="center" wrapText="1"/>
      <protection locked="0"/>
    </xf>
    <xf numFmtId="0" fontId="56" fillId="0" borderId="93" xfId="48" applyFont="1" applyBorder="1" applyAlignment="1" applyProtection="1">
      <alignment horizontal="left" vertical="center" wrapText="1"/>
      <protection locked="0"/>
    </xf>
    <xf numFmtId="0" fontId="58" fillId="0" borderId="0" xfId="48" applyFont="1" applyAlignment="1">
      <alignment horizontal="center" vertical="center"/>
    </xf>
    <xf numFmtId="0" fontId="56" fillId="0" borderId="0" xfId="48" applyFont="1" applyAlignment="1">
      <alignment horizontal="center" vertical="center"/>
    </xf>
    <xf numFmtId="49" fontId="56" fillId="0" borderId="0" xfId="48" applyNumberFormat="1" applyFont="1" applyAlignment="1">
      <alignment horizontal="left" vertical="center" wrapText="1"/>
    </xf>
    <xf numFmtId="0" fontId="39" fillId="0" borderId="10" xfId="44" applyFont="1" applyBorder="1" applyAlignment="1">
      <alignment horizontal="center" vertical="center"/>
    </xf>
    <xf numFmtId="0" fontId="17" fillId="0" borderId="10" xfId="44" applyFont="1" applyBorder="1" applyAlignment="1">
      <alignment horizontal="center" vertical="center" shrinkToFit="1"/>
    </xf>
    <xf numFmtId="0" fontId="17" fillId="0" borderId="46" xfId="44" applyFont="1" applyBorder="1" applyAlignment="1">
      <alignment horizontal="center" vertical="center" shrinkToFit="1"/>
    </xf>
    <xf numFmtId="0" fontId="39" fillId="0" borderId="15" xfId="44" applyFont="1" applyBorder="1" applyAlignment="1">
      <alignment horizontal="left" vertical="center"/>
    </xf>
    <xf numFmtId="0" fontId="71" fillId="0" borderId="35" xfId="44" applyFont="1" applyBorder="1" applyAlignment="1">
      <alignment horizontal="center" vertical="center" wrapText="1"/>
    </xf>
    <xf numFmtId="0" fontId="71" fillId="0" borderId="36" xfId="44" applyFont="1" applyBorder="1" applyAlignment="1">
      <alignment horizontal="center" vertical="center" wrapText="1"/>
    </xf>
    <xf numFmtId="0" fontId="71" fillId="0" borderId="105" xfId="44" applyFont="1" applyBorder="1" applyAlignment="1">
      <alignment horizontal="center" vertical="center" wrapText="1"/>
    </xf>
    <xf numFmtId="0" fontId="71" fillId="0" borderId="26" xfId="44" applyFont="1" applyBorder="1" applyAlignment="1">
      <alignment horizontal="center" vertical="center" wrapText="1"/>
    </xf>
    <xf numFmtId="0" fontId="71" fillId="0" borderId="0" xfId="44" applyFont="1" applyAlignment="1">
      <alignment horizontal="center" vertical="center" wrapText="1"/>
    </xf>
    <xf numFmtId="0" fontId="71" fillId="0" borderId="24" xfId="44" applyFont="1" applyBorder="1" applyAlignment="1">
      <alignment horizontal="center" vertical="center" wrapText="1"/>
    </xf>
    <xf numFmtId="0" fontId="71" fillId="0" borderId="29" xfId="44" applyFont="1" applyBorder="1" applyAlignment="1">
      <alignment horizontal="center" vertical="center" wrapText="1"/>
    </xf>
    <xf numFmtId="0" fontId="71" fillId="0" borderId="30" xfId="44" applyFont="1" applyBorder="1" applyAlignment="1">
      <alignment horizontal="center" vertical="center" wrapText="1"/>
    </xf>
    <xf numFmtId="0" fontId="71" fillId="0" borderId="106" xfId="44" applyFont="1" applyBorder="1" applyAlignment="1">
      <alignment horizontal="center" vertical="center" wrapText="1"/>
    </xf>
    <xf numFmtId="0" fontId="39" fillId="0" borderId="211" xfId="44" applyFont="1" applyBorder="1" applyAlignment="1">
      <alignment horizontal="center" vertical="center"/>
    </xf>
    <xf numFmtId="0" fontId="39" fillId="0" borderId="172" xfId="44" applyFont="1" applyBorder="1" applyAlignment="1">
      <alignment horizontal="center" vertical="center"/>
    </xf>
    <xf numFmtId="0" fontId="39" fillId="0" borderId="173" xfId="44" applyFont="1" applyBorder="1" applyAlignment="1">
      <alignment horizontal="center" vertical="center"/>
    </xf>
    <xf numFmtId="0" fontId="39" fillId="0" borderId="11" xfId="44" applyFont="1" applyBorder="1" applyAlignment="1">
      <alignment horizontal="center" vertical="center"/>
    </xf>
    <xf numFmtId="0" fontId="39" fillId="0" borderId="12" xfId="44" applyFont="1" applyBorder="1" applyAlignment="1">
      <alignment horizontal="center" vertical="center"/>
    </xf>
    <xf numFmtId="0" fontId="39" fillId="0" borderId="18" xfId="44" applyFont="1" applyBorder="1" applyAlignment="1">
      <alignment horizontal="center" vertical="center"/>
    </xf>
    <xf numFmtId="0" fontId="17" fillId="0" borderId="193" xfId="44" applyFont="1" applyBorder="1" applyAlignment="1">
      <alignment vertical="center" shrinkToFit="1"/>
    </xf>
    <xf numFmtId="0" fontId="17" fillId="0" borderId="194" xfId="44" applyFont="1" applyBorder="1" applyAlignment="1">
      <alignment vertical="center" shrinkToFit="1"/>
    </xf>
    <xf numFmtId="0" fontId="17" fillId="0" borderId="91" xfId="44" applyFont="1" applyBorder="1" applyAlignment="1">
      <alignment horizontal="center" vertical="center" shrinkToFit="1"/>
    </xf>
    <xf numFmtId="0" fontId="17" fillId="0" borderId="92" xfId="44" applyFont="1" applyBorder="1" applyAlignment="1">
      <alignment horizontal="center" vertical="center" shrinkToFit="1"/>
    </xf>
    <xf numFmtId="0" fontId="17" fillId="0" borderId="14" xfId="44" applyFont="1" applyBorder="1" applyAlignment="1">
      <alignment horizontal="center" vertical="center" shrinkToFit="1"/>
    </xf>
    <xf numFmtId="0" fontId="17" fillId="0" borderId="15" xfId="44" applyFont="1" applyBorder="1" applyAlignment="1">
      <alignment horizontal="center" vertical="center" shrinkToFit="1"/>
    </xf>
    <xf numFmtId="0" fontId="17" fillId="0" borderId="17" xfId="44" applyFont="1" applyBorder="1" applyAlignment="1">
      <alignment horizontal="center" vertical="center" shrinkToFit="1"/>
    </xf>
    <xf numFmtId="0" fontId="39" fillId="0" borderId="175" xfId="44" applyFont="1" applyBorder="1" applyAlignment="1">
      <alignment horizontal="center" vertical="center" shrinkToFit="1"/>
    </xf>
    <xf numFmtId="0" fontId="39" fillId="0" borderId="211" xfId="44" applyFont="1" applyBorder="1" applyAlignment="1">
      <alignment horizontal="center" vertical="center" shrinkToFit="1"/>
    </xf>
    <xf numFmtId="0" fontId="39" fillId="0" borderId="172" xfId="44" applyFont="1" applyBorder="1" applyAlignment="1">
      <alignment horizontal="center" vertical="center" shrinkToFit="1"/>
    </xf>
    <xf numFmtId="0" fontId="39" fillId="0" borderId="173" xfId="44" applyFont="1" applyBorder="1" applyAlignment="1">
      <alignment horizontal="center" vertical="center" shrinkToFit="1"/>
    </xf>
    <xf numFmtId="0" fontId="39" fillId="0" borderId="11" xfId="44" applyFont="1" applyBorder="1" applyAlignment="1">
      <alignment horizontal="center" vertical="center" shrinkToFit="1"/>
    </xf>
    <xf numFmtId="0" fontId="39" fillId="0" borderId="12" xfId="44" applyFont="1" applyBorder="1" applyAlignment="1">
      <alignment horizontal="center" vertical="center" shrinkToFit="1"/>
    </xf>
    <xf numFmtId="0" fontId="39" fillId="0" borderId="18" xfId="44" applyFont="1" applyBorder="1" applyAlignment="1">
      <alignment horizontal="center" vertical="center" shrinkToFit="1"/>
    </xf>
    <xf numFmtId="0" fontId="17" fillId="0" borderId="52" xfId="44" applyFont="1" applyBorder="1" applyAlignment="1">
      <alignment horizontal="center" vertical="center" shrinkToFit="1"/>
    </xf>
    <xf numFmtId="0" fontId="17" fillId="0" borderId="58" xfId="44" applyFont="1" applyBorder="1" applyAlignment="1">
      <alignment horizontal="center" vertical="center" shrinkToFit="1"/>
    </xf>
    <xf numFmtId="0" fontId="17" fillId="0" borderId="169" xfId="44" applyFont="1" applyBorder="1" applyAlignment="1">
      <alignment horizontal="center" vertical="center" shrinkToFit="1"/>
    </xf>
    <xf numFmtId="0" fontId="17" fillId="0" borderId="70" xfId="44" applyFont="1" applyBorder="1" applyAlignment="1">
      <alignment horizontal="center" vertical="center" shrinkToFit="1"/>
    </xf>
    <xf numFmtId="0" fontId="17" fillId="0" borderId="68" xfId="44" applyFont="1" applyBorder="1" applyAlignment="1">
      <alignment horizontal="center" vertical="center" shrinkToFit="1"/>
    </xf>
    <xf numFmtId="0" fontId="17" fillId="0" borderId="192" xfId="44" applyFont="1" applyBorder="1" applyAlignment="1">
      <alignment horizontal="center" vertical="center" shrinkToFit="1"/>
    </xf>
    <xf numFmtId="0" fontId="17" fillId="0" borderId="15" xfId="44" applyFont="1" applyBorder="1" applyAlignment="1">
      <alignment horizontal="right" vertical="center" shrinkToFit="1"/>
    </xf>
    <xf numFmtId="0" fontId="17" fillId="0" borderId="16" xfId="44" applyFont="1" applyBorder="1" applyAlignment="1">
      <alignment horizontal="right" vertical="center" shrinkToFit="1"/>
    </xf>
    <xf numFmtId="0" fontId="71" fillId="0" borderId="45" xfId="44" applyFont="1" applyBorder="1" applyAlignment="1">
      <alignment horizontal="center" vertical="center"/>
    </xf>
    <xf numFmtId="0" fontId="71" fillId="0" borderId="10" xfId="44" applyFont="1" applyBorder="1" applyAlignment="1">
      <alignment horizontal="center" vertical="center"/>
    </xf>
    <xf numFmtId="0" fontId="39" fillId="0" borderId="22" xfId="44" applyFont="1" applyBorder="1" applyAlignment="1">
      <alignment horizontal="left" vertical="center"/>
    </xf>
    <xf numFmtId="0" fontId="39" fillId="0" borderId="20" xfId="44" applyFont="1" applyBorder="1" applyAlignment="1">
      <alignment horizontal="left" vertical="center"/>
    </xf>
    <xf numFmtId="0" fontId="39" fillId="0" borderId="15" xfId="44" applyFont="1" applyBorder="1">
      <alignment vertical="center"/>
    </xf>
    <xf numFmtId="0" fontId="71" fillId="0" borderId="49" xfId="44" applyFont="1" applyBorder="1" applyAlignment="1">
      <alignment horizontal="center" vertical="center"/>
    </xf>
    <xf numFmtId="0" fontId="71" fillId="0" borderId="47" xfId="44" applyFont="1" applyBorder="1" applyAlignment="1">
      <alignment horizontal="center" vertical="center"/>
    </xf>
    <xf numFmtId="0" fontId="41" fillId="0" borderId="0" xfId="44" applyFont="1" applyAlignment="1">
      <alignment horizontal="left" vertical="center" shrinkToFit="1"/>
    </xf>
    <xf numFmtId="0" fontId="101" fillId="0" borderId="0" xfId="44" applyFont="1" applyAlignment="1">
      <alignment horizontal="left" vertical="center" shrinkToFit="1"/>
    </xf>
    <xf numFmtId="0" fontId="101" fillId="0" borderId="0" xfId="44" applyFont="1" applyAlignment="1">
      <alignment horizontal="left" vertical="center"/>
    </xf>
    <xf numFmtId="0" fontId="17" fillId="0" borderId="49" xfId="44" applyFont="1" applyBorder="1" applyAlignment="1">
      <alignment horizontal="center" vertical="center"/>
    </xf>
    <xf numFmtId="0" fontId="17" fillId="0" borderId="47" xfId="44" applyFont="1" applyBorder="1" applyAlignment="1">
      <alignment horizontal="center" vertical="center"/>
    </xf>
    <xf numFmtId="0" fontId="17" fillId="0" borderId="40" xfId="44" applyFont="1" applyBorder="1" applyAlignment="1">
      <alignment horizontal="center" vertical="center"/>
    </xf>
    <xf numFmtId="0" fontId="17" fillId="0" borderId="41" xfId="44" applyFont="1" applyBorder="1" applyAlignment="1">
      <alignment horizontal="center" vertical="center"/>
    </xf>
    <xf numFmtId="0" fontId="39" fillId="0" borderId="187" xfId="44" applyFont="1" applyBorder="1" applyAlignment="1">
      <alignment horizontal="center" vertical="center"/>
    </xf>
    <xf numFmtId="0" fontId="39" fillId="0" borderId="188" xfId="44" applyFont="1" applyBorder="1" applyAlignment="1">
      <alignment horizontal="center" vertical="center"/>
    </xf>
    <xf numFmtId="0" fontId="39" fillId="0" borderId="186" xfId="44" applyFont="1" applyBorder="1" applyAlignment="1">
      <alignment horizontal="center" vertical="center"/>
    </xf>
    <xf numFmtId="0" fontId="39" fillId="0" borderId="189" xfId="44" applyFont="1" applyBorder="1" applyAlignment="1">
      <alignment horizontal="center" vertical="center"/>
    </xf>
    <xf numFmtId="0" fontId="39" fillId="0" borderId="14" xfId="44" applyFont="1" applyBorder="1" applyAlignment="1">
      <alignment horizontal="center" vertical="center"/>
    </xf>
    <xf numFmtId="0" fontId="39" fillId="0" borderId="15" xfId="44" applyFont="1" applyBorder="1" applyAlignment="1">
      <alignment horizontal="center" vertical="center"/>
    </xf>
    <xf numFmtId="0" fontId="39" fillId="0" borderId="16" xfId="44" applyFont="1" applyBorder="1" applyAlignment="1">
      <alignment horizontal="center" vertical="center"/>
    </xf>
    <xf numFmtId="0" fontId="39" fillId="0" borderId="17" xfId="44" applyFont="1" applyBorder="1" applyAlignment="1">
      <alignment horizontal="center" vertical="center"/>
    </xf>
    <xf numFmtId="0" fontId="39" fillId="0" borderId="41" xfId="44" applyFont="1" applyBorder="1" applyAlignment="1">
      <alignment horizontal="left" vertical="center"/>
    </xf>
    <xf numFmtId="0" fontId="39" fillId="0" borderId="42" xfId="44" applyFont="1" applyBorder="1" applyAlignment="1">
      <alignment horizontal="left" vertical="center"/>
    </xf>
    <xf numFmtId="0" fontId="39" fillId="0" borderId="13" xfId="44" applyFont="1" applyBorder="1" applyAlignment="1">
      <alignment horizontal="center" vertical="center"/>
    </xf>
    <xf numFmtId="0" fontId="102" fillId="0" borderId="0" xfId="44" applyFont="1" applyAlignment="1" applyProtection="1">
      <alignment horizontal="center" vertical="center"/>
      <protection locked="0"/>
    </xf>
    <xf numFmtId="0" fontId="71" fillId="0" borderId="62" xfId="44" applyFont="1" applyBorder="1" applyAlignment="1">
      <alignment horizontal="center" vertical="center" wrapText="1"/>
    </xf>
    <xf numFmtId="0" fontId="71" fillId="0" borderId="50" xfId="44" applyFont="1" applyBorder="1" applyAlignment="1">
      <alignment horizontal="center" vertical="center"/>
    </xf>
    <xf numFmtId="0" fontId="71" fillId="0" borderId="40" xfId="44" applyFont="1" applyBorder="1" applyAlignment="1">
      <alignment horizontal="center" vertical="center"/>
    </xf>
    <xf numFmtId="0" fontId="71" fillId="0" borderId="41" xfId="44" applyFont="1" applyBorder="1" applyAlignment="1">
      <alignment horizontal="center" vertical="center"/>
    </xf>
    <xf numFmtId="0" fontId="39" fillId="0" borderId="50" xfId="44" applyFont="1" applyBorder="1" applyAlignment="1">
      <alignment horizontal="center" vertical="center"/>
    </xf>
    <xf numFmtId="0" fontId="39" fillId="0" borderId="0" xfId="44" applyFont="1" applyAlignment="1">
      <alignment horizontal="left" vertical="top" wrapText="1"/>
    </xf>
    <xf numFmtId="0" fontId="101" fillId="0" borderId="0" xfId="45" applyNumberFormat="1" applyFont="1" applyAlignment="1">
      <alignment horizontal="left" vertical="center" shrinkToFit="1"/>
    </xf>
    <xf numFmtId="0" fontId="39" fillId="0" borderId="41" xfId="44" applyFont="1" applyBorder="1" applyAlignment="1">
      <alignment horizontal="center" vertical="center"/>
    </xf>
    <xf numFmtId="0" fontId="96" fillId="0" borderId="181" xfId="44" applyFont="1" applyBorder="1" applyAlignment="1">
      <alignment horizontal="center" vertical="center"/>
    </xf>
    <xf numFmtId="0" fontId="96" fillId="0" borderId="182" xfId="44" applyFont="1" applyBorder="1" applyAlignment="1">
      <alignment horizontal="center" vertical="center"/>
    </xf>
    <xf numFmtId="0" fontId="96" fillId="0" borderId="183" xfId="44" applyFont="1" applyBorder="1" applyAlignment="1">
      <alignment horizontal="center" vertical="center"/>
    </xf>
    <xf numFmtId="0" fontId="39" fillId="0" borderId="14" xfId="44" applyFont="1" applyBorder="1" applyAlignment="1">
      <alignment horizontal="center" vertical="center" shrinkToFit="1"/>
    </xf>
    <xf numFmtId="0" fontId="39" fillId="0" borderId="15" xfId="44" applyFont="1" applyBorder="1" applyAlignment="1">
      <alignment horizontal="center" vertical="center" shrinkToFit="1"/>
    </xf>
    <xf numFmtId="0" fontId="39" fillId="0" borderId="16" xfId="44" applyFont="1" applyBorder="1" applyAlignment="1">
      <alignment horizontal="center" vertical="center" shrinkToFit="1"/>
    </xf>
    <xf numFmtId="0" fontId="80" fillId="0" borderId="11" xfId="44" applyFont="1" applyBorder="1" applyAlignment="1">
      <alignment horizontal="left" vertical="center" shrinkToFit="1"/>
    </xf>
    <xf numFmtId="0" fontId="17" fillId="0" borderId="12" xfId="44" applyFont="1" applyBorder="1" applyAlignment="1">
      <alignment horizontal="left" vertical="center" shrinkToFit="1"/>
    </xf>
    <xf numFmtId="0" fontId="17" fillId="0" borderId="18" xfId="44" applyFont="1" applyBorder="1" applyAlignment="1">
      <alignment horizontal="left" vertical="center" shrinkToFit="1"/>
    </xf>
    <xf numFmtId="0" fontId="17" fillId="0" borderId="33" xfId="44" applyFont="1" applyBorder="1" applyAlignment="1">
      <alignment horizontal="center" vertical="center" shrinkToFit="1"/>
    </xf>
    <xf numFmtId="0" fontId="17" fillId="0" borderId="22" xfId="44" applyFont="1" applyBorder="1" applyAlignment="1">
      <alignment horizontal="center" vertical="center" shrinkToFit="1"/>
    </xf>
    <xf numFmtId="0" fontId="17" fillId="0" borderId="34" xfId="44" applyFont="1" applyBorder="1" applyAlignment="1">
      <alignment horizontal="center" vertical="center" shrinkToFit="1"/>
    </xf>
    <xf numFmtId="0" fontId="61" fillId="0" borderId="185" xfId="44" applyFont="1" applyBorder="1" applyAlignment="1">
      <alignment horizontal="center" vertical="center"/>
    </xf>
    <xf numFmtId="0" fontId="61" fillId="0" borderId="103" xfId="44" applyFont="1" applyBorder="1" applyAlignment="1">
      <alignment horizontal="center" vertical="center"/>
    </xf>
    <xf numFmtId="0" fontId="61" fillId="0" borderId="184" xfId="44" applyFont="1" applyBorder="1" applyAlignment="1">
      <alignment horizontal="center" vertical="center"/>
    </xf>
    <xf numFmtId="0" fontId="80" fillId="0" borderId="170" xfId="44" applyFont="1" applyBorder="1" applyAlignment="1">
      <alignment horizontal="left" vertical="top" shrinkToFit="1"/>
    </xf>
    <xf numFmtId="0" fontId="39" fillId="0" borderId="171" xfId="44" applyFont="1" applyBorder="1" applyAlignment="1">
      <alignment horizontal="left" vertical="top" shrinkToFit="1"/>
    </xf>
    <xf numFmtId="0" fontId="39" fillId="0" borderId="195" xfId="44" applyFont="1" applyBorder="1" applyAlignment="1">
      <alignment horizontal="left" vertical="top" shrinkToFit="1"/>
    </xf>
    <xf numFmtId="0" fontId="17" fillId="0" borderId="16" xfId="44" applyFont="1" applyBorder="1" applyAlignment="1">
      <alignment horizontal="center" vertical="center" shrinkToFit="1"/>
    </xf>
    <xf numFmtId="0" fontId="17" fillId="0" borderId="41" xfId="44" applyFont="1" applyBorder="1" applyAlignment="1">
      <alignment horizontal="left" vertical="center" shrinkToFit="1"/>
    </xf>
    <xf numFmtId="0" fontId="17" fillId="0" borderId="42" xfId="44" applyFont="1" applyBorder="1" applyAlignment="1">
      <alignment horizontal="left" vertical="center" shrinkToFit="1"/>
    </xf>
    <xf numFmtId="0" fontId="94" fillId="0" borderId="0" xfId="49" applyFont="1" applyAlignment="1">
      <alignment horizontal="center" vertical="center"/>
    </xf>
    <xf numFmtId="0" fontId="95" fillId="0" borderId="0" xfId="49" applyFont="1" applyAlignment="1">
      <alignment horizontal="center" vertical="top"/>
    </xf>
    <xf numFmtId="0" fontId="95" fillId="0" borderId="30" xfId="49" applyFont="1" applyBorder="1" applyAlignment="1">
      <alignment horizontal="center" vertical="top"/>
    </xf>
    <xf numFmtId="0" fontId="85" fillId="0" borderId="173" xfId="49" applyFont="1" applyBorder="1" applyAlignment="1">
      <alignment horizontal="center" vertical="center"/>
    </xf>
    <xf numFmtId="0" fontId="85" fillId="0" borderId="18" xfId="49" applyFont="1" applyBorder="1" applyAlignment="1">
      <alignment horizontal="center" vertical="center"/>
    </xf>
    <xf numFmtId="0" fontId="85" fillId="0" borderId="211" xfId="49" applyFont="1" applyBorder="1" applyAlignment="1">
      <alignment horizontal="center" vertical="center"/>
    </xf>
    <xf numFmtId="0" fontId="85" fillId="0" borderId="172" xfId="49" applyFont="1" applyBorder="1" applyAlignment="1">
      <alignment horizontal="center" vertical="center"/>
    </xf>
    <xf numFmtId="0" fontId="85" fillId="0" borderId="11" xfId="49" applyFont="1" applyBorder="1" applyAlignment="1">
      <alignment horizontal="center" vertical="center"/>
    </xf>
    <xf numFmtId="0" fontId="85" fillId="0" borderId="12" xfId="49" applyFont="1" applyBorder="1" applyAlignment="1">
      <alignment horizontal="center" vertical="center"/>
    </xf>
    <xf numFmtId="0" fontId="85" fillId="0" borderId="150" xfId="49" applyFont="1" applyBorder="1" applyAlignment="1">
      <alignment horizontal="center" vertical="center"/>
    </xf>
    <xf numFmtId="0" fontId="85" fillId="0" borderId="151" xfId="49" applyFont="1" applyBorder="1" applyAlignment="1">
      <alignment horizontal="left" vertical="center"/>
    </xf>
    <xf numFmtId="0" fontId="85" fillId="0" borderId="197" xfId="49" applyFont="1" applyBorder="1" applyAlignment="1">
      <alignment horizontal="center" vertical="center"/>
    </xf>
    <xf numFmtId="0" fontId="85" fillId="0" borderId="211" xfId="49" applyFont="1" applyBorder="1" applyAlignment="1" applyProtection="1">
      <alignment horizontal="center" vertical="center"/>
      <protection locked="0"/>
    </xf>
    <xf numFmtId="0" fontId="85" fillId="0" borderId="172" xfId="49" applyFont="1" applyBorder="1" applyAlignment="1" applyProtection="1">
      <alignment horizontal="center" vertical="center"/>
      <protection locked="0"/>
    </xf>
    <xf numFmtId="0" fontId="85" fillId="0" borderId="11" xfId="49" applyFont="1" applyBorder="1" applyAlignment="1" applyProtection="1">
      <alignment horizontal="center" vertical="center"/>
      <protection locked="0"/>
    </xf>
    <xf numFmtId="0" fontId="85" fillId="0" borderId="12" xfId="49" applyFont="1" applyBorder="1" applyAlignment="1" applyProtection="1">
      <alignment horizontal="center" vertical="center"/>
      <protection locked="0"/>
    </xf>
    <xf numFmtId="0" fontId="85" fillId="0" borderId="172" xfId="49" applyFont="1" applyBorder="1" applyAlignment="1">
      <alignment horizontal="center" vertical="center" shrinkToFit="1"/>
    </xf>
    <xf numFmtId="0" fontId="85" fillId="0" borderId="30" xfId="49" applyFont="1" applyBorder="1" applyAlignment="1">
      <alignment horizontal="center" vertical="center" shrinkToFit="1"/>
    </xf>
    <xf numFmtId="0" fontId="85" fillId="0" borderId="172" xfId="49" applyFont="1" applyBorder="1" applyAlignment="1" applyProtection="1">
      <alignment horizontal="center" vertical="center" shrinkToFit="1"/>
      <protection locked="0"/>
    </xf>
    <xf numFmtId="0" fontId="85" fillId="0" borderId="30" xfId="49" applyFont="1" applyBorder="1" applyAlignment="1" applyProtection="1">
      <alignment horizontal="center" vertical="center" shrinkToFit="1"/>
      <protection locked="0"/>
    </xf>
    <xf numFmtId="0" fontId="85" fillId="0" borderId="212" xfId="49" applyFont="1" applyBorder="1" applyAlignment="1" applyProtection="1">
      <alignment horizontal="center" vertical="center" shrinkToFit="1"/>
      <protection locked="0"/>
    </xf>
    <xf numFmtId="0" fontId="85" fillId="0" borderId="37" xfId="49" applyFont="1" applyBorder="1" applyAlignment="1" applyProtection="1">
      <alignment horizontal="center" vertical="center" shrinkToFit="1"/>
      <protection locked="0"/>
    </xf>
    <xf numFmtId="0" fontId="89" fillId="0" borderId="56" xfId="49" applyFont="1" applyBorder="1" applyAlignment="1" applyProtection="1">
      <alignment horizontal="center" vertical="top" shrinkToFit="1"/>
      <protection locked="0"/>
    </xf>
    <xf numFmtId="0" fontId="89" fillId="0" borderId="30" xfId="49" applyFont="1" applyBorder="1" applyAlignment="1" applyProtection="1">
      <alignment horizontal="center" vertical="top" shrinkToFit="1"/>
      <protection locked="0"/>
    </xf>
    <xf numFmtId="0" fontId="89" fillId="0" borderId="106" xfId="49" applyFont="1" applyBorder="1" applyAlignment="1" applyProtection="1">
      <alignment horizontal="center" vertical="top" shrinkToFit="1"/>
      <protection locked="0"/>
    </xf>
    <xf numFmtId="49" fontId="85" fillId="0" borderId="45" xfId="49" applyNumberFormat="1" applyFont="1" applyBorder="1" applyAlignment="1">
      <alignment horizontal="center" vertical="center"/>
    </xf>
    <xf numFmtId="49" fontId="85" fillId="0" borderId="10" xfId="49" applyNumberFormat="1" applyFont="1" applyBorder="1" applyAlignment="1">
      <alignment horizontal="center" vertical="center"/>
    </xf>
    <xf numFmtId="49" fontId="85" fillId="0" borderId="40" xfId="49" applyNumberFormat="1" applyFont="1" applyBorder="1" applyAlignment="1">
      <alignment horizontal="center" vertical="center"/>
    </xf>
    <xf numFmtId="49" fontId="85" fillId="0" borderId="41" xfId="49" applyNumberFormat="1" applyFont="1" applyBorder="1" applyAlignment="1">
      <alignment horizontal="center" vertical="center"/>
    </xf>
    <xf numFmtId="0" fontId="89" fillId="0" borderId="211" xfId="49" applyFont="1" applyBorder="1" applyAlignment="1">
      <alignment horizontal="left" vertical="top" shrinkToFit="1"/>
    </xf>
    <xf numFmtId="0" fontId="89" fillId="0" borderId="172" xfId="49" applyFont="1" applyBorder="1" applyAlignment="1">
      <alignment horizontal="left" vertical="top" shrinkToFit="1"/>
    </xf>
    <xf numFmtId="0" fontId="89" fillId="0" borderId="172" xfId="49" applyFont="1" applyBorder="1" applyAlignment="1" applyProtection="1">
      <alignment horizontal="left" vertical="top" shrinkToFit="1"/>
      <protection locked="0"/>
    </xf>
    <xf numFmtId="0" fontId="89" fillId="0" borderId="173" xfId="49" applyFont="1" applyBorder="1" applyAlignment="1" applyProtection="1">
      <alignment horizontal="left" vertical="top" shrinkToFit="1"/>
      <protection locked="0"/>
    </xf>
    <xf numFmtId="0" fontId="85" fillId="0" borderId="10" xfId="49" applyFont="1" applyBorder="1" applyAlignment="1" applyProtection="1">
      <alignment horizontal="center" vertical="center" shrinkToFit="1"/>
      <protection locked="0"/>
    </xf>
    <xf numFmtId="0" fontId="85" fillId="0" borderId="41" xfId="49" applyFont="1" applyBorder="1" applyAlignment="1" applyProtection="1">
      <alignment horizontal="center" vertical="center" shrinkToFit="1"/>
      <protection locked="0"/>
    </xf>
    <xf numFmtId="0" fontId="85" fillId="0" borderId="211" xfId="49" applyFont="1" applyBorder="1" applyAlignment="1" applyProtection="1">
      <alignment horizontal="center" vertical="center" shrinkToFit="1"/>
      <protection locked="0"/>
    </xf>
    <xf numFmtId="0" fontId="85" fillId="0" borderId="56" xfId="49" applyFont="1" applyBorder="1" applyAlignment="1" applyProtection="1">
      <alignment horizontal="center" vertical="center" shrinkToFit="1"/>
      <protection locked="0"/>
    </xf>
    <xf numFmtId="0" fontId="85" fillId="0" borderId="11" xfId="49" applyFont="1" applyBorder="1" applyAlignment="1" applyProtection="1">
      <alignment horizontal="center" vertical="center" shrinkToFit="1"/>
      <protection locked="0"/>
    </xf>
    <xf numFmtId="0" fontId="85" fillId="0" borderId="12" xfId="49" applyFont="1" applyBorder="1" applyAlignment="1" applyProtection="1">
      <alignment horizontal="center" vertical="center" shrinkToFit="1"/>
      <protection locked="0"/>
    </xf>
    <xf numFmtId="0" fontId="85" fillId="0" borderId="12" xfId="49" applyFont="1" applyBorder="1" applyAlignment="1">
      <alignment horizontal="center" vertical="center" shrinkToFit="1"/>
    </xf>
    <xf numFmtId="0" fontId="85" fillId="0" borderId="13" xfId="49" applyFont="1" applyBorder="1" applyAlignment="1" applyProtection="1">
      <alignment horizontal="center" vertical="center" shrinkToFit="1"/>
      <protection locked="0"/>
    </xf>
    <xf numFmtId="0" fontId="89" fillId="0" borderId="11" xfId="49" applyFont="1" applyBorder="1" applyAlignment="1" applyProtection="1">
      <alignment horizontal="center" vertical="top" shrinkToFit="1"/>
      <protection locked="0"/>
    </xf>
    <xf numFmtId="0" fontId="89" fillId="0" borderId="12" xfId="49" applyFont="1" applyBorder="1" applyAlignment="1" applyProtection="1">
      <alignment horizontal="center" vertical="top" shrinkToFit="1"/>
      <protection locked="0"/>
    </xf>
    <xf numFmtId="0" fontId="89" fillId="0" borderId="18" xfId="49" applyFont="1" applyBorder="1" applyAlignment="1" applyProtection="1">
      <alignment horizontal="center" vertical="top" shrinkToFit="1"/>
      <protection locked="0"/>
    </xf>
    <xf numFmtId="0" fontId="93" fillId="0" borderId="0" xfId="49" applyFont="1" applyAlignment="1">
      <alignment horizontal="center" vertical="center"/>
    </xf>
    <xf numFmtId="0" fontId="85" fillId="0" borderId="49" xfId="49" applyFont="1" applyBorder="1" applyAlignment="1">
      <alignment horizontal="center" vertical="center"/>
    </xf>
    <xf numFmtId="0" fontId="85" fillId="0" borderId="47" xfId="49" applyFont="1" applyBorder="1" applyAlignment="1">
      <alignment horizontal="center" vertical="center"/>
    </xf>
    <xf numFmtId="0" fontId="85" fillId="0" borderId="45" xfId="49" applyFont="1" applyBorder="1" applyAlignment="1">
      <alignment horizontal="center" vertical="center"/>
    </xf>
    <xf numFmtId="0" fontId="85" fillId="0" borderId="10" xfId="49" applyFont="1" applyBorder="1" applyAlignment="1">
      <alignment horizontal="center" vertical="center"/>
    </xf>
    <xf numFmtId="0" fontId="85" fillId="0" borderId="47" xfId="49" applyFont="1" applyBorder="1" applyAlignment="1">
      <alignment horizontal="center" vertical="center" wrapText="1"/>
    </xf>
    <xf numFmtId="0" fontId="85" fillId="0" borderId="10" xfId="49" applyFont="1" applyBorder="1" applyAlignment="1">
      <alignment horizontal="center" vertical="center" wrapText="1"/>
    </xf>
    <xf numFmtId="0" fontId="85" fillId="0" borderId="48" xfId="49" applyFont="1" applyBorder="1" applyAlignment="1">
      <alignment horizontal="center" vertical="center"/>
    </xf>
    <xf numFmtId="0" fontId="85" fillId="0" borderId="46" xfId="49" applyFont="1" applyBorder="1" applyAlignment="1">
      <alignment horizontal="center" vertical="center"/>
    </xf>
    <xf numFmtId="0" fontId="85" fillId="0" borderId="36" xfId="49" applyFont="1" applyBorder="1" applyAlignment="1">
      <alignment horizontal="center" vertical="center" wrapText="1"/>
    </xf>
    <xf numFmtId="0" fontId="85" fillId="0" borderId="12" xfId="49" applyFont="1" applyBorder="1" applyAlignment="1">
      <alignment horizontal="center" vertical="center" wrapText="1"/>
    </xf>
    <xf numFmtId="0" fontId="85" fillId="0" borderId="36" xfId="49" applyFont="1" applyBorder="1" applyAlignment="1" applyProtection="1">
      <alignment horizontal="center" vertical="center" shrinkToFit="1"/>
      <protection locked="0"/>
    </xf>
    <xf numFmtId="0" fontId="85" fillId="0" borderId="44" xfId="49" applyFont="1" applyBorder="1" applyAlignment="1" applyProtection="1">
      <alignment horizontal="center" vertical="center" shrinkToFit="1"/>
      <protection locked="0"/>
    </xf>
    <xf numFmtId="0" fontId="85" fillId="0" borderId="45" xfId="49" applyFont="1" applyBorder="1" applyAlignment="1">
      <alignment horizontal="center" vertical="center" wrapText="1"/>
    </xf>
    <xf numFmtId="0" fontId="85" fillId="0" borderId="40" xfId="49" applyFont="1" applyBorder="1" applyAlignment="1">
      <alignment horizontal="center" vertical="center" wrapText="1"/>
    </xf>
    <xf numFmtId="0" fontId="85" fillId="0" borderId="41" xfId="49" applyFont="1" applyBorder="1" applyAlignment="1">
      <alignment horizontal="center" vertical="center" wrapText="1"/>
    </xf>
    <xf numFmtId="0" fontId="85" fillId="0" borderId="173" xfId="49" applyFont="1" applyBorder="1" applyAlignment="1" applyProtection="1">
      <alignment horizontal="center" vertical="center" shrinkToFit="1"/>
      <protection locked="0"/>
    </xf>
    <xf numFmtId="0" fontId="85" fillId="0" borderId="23" xfId="49" applyFont="1" applyBorder="1" applyAlignment="1" applyProtection="1">
      <alignment horizontal="center" vertical="center" shrinkToFit="1"/>
      <protection locked="0"/>
    </xf>
    <xf numFmtId="0" fontId="85" fillId="0" borderId="0" xfId="49" applyFont="1" applyAlignment="1" applyProtection="1">
      <alignment horizontal="center" vertical="center" shrinkToFit="1"/>
      <protection locked="0"/>
    </xf>
    <xf numFmtId="0" fontId="85" fillId="0" borderId="24" xfId="49" applyFont="1" applyBorder="1" applyAlignment="1" applyProtection="1">
      <alignment horizontal="center" vertical="center" shrinkToFit="1"/>
      <protection locked="0"/>
    </xf>
    <xf numFmtId="0" fontId="85" fillId="0" borderId="106" xfId="49" applyFont="1" applyBorder="1" applyAlignment="1" applyProtection="1">
      <alignment horizontal="center" vertical="center" shrinkToFit="1"/>
      <protection locked="0"/>
    </xf>
    <xf numFmtId="0" fontId="85" fillId="0" borderId="0" xfId="49" applyFont="1" applyAlignment="1">
      <alignment horizontal="right" vertical="center" wrapText="1"/>
    </xf>
    <xf numFmtId="0" fontId="85" fillId="0" borderId="19" xfId="49" applyFont="1" applyBorder="1" applyAlignment="1" applyProtection="1">
      <alignment horizontal="center" vertical="center" shrinkToFit="1"/>
      <protection locked="0"/>
    </xf>
    <xf numFmtId="0" fontId="89" fillId="0" borderId="49" xfId="49" applyFont="1" applyBorder="1" applyAlignment="1">
      <alignment horizontal="center" vertical="center" wrapText="1"/>
    </xf>
    <xf numFmtId="0" fontId="89" fillId="0" borderId="47" xfId="49" applyFont="1" applyBorder="1" applyAlignment="1">
      <alignment horizontal="center" vertical="center" wrapText="1"/>
    </xf>
    <xf numFmtId="0" fontId="89" fillId="0" borderId="45" xfId="49" applyFont="1" applyBorder="1" applyAlignment="1">
      <alignment horizontal="center" vertical="center" wrapText="1"/>
    </xf>
    <xf numFmtId="0" fontId="89" fillId="0" borderId="10" xfId="49" applyFont="1" applyBorder="1" applyAlignment="1">
      <alignment horizontal="center" vertical="center" wrapText="1"/>
    </xf>
    <xf numFmtId="0" fontId="92" fillId="0" borderId="47" xfId="49" applyFont="1" applyBorder="1" applyAlignment="1" applyProtection="1">
      <alignment horizontal="center" vertical="center" shrinkToFit="1"/>
      <protection locked="0"/>
    </xf>
    <xf numFmtId="0" fontId="92" fillId="0" borderId="10" xfId="49" applyFont="1" applyBorder="1" applyAlignment="1" applyProtection="1">
      <alignment horizontal="center" vertical="center" shrinkToFit="1"/>
      <protection locked="0"/>
    </xf>
    <xf numFmtId="0" fontId="90" fillId="0" borderId="54" xfId="49" applyFont="1" applyBorder="1" applyAlignment="1">
      <alignment horizontal="center" vertical="center" wrapText="1"/>
    </xf>
    <xf numFmtId="0" fontId="90" fillId="0" borderId="36" xfId="49" applyFont="1" applyBorder="1" applyAlignment="1">
      <alignment horizontal="center" vertical="center" wrapText="1"/>
    </xf>
    <xf numFmtId="0" fontId="90" fillId="0" borderId="105" xfId="49" applyFont="1" applyBorder="1" applyAlignment="1">
      <alignment horizontal="center" vertical="center" wrapText="1"/>
    </xf>
    <xf numFmtId="0" fontId="90" fillId="0" borderId="11" xfId="49" applyFont="1" applyBorder="1" applyAlignment="1">
      <alignment horizontal="center" vertical="center" wrapText="1"/>
    </xf>
    <xf numFmtId="0" fontId="90" fillId="0" borderId="12" xfId="49" applyFont="1" applyBorder="1" applyAlignment="1">
      <alignment horizontal="center" vertical="center" wrapText="1"/>
    </xf>
    <xf numFmtId="0" fontId="90" fillId="0" borderId="18" xfId="49" applyFont="1" applyBorder="1" applyAlignment="1">
      <alignment horizontal="center" vertical="center" wrapText="1"/>
    </xf>
    <xf numFmtId="0" fontId="85" fillId="0" borderId="54" xfId="49" applyFont="1" applyBorder="1" applyAlignment="1" applyProtection="1">
      <alignment horizontal="center" vertical="center" shrinkToFit="1"/>
      <protection locked="0"/>
    </xf>
    <xf numFmtId="0" fontId="93" fillId="0" borderId="0" xfId="49" applyFont="1" applyAlignment="1" applyProtection="1">
      <alignment horizontal="center" vertical="center"/>
      <protection locked="0"/>
    </xf>
    <xf numFmtId="0" fontId="85" fillId="0" borderId="0" xfId="49" applyFont="1" applyAlignment="1" applyProtection="1">
      <alignment horizontal="center" vertical="center"/>
      <protection locked="0"/>
    </xf>
    <xf numFmtId="0" fontId="85" fillId="0" borderId="19" xfId="49" applyFont="1" applyBorder="1" applyAlignment="1" applyProtection="1">
      <alignment horizontal="center" vertical="center"/>
      <protection locked="0"/>
    </xf>
    <xf numFmtId="0" fontId="85" fillId="0" borderId="30" xfId="49" applyFont="1" applyBorder="1" applyAlignment="1" applyProtection="1">
      <alignment horizontal="center" vertical="center"/>
      <protection locked="0"/>
    </xf>
    <xf numFmtId="0" fontId="85" fillId="0" borderId="37" xfId="49" applyFont="1" applyBorder="1" applyAlignment="1" applyProtection="1">
      <alignment horizontal="center" vertical="center"/>
      <protection locked="0"/>
    </xf>
    <xf numFmtId="0" fontId="85" fillId="0" borderId="14" xfId="49" applyFont="1" applyBorder="1" applyAlignment="1">
      <alignment horizontal="center" vertical="center"/>
    </xf>
    <xf numFmtId="0" fontId="85" fillId="0" borderId="211" xfId="49" applyFont="1" applyBorder="1" applyAlignment="1" applyProtection="1">
      <alignment horizontal="left" vertical="top" wrapText="1"/>
      <protection locked="0"/>
    </xf>
    <xf numFmtId="0" fontId="85" fillId="0" borderId="172" xfId="49" applyFont="1" applyBorder="1" applyAlignment="1" applyProtection="1">
      <alignment horizontal="left" vertical="top" wrapText="1"/>
      <protection locked="0"/>
    </xf>
    <xf numFmtId="0" fontId="85" fillId="0" borderId="212" xfId="49" applyFont="1" applyBorder="1" applyAlignment="1" applyProtection="1">
      <alignment horizontal="left" vertical="top" wrapText="1"/>
      <protection locked="0"/>
    </xf>
    <xf numFmtId="0" fontId="85" fillId="0" borderId="62" xfId="49" applyFont="1" applyBorder="1" applyAlignment="1">
      <alignment horizontal="center" vertical="center"/>
    </xf>
    <xf numFmtId="0" fontId="85" fillId="0" borderId="50" xfId="49" applyFont="1" applyBorder="1" applyAlignment="1">
      <alignment horizontal="center" vertical="center"/>
    </xf>
    <xf numFmtId="0" fontId="85" fillId="0" borderId="40" xfId="49" applyFont="1" applyBorder="1" applyAlignment="1">
      <alignment horizontal="center" vertical="center"/>
    </xf>
    <xf numFmtId="0" fontId="85" fillId="0" borderId="41" xfId="49" applyFont="1" applyBorder="1" applyAlignment="1">
      <alignment horizontal="center" vertical="center"/>
    </xf>
    <xf numFmtId="0" fontId="85" fillId="0" borderId="50" xfId="49" applyFont="1" applyBorder="1" applyAlignment="1">
      <alignment horizontal="center" vertical="center" shrinkToFit="1"/>
    </xf>
    <xf numFmtId="0" fontId="85" fillId="0" borderId="41" xfId="49" applyFont="1" applyBorder="1" applyAlignment="1">
      <alignment horizontal="center" vertical="center" shrinkToFit="1"/>
    </xf>
    <xf numFmtId="0" fontId="85" fillId="0" borderId="32" xfId="49" applyFont="1" applyBorder="1" applyAlignment="1">
      <alignment horizontal="center" vertical="center"/>
    </xf>
    <xf numFmtId="0" fontId="85" fillId="0" borderId="23" xfId="49" applyFont="1" applyBorder="1" applyAlignment="1" applyProtection="1">
      <alignment horizontal="center" vertical="center"/>
      <protection locked="0"/>
    </xf>
    <xf numFmtId="0" fontId="85" fillId="0" borderId="56" xfId="49" applyFont="1" applyBorder="1" applyAlignment="1" applyProtection="1">
      <alignment horizontal="center" vertical="center"/>
      <protection locked="0"/>
    </xf>
    <xf numFmtId="0" fontId="85" fillId="0" borderId="0" xfId="49" applyFont="1" applyAlignment="1">
      <alignment horizontal="center" vertical="center"/>
    </xf>
    <xf numFmtId="0" fontId="85" fillId="0" borderId="30" xfId="49" applyFont="1" applyBorder="1" applyAlignment="1">
      <alignment horizontal="center" vertical="center"/>
    </xf>
    <xf numFmtId="0" fontId="85" fillId="0" borderId="23" xfId="49" applyFont="1" applyBorder="1" applyAlignment="1" applyProtection="1">
      <alignment horizontal="left" vertical="top" shrinkToFit="1"/>
      <protection locked="0"/>
    </xf>
    <xf numFmtId="0" fontId="85" fillId="0" borderId="0" xfId="49" applyFont="1" applyAlignment="1" applyProtection="1">
      <alignment horizontal="left" vertical="top" shrinkToFit="1"/>
      <protection locked="0"/>
    </xf>
    <xf numFmtId="0" fontId="85" fillId="0" borderId="19" xfId="49" applyFont="1" applyBorder="1" applyAlignment="1" applyProtection="1">
      <alignment horizontal="left" vertical="top" shrinkToFit="1"/>
      <protection locked="0"/>
    </xf>
    <xf numFmtId="0" fontId="85" fillId="0" borderId="11" xfId="49" applyFont="1" applyBorder="1" applyAlignment="1" applyProtection="1">
      <alignment horizontal="left" vertical="top" shrinkToFit="1"/>
      <protection locked="0"/>
    </xf>
    <xf numFmtId="0" fontId="85" fillId="0" borderId="12" xfId="49" applyFont="1" applyBorder="1" applyAlignment="1" applyProtection="1">
      <alignment horizontal="left" vertical="top" shrinkToFit="1"/>
      <protection locked="0"/>
    </xf>
    <xf numFmtId="0" fontId="85" fillId="0" borderId="13" xfId="49" applyFont="1" applyBorder="1" applyAlignment="1" applyProtection="1">
      <alignment horizontal="left" vertical="top" shrinkToFit="1"/>
      <protection locked="0"/>
    </xf>
    <xf numFmtId="0" fontId="90" fillId="0" borderId="219" xfId="49" applyFont="1" applyBorder="1" applyAlignment="1">
      <alignment horizontal="center" vertical="center"/>
    </xf>
    <xf numFmtId="0" fontId="90" fillId="0" borderId="172" xfId="49" applyFont="1" applyBorder="1" applyAlignment="1">
      <alignment horizontal="center" vertical="center"/>
    </xf>
    <xf numFmtId="0" fontId="90" fillId="0" borderId="173" xfId="49" applyFont="1" applyBorder="1" applyAlignment="1">
      <alignment horizontal="center" vertical="center"/>
    </xf>
    <xf numFmtId="0" fontId="90" fillId="0" borderId="28" xfId="49" applyFont="1" applyBorder="1" applyAlignment="1">
      <alignment horizontal="center" vertical="center"/>
    </xf>
    <xf numFmtId="0" fontId="90" fillId="0" borderId="12" xfId="49" applyFont="1" applyBorder="1" applyAlignment="1">
      <alignment horizontal="center" vertical="center"/>
    </xf>
    <xf numFmtId="0" fontId="90" fillId="0" borderId="18" xfId="49" applyFont="1" applyBorder="1" applyAlignment="1">
      <alignment horizontal="center" vertical="center"/>
    </xf>
    <xf numFmtId="0" fontId="90" fillId="0" borderId="211" xfId="49" applyFont="1" applyBorder="1" applyAlignment="1" applyProtection="1">
      <alignment horizontal="center" vertical="center" wrapText="1" shrinkToFit="1"/>
      <protection locked="0"/>
    </xf>
    <xf numFmtId="0" fontId="90" fillId="0" borderId="172" xfId="49" applyFont="1" applyBorder="1" applyAlignment="1" applyProtection="1">
      <alignment horizontal="center" vertical="center" wrapText="1" shrinkToFit="1"/>
      <protection locked="0"/>
    </xf>
    <xf numFmtId="0" fontId="90" fillId="0" borderId="172" xfId="49" applyFont="1" applyBorder="1" applyAlignment="1" applyProtection="1">
      <alignment horizontal="center" vertical="center" shrinkToFit="1"/>
      <protection locked="0"/>
    </xf>
    <xf numFmtId="0" fontId="90" fillId="0" borderId="11" xfId="49" applyFont="1" applyBorder="1" applyAlignment="1" applyProtection="1">
      <alignment horizontal="center" vertical="center" shrinkToFit="1"/>
      <protection locked="0"/>
    </xf>
    <xf numFmtId="0" fontId="90" fillId="0" borderId="12" xfId="49" applyFont="1" applyBorder="1" applyAlignment="1" applyProtection="1">
      <alignment horizontal="center" vertical="center" shrinkToFit="1"/>
      <protection locked="0"/>
    </xf>
    <xf numFmtId="0" fontId="90" fillId="0" borderId="172" xfId="49" applyFont="1" applyBorder="1" applyAlignment="1">
      <alignment horizontal="center" vertical="center" shrinkToFit="1"/>
    </xf>
    <xf numFmtId="0" fontId="90" fillId="0" borderId="12" xfId="49" applyFont="1" applyBorder="1" applyAlignment="1">
      <alignment horizontal="center" vertical="center" shrinkToFit="1"/>
    </xf>
    <xf numFmtId="0" fontId="90" fillId="0" borderId="172" xfId="49" applyFont="1" applyBorder="1" applyAlignment="1">
      <alignment horizontal="right" vertical="center" shrinkToFit="1"/>
    </xf>
    <xf numFmtId="0" fontId="90" fillId="0" borderId="12" xfId="49" applyFont="1" applyBorder="1" applyAlignment="1">
      <alignment horizontal="right" vertical="center" shrinkToFit="1"/>
    </xf>
    <xf numFmtId="0" fontId="91" fillId="0" borderId="172" xfId="49" applyFont="1" applyBorder="1" applyAlignment="1" applyProtection="1">
      <alignment horizontal="center" vertical="center" shrinkToFit="1"/>
      <protection locked="0"/>
    </xf>
    <xf numFmtId="0" fontId="91" fillId="0" borderId="12" xfId="49" applyFont="1" applyBorder="1" applyAlignment="1" applyProtection="1">
      <alignment horizontal="center" vertical="center" shrinkToFit="1"/>
      <protection locked="0"/>
    </xf>
    <xf numFmtId="0" fontId="90" fillId="0" borderId="212" xfId="49" applyFont="1" applyBorder="1" applyAlignment="1">
      <alignment horizontal="left" vertical="center" shrinkToFit="1"/>
    </xf>
    <xf numFmtId="0" fontId="90" fillId="0" borderId="13" xfId="49" applyFont="1" applyBorder="1" applyAlignment="1">
      <alignment horizontal="left" vertical="center" shrinkToFit="1"/>
    </xf>
    <xf numFmtId="0" fontId="90" fillId="0" borderId="172" xfId="49" applyFont="1" applyBorder="1" applyAlignment="1">
      <alignment horizontal="left" vertical="center" shrinkToFit="1"/>
    </xf>
    <xf numFmtId="0" fontId="90" fillId="0" borderId="12" xfId="49" applyFont="1" applyBorder="1" applyAlignment="1">
      <alignment horizontal="left" vertical="center" shrinkToFit="1"/>
    </xf>
    <xf numFmtId="0" fontId="90" fillId="0" borderId="11" xfId="49" applyFont="1" applyBorder="1" applyAlignment="1" applyProtection="1">
      <alignment horizontal="center" vertical="center" wrapText="1" shrinkToFit="1"/>
      <protection locked="0"/>
    </xf>
    <xf numFmtId="0" fontId="90" fillId="0" borderId="12" xfId="49" applyFont="1" applyBorder="1" applyAlignment="1" applyProtection="1">
      <alignment horizontal="center" vertical="center" wrapText="1" shrinkToFit="1"/>
      <protection locked="0"/>
    </xf>
    <xf numFmtId="0" fontId="86" fillId="0" borderId="36" xfId="49" applyFont="1" applyBorder="1" applyAlignment="1">
      <alignment horizontal="center" vertical="center"/>
    </xf>
    <xf numFmtId="0" fontId="86" fillId="0" borderId="0" xfId="49" applyFont="1" applyAlignment="1">
      <alignment horizontal="center" vertical="center"/>
    </xf>
    <xf numFmtId="0" fontId="85" fillId="0" borderId="0" xfId="49" applyFont="1" applyAlignment="1">
      <alignment horizontal="right" vertical="center"/>
    </xf>
    <xf numFmtId="0" fontId="89" fillId="0" borderId="35" xfId="49" applyFont="1" applyBorder="1" applyAlignment="1">
      <alignment horizontal="center" vertical="center" wrapText="1"/>
    </xf>
    <xf numFmtId="0" fontId="89" fillId="0" borderId="36" xfId="49" applyFont="1" applyBorder="1" applyAlignment="1">
      <alignment horizontal="center" vertical="center"/>
    </xf>
    <xf numFmtId="0" fontId="89" fillId="0" borderId="26" xfId="49" applyFont="1" applyBorder="1" applyAlignment="1">
      <alignment horizontal="center" vertical="center" wrapText="1"/>
    </xf>
    <xf numFmtId="0" fontId="89" fillId="0" borderId="0" xfId="49" applyFont="1" applyAlignment="1">
      <alignment horizontal="center" vertical="center"/>
    </xf>
    <xf numFmtId="0" fontId="89" fillId="0" borderId="28" xfId="49" applyFont="1" applyBorder="1" applyAlignment="1">
      <alignment horizontal="center" vertical="center"/>
    </xf>
    <xf numFmtId="0" fontId="89" fillId="0" borderId="12" xfId="49" applyFont="1" applyBorder="1" applyAlignment="1">
      <alignment horizontal="center" vertical="center"/>
    </xf>
    <xf numFmtId="0" fontId="90" fillId="0" borderId="148" xfId="49" applyFont="1" applyBorder="1" applyAlignment="1" applyProtection="1">
      <alignment horizontal="left" vertical="center"/>
      <protection locked="0"/>
    </xf>
    <xf numFmtId="0" fontId="90" fillId="0" borderId="149" xfId="49" applyFont="1" applyBorder="1" applyAlignment="1" applyProtection="1">
      <alignment horizontal="left" vertical="center"/>
      <protection locked="0"/>
    </xf>
    <xf numFmtId="0" fontId="90" fillId="0" borderId="23" xfId="49" applyFont="1" applyBorder="1" applyAlignment="1">
      <alignment horizontal="center" vertical="center" wrapText="1"/>
    </xf>
    <xf numFmtId="0" fontId="90" fillId="0" borderId="0" xfId="49" applyFont="1" applyAlignment="1">
      <alignment horizontal="center" vertical="center" wrapText="1"/>
    </xf>
    <xf numFmtId="0" fontId="90" fillId="0" borderId="24" xfId="49" applyFont="1" applyBorder="1" applyAlignment="1">
      <alignment horizontal="center" vertical="center" wrapText="1"/>
    </xf>
    <xf numFmtId="0" fontId="90" fillId="0" borderId="148" xfId="49" applyFont="1" applyBorder="1" applyAlignment="1" applyProtection="1">
      <alignment horizontal="center" vertical="top" wrapText="1"/>
      <protection locked="0"/>
    </xf>
    <xf numFmtId="0" fontId="90" fillId="0" borderId="149" xfId="49" applyFont="1" applyBorder="1" applyAlignment="1" applyProtection="1">
      <alignment horizontal="center" vertical="top" wrapText="1"/>
      <protection locked="0"/>
    </xf>
    <xf numFmtId="0" fontId="90" fillId="0" borderId="36" xfId="49" applyFont="1" applyBorder="1" applyAlignment="1">
      <alignment horizontal="center" shrinkToFit="1"/>
    </xf>
    <xf numFmtId="0" fontId="106" fillId="0" borderId="23" xfId="49" applyFont="1" applyBorder="1" applyAlignment="1" applyProtection="1">
      <alignment horizontal="center" vertical="top" shrinkToFit="1"/>
      <protection locked="0"/>
    </xf>
    <xf numFmtId="0" fontId="106" fillId="0" borderId="0" xfId="49" applyFont="1" applyAlignment="1" applyProtection="1">
      <alignment horizontal="center" vertical="top" shrinkToFit="1"/>
      <protection locked="0"/>
    </xf>
    <xf numFmtId="0" fontId="106" fillId="0" borderId="11" xfId="49" applyFont="1" applyBorder="1" applyAlignment="1" applyProtection="1">
      <alignment horizontal="center" vertical="top" shrinkToFit="1"/>
      <protection locked="0"/>
    </xf>
    <xf numFmtId="0" fontId="106" fillId="0" borderId="12" xfId="49" applyFont="1" applyBorder="1" applyAlignment="1" applyProtection="1">
      <alignment horizontal="center" vertical="top" shrinkToFit="1"/>
      <protection locked="0"/>
    </xf>
    <xf numFmtId="0" fontId="90" fillId="0" borderId="0" xfId="49" applyFont="1" applyAlignment="1" applyProtection="1">
      <alignment horizontal="center" vertical="top" wrapText="1"/>
      <protection locked="0"/>
    </xf>
    <xf numFmtId="0" fontId="90" fillId="0" borderId="12" xfId="49" applyFont="1" applyBorder="1" applyAlignment="1" applyProtection="1">
      <alignment horizontal="center" vertical="top" wrapText="1"/>
      <protection locked="0"/>
    </xf>
    <xf numFmtId="0" fontId="107" fillId="0" borderId="131" xfId="49" applyFont="1" applyBorder="1" applyAlignment="1">
      <alignment horizontal="left" vertical="center" indent="1"/>
    </xf>
    <xf numFmtId="0" fontId="107" fillId="0" borderId="107" xfId="49" applyFont="1" applyBorder="1" applyAlignment="1">
      <alignment horizontal="left" vertical="center" indent="1"/>
    </xf>
    <xf numFmtId="0" fontId="107" fillId="0" borderId="11" xfId="49" applyFont="1" applyBorder="1" applyAlignment="1">
      <alignment horizontal="left" vertical="center" indent="1"/>
    </xf>
    <xf numFmtId="0" fontId="107" fillId="0" borderId="12" xfId="49" applyFont="1" applyBorder="1" applyAlignment="1">
      <alignment horizontal="left" vertical="center" indent="1"/>
    </xf>
    <xf numFmtId="0" fontId="107" fillId="0" borderId="107" xfId="49" applyFont="1" applyBorder="1" applyAlignment="1" applyProtection="1">
      <alignment horizontal="left" vertical="center" shrinkToFit="1"/>
      <protection locked="0"/>
    </xf>
    <xf numFmtId="0" fontId="107" fillId="0" borderId="12" xfId="49" applyFont="1" applyBorder="1" applyAlignment="1" applyProtection="1">
      <alignment horizontal="left" vertical="center" shrinkToFit="1"/>
      <protection locked="0"/>
    </xf>
    <xf numFmtId="0" fontId="17" fillId="34" borderId="211" xfId="44" applyFont="1" applyFill="1" applyBorder="1" applyAlignment="1">
      <alignment horizontal="center" vertical="center"/>
    </xf>
    <xf numFmtId="0" fontId="17" fillId="34" borderId="172" xfId="44" applyFont="1" applyFill="1" applyBorder="1" applyAlignment="1">
      <alignment horizontal="center" vertical="center"/>
    </xf>
    <xf numFmtId="0" fontId="17" fillId="34" borderId="173" xfId="44" applyFont="1" applyFill="1" applyBorder="1" applyAlignment="1">
      <alignment horizontal="center" vertical="center"/>
    </xf>
    <xf numFmtId="0" fontId="17" fillId="34" borderId="11" xfId="44" applyFont="1" applyFill="1" applyBorder="1" applyAlignment="1">
      <alignment horizontal="center" vertical="center"/>
    </xf>
    <xf numFmtId="0" fontId="17" fillId="34" borderId="12" xfId="44" applyFont="1" applyFill="1" applyBorder="1" applyAlignment="1">
      <alignment horizontal="center" vertical="center"/>
    </xf>
    <xf numFmtId="0" fontId="17" fillId="34" borderId="18" xfId="44" applyFont="1" applyFill="1" applyBorder="1" applyAlignment="1">
      <alignment horizontal="center" vertical="center"/>
    </xf>
    <xf numFmtId="0" fontId="68" fillId="0" borderId="35" xfId="44" applyFont="1" applyBorder="1" applyAlignment="1" applyProtection="1">
      <alignment horizontal="center" vertical="center"/>
      <protection locked="0"/>
    </xf>
    <xf numFmtId="0" fontId="68" fillId="0" borderId="36" xfId="44" applyFont="1" applyBorder="1" applyAlignment="1" applyProtection="1">
      <alignment horizontal="center" vertical="center"/>
      <protection locked="0"/>
    </xf>
    <xf numFmtId="0" fontId="68" fillId="0" borderId="44" xfId="44" applyFont="1" applyBorder="1" applyAlignment="1" applyProtection="1">
      <alignment horizontal="center" vertical="center"/>
      <protection locked="0"/>
    </xf>
    <xf numFmtId="0" fontId="68" fillId="0" borderId="29" xfId="44" applyFont="1" applyBorder="1" applyAlignment="1" applyProtection="1">
      <alignment horizontal="center" vertical="center"/>
      <protection locked="0"/>
    </xf>
    <xf numFmtId="0" fontId="68" fillId="0" borderId="30" xfId="44" applyFont="1" applyBorder="1" applyAlignment="1" applyProtection="1">
      <alignment horizontal="center" vertical="center"/>
      <protection locked="0"/>
    </xf>
    <xf numFmtId="0" fontId="68" fillId="0" borderId="37" xfId="44" applyFont="1" applyBorder="1" applyAlignment="1" applyProtection="1">
      <alignment horizontal="center" vertical="center"/>
      <protection locked="0"/>
    </xf>
    <xf numFmtId="0" fontId="17" fillId="34" borderId="10" xfId="44" applyFont="1" applyFill="1" applyBorder="1" applyAlignment="1">
      <alignment horizontal="center" vertical="center" shrinkToFit="1"/>
    </xf>
    <xf numFmtId="0" fontId="98" fillId="0" borderId="10" xfId="44" applyFont="1" applyBorder="1" applyAlignment="1">
      <alignment horizontal="center" vertical="center" shrinkToFit="1"/>
    </xf>
    <xf numFmtId="0" fontId="71" fillId="0" borderId="211" xfId="44" applyFont="1" applyBorder="1" applyAlignment="1">
      <alignment horizontal="center" vertical="center"/>
    </xf>
    <xf numFmtId="0" fontId="71" fillId="0" borderId="172" xfId="44" applyFont="1" applyBorder="1" applyAlignment="1">
      <alignment horizontal="center" vertical="center"/>
    </xf>
    <xf numFmtId="0" fontId="71" fillId="0" borderId="213" xfId="44" applyFont="1" applyBorder="1" applyAlignment="1">
      <alignment horizontal="center" vertical="center"/>
    </xf>
    <xf numFmtId="0" fontId="71" fillId="0" borderId="11" xfId="44" applyFont="1" applyBorder="1" applyAlignment="1">
      <alignment horizontal="center" vertical="center"/>
    </xf>
    <xf numFmtId="0" fontId="71" fillId="0" borderId="12" xfId="44" applyFont="1" applyBorder="1" applyAlignment="1">
      <alignment horizontal="center" vertical="center"/>
    </xf>
    <xf numFmtId="0" fontId="71" fillId="0" borderId="152" xfId="44" applyFont="1" applyBorder="1" applyAlignment="1">
      <alignment horizontal="center" vertical="center"/>
    </xf>
    <xf numFmtId="0" fontId="71" fillId="0" borderId="220" xfId="44" applyFont="1" applyBorder="1" applyAlignment="1">
      <alignment horizontal="center" vertical="center" shrinkToFit="1"/>
    </xf>
    <xf numFmtId="0" fontId="71" fillId="0" borderId="172" xfId="44" applyFont="1" applyBorder="1" applyAlignment="1">
      <alignment horizontal="center" vertical="center" shrinkToFit="1"/>
    </xf>
    <xf numFmtId="0" fontId="71" fillId="0" borderId="173" xfId="44" applyFont="1" applyBorder="1" applyAlignment="1">
      <alignment horizontal="center" vertical="center" shrinkToFit="1"/>
    </xf>
    <xf numFmtId="0" fontId="71" fillId="0" borderId="119" xfId="44" applyFont="1" applyBorder="1" applyAlignment="1">
      <alignment horizontal="center" vertical="center" shrinkToFit="1"/>
    </xf>
    <xf numFmtId="0" fontId="71" fillId="0" borderId="12" xfId="44" applyFont="1" applyBorder="1" applyAlignment="1">
      <alignment horizontal="center" vertical="center" shrinkToFit="1"/>
    </xf>
    <xf numFmtId="0" fontId="71" fillId="0" borderId="18" xfId="44" applyFont="1" applyBorder="1" applyAlignment="1">
      <alignment horizontal="center" vertical="center" shrinkToFit="1"/>
    </xf>
    <xf numFmtId="0" fontId="77" fillId="36" borderId="23" xfId="44" applyFont="1" applyFill="1" applyBorder="1" applyAlignment="1">
      <alignment horizontal="center" vertical="center"/>
    </xf>
    <xf numFmtId="0" fontId="77" fillId="36" borderId="0" xfId="44" applyFont="1" applyFill="1" applyAlignment="1">
      <alignment horizontal="center" vertical="center"/>
    </xf>
    <xf numFmtId="0" fontId="70" fillId="0" borderId="0" xfId="44" applyFont="1" applyAlignment="1">
      <alignment horizontal="center" vertical="center"/>
    </xf>
    <xf numFmtId="0" fontId="70" fillId="0" borderId="12" xfId="44" applyFont="1" applyBorder="1" applyAlignment="1">
      <alignment horizontal="center" vertical="center"/>
    </xf>
    <xf numFmtId="0" fontId="38" fillId="0" borderId="0" xfId="44" applyFont="1" applyAlignment="1">
      <alignment horizontal="left" vertical="center"/>
    </xf>
    <xf numFmtId="0" fontId="38" fillId="0" borderId="12" xfId="44" applyFont="1" applyBorder="1" applyAlignment="1">
      <alignment horizontal="left" vertical="center"/>
    </xf>
    <xf numFmtId="0" fontId="99" fillId="0" borderId="0" xfId="44" applyFont="1" applyAlignment="1">
      <alignment horizontal="center" vertical="center"/>
    </xf>
    <xf numFmtId="0" fontId="99" fillId="0" borderId="12" xfId="44" applyFont="1" applyBorder="1" applyAlignment="1">
      <alignment horizontal="center" vertical="center"/>
    </xf>
    <xf numFmtId="0" fontId="54" fillId="0" borderId="0" xfId="53" applyFont="1" applyAlignment="1">
      <alignment horizontal="left" vertical="center"/>
    </xf>
    <xf numFmtId="0" fontId="54" fillId="0" borderId="12" xfId="53" applyFont="1" applyBorder="1" applyAlignment="1">
      <alignment horizontal="left" vertical="center"/>
    </xf>
    <xf numFmtId="0" fontId="100" fillId="0" borderId="0" xfId="53" applyFont="1" applyAlignment="1">
      <alignment horizontal="center" vertical="center"/>
    </xf>
    <xf numFmtId="0" fontId="100" fillId="0" borderId="12" xfId="53" applyFont="1" applyBorder="1" applyAlignment="1">
      <alignment horizontal="center" vertical="center"/>
    </xf>
    <xf numFmtId="38" fontId="37" fillId="0" borderId="58" xfId="45" applyFont="1" applyFill="1" applyBorder="1" applyAlignment="1">
      <alignment horizontal="left" vertical="center"/>
    </xf>
    <xf numFmtId="38" fontId="37" fillId="0" borderId="59" xfId="45" applyFont="1" applyFill="1" applyBorder="1" applyAlignment="1">
      <alignment horizontal="left" vertical="center"/>
    </xf>
    <xf numFmtId="38" fontId="37" fillId="0" borderId="88" xfId="45" applyFont="1" applyFill="1" applyBorder="1" applyAlignment="1">
      <alignment horizontal="left" vertical="center"/>
    </xf>
    <xf numFmtId="38" fontId="37" fillId="0" borderId="89" xfId="45" applyFont="1" applyFill="1" applyBorder="1" applyAlignment="1">
      <alignment horizontal="left" vertical="center"/>
    </xf>
    <xf numFmtId="0" fontId="40" fillId="33" borderId="94" xfId="44" applyFont="1" applyFill="1" applyBorder="1" applyAlignment="1">
      <alignment horizontal="right" vertical="center" shrinkToFit="1"/>
    </xf>
    <xf numFmtId="0" fontId="40" fillId="33" borderId="93" xfId="44" applyFont="1" applyFill="1" applyBorder="1" applyAlignment="1">
      <alignment horizontal="right" vertical="center" shrinkToFit="1"/>
    </xf>
    <xf numFmtId="0" fontId="17" fillId="33" borderId="93" xfId="44" applyFont="1" applyFill="1" applyBorder="1" applyAlignment="1">
      <alignment horizontal="center" vertical="center"/>
    </xf>
    <xf numFmtId="0" fontId="17" fillId="33" borderId="95" xfId="44" applyFont="1" applyFill="1" applyBorder="1" applyAlignment="1">
      <alignment horizontal="center" vertical="center"/>
    </xf>
    <xf numFmtId="0" fontId="17" fillId="34" borderId="10" xfId="44" applyFont="1" applyFill="1" applyBorder="1" applyAlignment="1">
      <alignment horizontal="center" vertical="center"/>
    </xf>
    <xf numFmtId="0" fontId="37" fillId="0" borderId="211" xfId="44" applyFont="1" applyBorder="1" applyAlignment="1" applyProtection="1">
      <alignment horizontal="right" vertical="center"/>
      <protection locked="0"/>
    </xf>
    <xf numFmtId="0" fontId="37" fillId="0" borderId="172" xfId="44" applyFont="1" applyBorder="1" applyAlignment="1" applyProtection="1">
      <alignment horizontal="right" vertical="center"/>
      <protection locked="0"/>
    </xf>
    <xf numFmtId="0" fontId="37" fillId="0" borderId="11" xfId="44" applyFont="1" applyBorder="1" applyAlignment="1" applyProtection="1">
      <alignment horizontal="right" vertical="center"/>
      <protection locked="0"/>
    </xf>
    <xf numFmtId="0" fontId="37" fillId="0" borderId="12" xfId="44" applyFont="1" applyBorder="1" applyAlignment="1" applyProtection="1">
      <alignment horizontal="right" vertical="center"/>
      <protection locked="0"/>
    </xf>
    <xf numFmtId="0" fontId="37" fillId="0" borderId="172" xfId="44" applyFont="1" applyBorder="1" applyAlignment="1">
      <alignment horizontal="left" vertical="center"/>
    </xf>
    <xf numFmtId="0" fontId="37" fillId="0" borderId="173" xfId="44" applyFont="1" applyBorder="1" applyAlignment="1">
      <alignment horizontal="left" vertical="center"/>
    </xf>
    <xf numFmtId="0" fontId="37" fillId="0" borderId="12" xfId="44" applyFont="1" applyBorder="1" applyAlignment="1">
      <alignment horizontal="left" vertical="center"/>
    </xf>
    <xf numFmtId="0" fontId="37" fillId="0" borderId="18" xfId="44" applyFont="1" applyBorder="1" applyAlignment="1">
      <alignment horizontal="left" vertical="center"/>
    </xf>
    <xf numFmtId="38" fontId="37" fillId="0" borderId="113" xfId="45" applyFont="1" applyFill="1" applyBorder="1" applyAlignment="1">
      <alignment horizontal="right" vertical="center" shrinkToFit="1"/>
    </xf>
    <xf numFmtId="38" fontId="37" fillId="0" borderId="107" xfId="45" applyFont="1" applyFill="1" applyBorder="1" applyAlignment="1">
      <alignment horizontal="right" vertical="center" shrinkToFit="1"/>
    </xf>
    <xf numFmtId="38" fontId="37" fillId="0" borderId="112" xfId="45" applyFont="1" applyFill="1" applyBorder="1" applyAlignment="1">
      <alignment horizontal="right" vertical="center" shrinkToFit="1"/>
    </xf>
    <xf numFmtId="38" fontId="37" fillId="0" borderId="93" xfId="45" applyFont="1" applyFill="1" applyBorder="1" applyAlignment="1">
      <alignment horizontal="right" vertical="center" shrinkToFit="1"/>
    </xf>
    <xf numFmtId="0" fontId="37" fillId="0" borderId="216" xfId="44" applyFont="1" applyBorder="1" applyAlignment="1">
      <alignment horizontal="center" vertical="center"/>
    </xf>
    <xf numFmtId="0" fontId="37" fillId="0" borderId="174" xfId="44" applyFont="1" applyBorder="1" applyAlignment="1">
      <alignment horizontal="center" vertical="center"/>
    </xf>
    <xf numFmtId="0" fontId="37" fillId="0" borderId="168" xfId="44" applyFont="1" applyBorder="1" applyAlignment="1">
      <alignment horizontal="center" vertical="center"/>
    </xf>
    <xf numFmtId="38" fontId="37" fillId="0" borderId="220" xfId="45" applyFont="1" applyFill="1" applyBorder="1" applyAlignment="1">
      <alignment horizontal="right" vertical="center" shrinkToFit="1"/>
    </xf>
    <xf numFmtId="38" fontId="37" fillId="0" borderId="172" xfId="45" applyFont="1" applyFill="1" applyBorder="1" applyAlignment="1">
      <alignment horizontal="right" vertical="center" shrinkToFit="1"/>
    </xf>
    <xf numFmtId="38" fontId="37" fillId="0" borderId="115" xfId="45" applyFont="1" applyFill="1" applyBorder="1" applyAlignment="1">
      <alignment horizontal="right" vertical="center" shrinkToFit="1"/>
    </xf>
    <xf numFmtId="38" fontId="37" fillId="0" borderId="103" xfId="45" applyFont="1" applyFill="1" applyBorder="1" applyAlignment="1">
      <alignment horizontal="right" vertical="center" shrinkToFit="1"/>
    </xf>
    <xf numFmtId="38" fontId="37" fillId="0" borderId="114" xfId="45" applyFont="1" applyFill="1" applyBorder="1" applyAlignment="1">
      <alignment horizontal="right" vertical="center" shrinkToFit="1"/>
    </xf>
    <xf numFmtId="38" fontId="37" fillId="0" borderId="27" xfId="45" applyFont="1" applyFill="1" applyBorder="1" applyAlignment="1">
      <alignment horizontal="right" vertical="center" shrinkToFit="1"/>
    </xf>
    <xf numFmtId="38" fontId="37" fillId="0" borderId="103" xfId="45" applyFont="1" applyFill="1" applyBorder="1" applyAlignment="1">
      <alignment horizontal="left" vertical="center"/>
    </xf>
    <xf numFmtId="38" fontId="37" fillId="0" borderId="123" xfId="45" applyFont="1" applyFill="1" applyBorder="1" applyAlignment="1">
      <alignment horizontal="left" vertical="center"/>
    </xf>
    <xf numFmtId="38" fontId="37" fillId="0" borderId="27" xfId="45" applyFont="1" applyFill="1" applyBorder="1" applyAlignment="1">
      <alignment horizontal="left" vertical="center"/>
    </xf>
    <xf numFmtId="38" fontId="37" fillId="0" borderId="125" xfId="45" applyFont="1" applyFill="1" applyBorder="1" applyAlignment="1">
      <alignment horizontal="left" vertical="center"/>
    </xf>
    <xf numFmtId="0" fontId="41" fillId="34" borderId="122" xfId="44" applyFont="1" applyFill="1" applyBorder="1" applyAlignment="1">
      <alignment horizontal="center" vertical="center" wrapText="1"/>
    </xf>
    <xf numFmtId="0" fontId="41" fillId="34" borderId="103" xfId="44" applyFont="1" applyFill="1" applyBorder="1" applyAlignment="1">
      <alignment horizontal="center" vertical="center" wrapText="1"/>
    </xf>
    <xf numFmtId="0" fontId="41" fillId="34" borderId="104" xfId="44" applyFont="1" applyFill="1" applyBorder="1" applyAlignment="1">
      <alignment horizontal="center" vertical="center" wrapText="1"/>
    </xf>
    <xf numFmtId="0" fontId="41" fillId="34" borderId="124" xfId="44" applyFont="1" applyFill="1" applyBorder="1" applyAlignment="1">
      <alignment horizontal="center" vertical="center" wrapText="1"/>
    </xf>
    <xf numFmtId="0" fontId="41" fillId="34" borderId="27" xfId="44" applyFont="1" applyFill="1" applyBorder="1" applyAlignment="1">
      <alignment horizontal="center" vertical="center" wrapText="1"/>
    </xf>
    <xf numFmtId="0" fontId="41" fillId="34" borderId="97" xfId="44" applyFont="1" applyFill="1" applyBorder="1" applyAlignment="1">
      <alignment horizontal="center" vertical="center" wrapText="1"/>
    </xf>
    <xf numFmtId="38" fontId="37" fillId="0" borderId="108" xfId="45" applyFont="1" applyBorder="1" applyAlignment="1">
      <alignment horizontal="center" vertical="center"/>
    </xf>
    <xf numFmtId="38" fontId="37" fillId="0" borderId="96" xfId="45" applyFont="1" applyBorder="1" applyAlignment="1">
      <alignment horizontal="center" vertical="center"/>
    </xf>
    <xf numFmtId="184" fontId="40" fillId="33" borderId="94" xfId="44" applyNumberFormat="1" applyFont="1" applyFill="1" applyBorder="1" applyAlignment="1">
      <alignment horizontal="right" vertical="center" shrinkToFit="1"/>
    </xf>
    <xf numFmtId="184" fontId="40" fillId="33" borderId="93" xfId="44" applyNumberFormat="1" applyFont="1" applyFill="1" applyBorder="1" applyAlignment="1">
      <alignment horizontal="right" vertical="center" shrinkToFit="1"/>
    </xf>
    <xf numFmtId="0" fontId="18" fillId="34" borderId="10" xfId="44" applyFont="1" applyFill="1" applyBorder="1" applyAlignment="1">
      <alignment horizontal="center" vertical="center" wrapText="1" shrinkToFit="1"/>
    </xf>
    <xf numFmtId="0" fontId="17" fillId="34" borderId="23" xfId="44" applyFont="1" applyFill="1" applyBorder="1" applyAlignment="1">
      <alignment horizontal="center" vertical="center"/>
    </xf>
    <xf numFmtId="0" fontId="17" fillId="34" borderId="0" xfId="44" applyFont="1" applyFill="1" applyAlignment="1">
      <alignment horizontal="center" vertical="center"/>
    </xf>
    <xf numFmtId="0" fontId="17" fillId="34" borderId="24" xfId="44" applyFont="1" applyFill="1" applyBorder="1" applyAlignment="1">
      <alignment horizontal="center" vertical="center"/>
    </xf>
    <xf numFmtId="38" fontId="37" fillId="0" borderId="107" xfId="45" applyFont="1" applyBorder="1" applyAlignment="1">
      <alignment horizontal="center" vertical="center"/>
    </xf>
    <xf numFmtId="38" fontId="37" fillId="0" borderId="27" xfId="45" applyFont="1" applyBorder="1" applyAlignment="1">
      <alignment horizontal="center" vertical="center"/>
    </xf>
    <xf numFmtId="38" fontId="81" fillId="0" borderId="113" xfId="45" applyFont="1" applyFill="1" applyBorder="1" applyAlignment="1">
      <alignment horizontal="right" vertical="center" shrinkToFit="1"/>
    </xf>
    <xf numFmtId="38" fontId="81" fillId="0" borderId="107" xfId="45" applyFont="1" applyFill="1" applyBorder="1" applyAlignment="1">
      <alignment horizontal="right" vertical="center" shrinkToFit="1"/>
    </xf>
    <xf numFmtId="38" fontId="81" fillId="0" borderId="114" xfId="45" applyFont="1" applyFill="1" applyBorder="1" applyAlignment="1">
      <alignment horizontal="right" vertical="center" shrinkToFit="1"/>
    </xf>
    <xf numFmtId="38" fontId="81" fillId="0" borderId="27" xfId="45" applyFont="1" applyFill="1" applyBorder="1" applyAlignment="1">
      <alignment horizontal="right" vertical="center" shrinkToFit="1"/>
    </xf>
    <xf numFmtId="38" fontId="37" fillId="0" borderId="99" xfId="45" applyFont="1" applyFill="1" applyBorder="1" applyAlignment="1">
      <alignment horizontal="left" vertical="center"/>
    </xf>
    <xf numFmtId="38" fontId="37" fillId="0" borderId="98" xfId="45" applyFont="1" applyFill="1" applyBorder="1" applyAlignment="1">
      <alignment horizontal="left" vertical="center"/>
    </xf>
    <xf numFmtId="184" fontId="40" fillId="33" borderId="96" xfId="44" applyNumberFormat="1" applyFont="1" applyFill="1" applyBorder="1" applyAlignment="1">
      <alignment horizontal="right" vertical="center" shrinkToFit="1"/>
    </xf>
    <xf numFmtId="184" fontId="40" fillId="33" borderId="27" xfId="44" applyNumberFormat="1" applyFont="1" applyFill="1" applyBorder="1" applyAlignment="1">
      <alignment horizontal="right" vertical="center" shrinkToFit="1"/>
    </xf>
    <xf numFmtId="0" fontId="17" fillId="33" borderId="27" xfId="44" applyFont="1" applyFill="1" applyBorder="1" applyAlignment="1">
      <alignment horizontal="center" vertical="center"/>
    </xf>
    <xf numFmtId="0" fontId="17" fillId="33" borderId="97" xfId="44" applyFont="1" applyFill="1" applyBorder="1" applyAlignment="1">
      <alignment horizontal="center" vertical="center"/>
    </xf>
    <xf numFmtId="0" fontId="37" fillId="0" borderId="23" xfId="44" applyFont="1" applyBorder="1" applyAlignment="1" applyProtection="1">
      <alignment horizontal="right" vertical="center"/>
      <protection locked="0"/>
    </xf>
    <xf numFmtId="0" fontId="37" fillId="0" borderId="0" xfId="44" applyFont="1" applyAlignment="1" applyProtection="1">
      <alignment horizontal="right" vertical="center"/>
      <protection locked="0"/>
    </xf>
    <xf numFmtId="0" fontId="37" fillId="0" borderId="0" xfId="44" applyFont="1" applyAlignment="1">
      <alignment horizontal="left" vertical="center"/>
    </xf>
    <xf numFmtId="0" fontId="37" fillId="0" borderId="24" xfId="44" applyFont="1" applyBorder="1" applyAlignment="1">
      <alignment horizontal="left" vertical="center"/>
    </xf>
    <xf numFmtId="38" fontId="37" fillId="0" borderId="93" xfId="45" applyFont="1" applyBorder="1" applyAlignment="1">
      <alignment horizontal="center" vertical="center"/>
    </xf>
    <xf numFmtId="0" fontId="40" fillId="34" borderId="10" xfId="44" applyFont="1" applyFill="1" applyBorder="1" applyAlignment="1">
      <alignment horizontal="center" vertical="center" wrapText="1"/>
    </xf>
    <xf numFmtId="0" fontId="40" fillId="34" borderId="10" xfId="44" applyFont="1" applyFill="1" applyBorder="1" applyAlignment="1">
      <alignment horizontal="center" vertical="center"/>
    </xf>
    <xf numFmtId="0" fontId="41" fillId="34" borderId="126" xfId="44" applyFont="1" applyFill="1" applyBorder="1" applyAlignment="1">
      <alignment horizontal="center" vertical="center" wrapText="1"/>
    </xf>
    <xf numFmtId="0" fontId="41" fillId="34" borderId="101" xfId="44" applyFont="1" applyFill="1" applyBorder="1" applyAlignment="1">
      <alignment horizontal="center" vertical="center" wrapText="1"/>
    </xf>
    <xf numFmtId="0" fontId="41" fillId="34" borderId="102" xfId="44" applyFont="1" applyFill="1" applyBorder="1" applyAlignment="1">
      <alignment horizontal="center" vertical="center" wrapText="1"/>
    </xf>
    <xf numFmtId="0" fontId="41" fillId="34" borderId="128" xfId="44" applyFont="1" applyFill="1" applyBorder="1" applyAlignment="1">
      <alignment horizontal="center" vertical="center" wrapText="1"/>
    </xf>
    <xf numFmtId="0" fontId="41" fillId="34" borderId="110" xfId="44" applyFont="1" applyFill="1" applyBorder="1" applyAlignment="1">
      <alignment horizontal="center" vertical="center" wrapText="1"/>
    </xf>
    <xf numFmtId="0" fontId="41" fillId="34" borderId="111" xfId="44" applyFont="1" applyFill="1" applyBorder="1" applyAlignment="1">
      <alignment horizontal="center" vertical="center" wrapText="1"/>
    </xf>
    <xf numFmtId="38" fontId="37" fillId="0" borderId="100" xfId="45" applyFont="1" applyBorder="1" applyAlignment="1">
      <alignment horizontal="center" vertical="center"/>
    </xf>
    <xf numFmtId="38" fontId="37" fillId="0" borderId="109" xfId="45" applyFont="1" applyBorder="1" applyAlignment="1">
      <alignment horizontal="center" vertical="center"/>
    </xf>
    <xf numFmtId="38" fontId="38" fillId="0" borderId="117" xfId="45" applyFont="1" applyFill="1" applyBorder="1" applyAlignment="1">
      <alignment horizontal="right" vertical="center" shrinkToFit="1"/>
    </xf>
    <xf numFmtId="38" fontId="38" fillId="0" borderId="101" xfId="45" applyFont="1" applyFill="1" applyBorder="1" applyAlignment="1">
      <alignment horizontal="right" vertical="center" shrinkToFit="1"/>
    </xf>
    <xf numFmtId="38" fontId="38" fillId="0" borderId="116" xfId="45" applyFont="1" applyFill="1" applyBorder="1" applyAlignment="1">
      <alignment horizontal="right" vertical="center" shrinkToFit="1"/>
    </xf>
    <xf numFmtId="38" fontId="38" fillId="0" borderId="110" xfId="45" applyFont="1" applyFill="1" applyBorder="1" applyAlignment="1">
      <alignment horizontal="right" vertical="center" shrinkToFit="1"/>
    </xf>
    <xf numFmtId="38" fontId="37" fillId="0" borderId="101" xfId="45" applyFont="1" applyFill="1" applyBorder="1" applyAlignment="1">
      <alignment horizontal="left" vertical="center"/>
    </xf>
    <xf numFmtId="38" fontId="37" fillId="0" borderId="127" xfId="45" applyFont="1" applyFill="1" applyBorder="1" applyAlignment="1">
      <alignment horizontal="left" vertical="center"/>
    </xf>
    <xf numFmtId="38" fontId="37" fillId="0" borderId="110" xfId="45" applyFont="1" applyFill="1" applyBorder="1" applyAlignment="1">
      <alignment horizontal="left" vertical="center"/>
    </xf>
    <xf numFmtId="38" fontId="37" fillId="0" borderId="129" xfId="45" applyFont="1" applyFill="1" applyBorder="1" applyAlignment="1">
      <alignment horizontal="left" vertical="center"/>
    </xf>
    <xf numFmtId="0" fontId="40" fillId="33" borderId="10" xfId="44" applyFont="1" applyFill="1" applyBorder="1" applyAlignment="1">
      <alignment horizontal="center" vertical="center"/>
    </xf>
    <xf numFmtId="0" fontId="17" fillId="0" borderId="10" xfId="44" applyFont="1" applyBorder="1" applyAlignment="1">
      <alignment horizontal="right" vertical="center"/>
    </xf>
    <xf numFmtId="0" fontId="17" fillId="0" borderId="14" xfId="44" applyFont="1" applyBorder="1" applyAlignment="1">
      <alignment horizontal="right" vertical="center"/>
    </xf>
    <xf numFmtId="0" fontId="17" fillId="0" borderId="16" xfId="44" applyFont="1" applyBorder="1" applyAlignment="1">
      <alignment horizontal="center" vertical="center"/>
    </xf>
    <xf numFmtId="0" fontId="80" fillId="34" borderId="108" xfId="44" applyFont="1" applyFill="1" applyBorder="1" applyAlignment="1">
      <alignment horizontal="center" vertical="center" wrapText="1" shrinkToFit="1"/>
    </xf>
    <xf numFmtId="0" fontId="80" fillId="34" borderId="103" xfId="44" applyFont="1" applyFill="1" applyBorder="1" applyAlignment="1">
      <alignment horizontal="center" vertical="center" wrapText="1" shrinkToFit="1"/>
    </xf>
    <xf numFmtId="0" fontId="80" fillId="34" borderId="104" xfId="44" applyFont="1" applyFill="1" applyBorder="1" applyAlignment="1">
      <alignment horizontal="center" vertical="center" wrapText="1" shrinkToFit="1"/>
    </xf>
    <xf numFmtId="0" fontId="80" fillId="34" borderId="23" xfId="44" applyFont="1" applyFill="1" applyBorder="1" applyAlignment="1">
      <alignment horizontal="center" vertical="center" wrapText="1" shrinkToFit="1"/>
    </xf>
    <xf numFmtId="0" fontId="80" fillId="34" borderId="0" xfId="44" applyFont="1" applyFill="1" applyAlignment="1">
      <alignment horizontal="center" vertical="center" wrapText="1" shrinkToFit="1"/>
    </xf>
    <xf numFmtId="0" fontId="80" fillId="34" borderId="24" xfId="44" applyFont="1" applyFill="1" applyBorder="1" applyAlignment="1">
      <alignment horizontal="center" vertical="center" wrapText="1" shrinkToFit="1"/>
    </xf>
    <xf numFmtId="38" fontId="37" fillId="0" borderId="23" xfId="45" applyFont="1" applyBorder="1" applyAlignment="1">
      <alignment horizontal="center" vertical="center"/>
    </xf>
    <xf numFmtId="38" fontId="37" fillId="0" borderId="118" xfId="45" applyFont="1" applyFill="1" applyBorder="1" applyAlignment="1">
      <alignment horizontal="right" vertical="center" shrinkToFit="1"/>
    </xf>
    <xf numFmtId="38" fontId="37" fillId="0" borderId="0" xfId="45" applyFont="1" applyFill="1" applyBorder="1" applyAlignment="1">
      <alignment horizontal="right" vertical="center" shrinkToFit="1"/>
    </xf>
    <xf numFmtId="38" fontId="37" fillId="0" borderId="104" xfId="45" applyFont="1" applyFill="1" applyBorder="1" applyAlignment="1">
      <alignment horizontal="left" vertical="center"/>
    </xf>
    <xf numFmtId="38" fontId="37" fillId="0" borderId="0" xfId="45" applyFont="1" applyFill="1" applyBorder="1" applyAlignment="1">
      <alignment horizontal="left" vertical="center"/>
    </xf>
    <xf numFmtId="38" fontId="37" fillId="0" borderId="24" xfId="45" applyFont="1" applyFill="1" applyBorder="1" applyAlignment="1">
      <alignment horizontal="left" vertical="center"/>
    </xf>
    <xf numFmtId="0" fontId="74" fillId="34" borderId="211" xfId="44" applyFont="1" applyFill="1" applyBorder="1" applyAlignment="1">
      <alignment horizontal="center" vertical="center" wrapText="1"/>
    </xf>
    <xf numFmtId="0" fontId="74" fillId="34" borderId="172" xfId="44" applyFont="1" applyFill="1" applyBorder="1" applyAlignment="1">
      <alignment horizontal="center" vertical="center" wrapText="1"/>
    </xf>
    <xf numFmtId="0" fontId="74" fillId="34" borderId="173" xfId="44" applyFont="1" applyFill="1" applyBorder="1" applyAlignment="1">
      <alignment horizontal="center" vertical="center" wrapText="1"/>
    </xf>
    <xf numFmtId="0" fontId="74" fillId="34" borderId="23" xfId="44" applyFont="1" applyFill="1" applyBorder="1" applyAlignment="1">
      <alignment horizontal="center" vertical="center" wrapText="1"/>
    </xf>
    <xf numFmtId="0" fontId="74" fillId="34" borderId="0" xfId="44" applyFont="1" applyFill="1" applyAlignment="1">
      <alignment horizontal="center" vertical="center" wrapText="1"/>
    </xf>
    <xf numFmtId="0" fontId="74" fillId="34" borderId="24" xfId="44" applyFont="1" applyFill="1" applyBorder="1" applyAlignment="1">
      <alignment horizontal="center" vertical="center" wrapText="1"/>
    </xf>
    <xf numFmtId="38" fontId="37" fillId="0" borderId="211" xfId="45" applyFont="1" applyBorder="1" applyAlignment="1">
      <alignment horizontal="center" vertical="center"/>
    </xf>
    <xf numFmtId="38" fontId="37" fillId="0" borderId="172" xfId="45" applyFont="1" applyFill="1" applyBorder="1" applyAlignment="1">
      <alignment horizontal="left" vertical="center"/>
    </xf>
    <xf numFmtId="38" fontId="37" fillId="0" borderId="173" xfId="45" applyFont="1" applyFill="1" applyBorder="1" applyAlignment="1">
      <alignment horizontal="left" vertical="center"/>
    </xf>
    <xf numFmtId="0" fontId="74" fillId="34" borderId="35" xfId="44" applyFont="1" applyFill="1" applyBorder="1" applyAlignment="1">
      <alignment horizontal="center" vertical="center" wrapText="1"/>
    </xf>
    <xf numFmtId="0" fontId="74" fillId="34" borderId="36" xfId="44" applyFont="1" applyFill="1" applyBorder="1" applyAlignment="1">
      <alignment horizontal="center" vertical="center" wrapText="1"/>
    </xf>
    <xf numFmtId="0" fontId="74" fillId="34" borderId="105" xfId="44" applyFont="1" applyFill="1" applyBorder="1" applyAlignment="1">
      <alignment horizontal="center" vertical="center" wrapText="1"/>
    </xf>
    <xf numFmtId="0" fontId="74" fillId="34" borderId="29" xfId="44" applyFont="1" applyFill="1" applyBorder="1" applyAlignment="1">
      <alignment horizontal="center" vertical="center" wrapText="1"/>
    </xf>
    <xf numFmtId="0" fontId="74" fillId="34" borderId="30" xfId="44" applyFont="1" applyFill="1" applyBorder="1" applyAlignment="1">
      <alignment horizontal="center" vertical="center" wrapText="1"/>
    </xf>
    <xf numFmtId="0" fontId="74" fillId="34" borderId="106" xfId="44" applyFont="1" applyFill="1" applyBorder="1" applyAlignment="1">
      <alignment horizontal="center" vertical="center" wrapText="1"/>
    </xf>
    <xf numFmtId="0" fontId="55" fillId="0" borderId="54" xfId="53" applyFont="1" applyBorder="1" applyAlignment="1">
      <alignment horizontal="center" vertical="center"/>
    </xf>
    <xf numFmtId="0" fontId="55" fillId="0" borderId="56" xfId="53" applyFont="1" applyBorder="1" applyAlignment="1">
      <alignment horizontal="center" vertical="center"/>
    </xf>
    <xf numFmtId="38" fontId="68" fillId="0" borderId="120" xfId="45" applyFont="1" applyFill="1" applyBorder="1" applyAlignment="1">
      <alignment horizontal="right" vertical="center" shrinkToFit="1"/>
    </xf>
    <xf numFmtId="38" fontId="68" fillId="0" borderId="36" xfId="45" applyFont="1" applyFill="1" applyBorder="1" applyAlignment="1">
      <alignment horizontal="right" vertical="center" shrinkToFit="1"/>
    </xf>
    <xf numFmtId="38" fontId="68" fillId="0" borderId="121" xfId="45" applyFont="1" applyFill="1" applyBorder="1" applyAlignment="1">
      <alignment horizontal="right" vertical="center" shrinkToFit="1"/>
    </xf>
    <xf numFmtId="38" fontId="68" fillId="0" borderId="30" xfId="45" applyFont="1" applyFill="1" applyBorder="1" applyAlignment="1">
      <alignment horizontal="right" vertical="center" shrinkToFit="1"/>
    </xf>
    <xf numFmtId="38" fontId="37" fillId="0" borderId="36" xfId="45" applyFont="1" applyFill="1" applyBorder="1" applyAlignment="1">
      <alignment horizontal="left" vertical="center"/>
    </xf>
    <xf numFmtId="38" fontId="37" fillId="0" borderId="44" xfId="45" applyFont="1" applyFill="1" applyBorder="1" applyAlignment="1">
      <alignment horizontal="left" vertical="center"/>
    </xf>
    <xf numFmtId="38" fontId="37" fillId="0" borderId="30" xfId="45" applyFont="1" applyFill="1" applyBorder="1" applyAlignment="1">
      <alignment horizontal="left" vertical="center"/>
    </xf>
    <xf numFmtId="38" fontId="37" fillId="0" borderId="37" xfId="45" applyFont="1" applyFill="1" applyBorder="1" applyAlignment="1">
      <alignment horizontal="left" vertical="center"/>
    </xf>
    <xf numFmtId="0" fontId="40" fillId="34" borderId="0" xfId="44" applyFont="1" applyFill="1" applyAlignment="1">
      <alignment horizontal="left" vertical="center"/>
    </xf>
    <xf numFmtId="0" fontId="40" fillId="34" borderId="24" xfId="44" applyFont="1" applyFill="1" applyBorder="1" applyAlignment="1">
      <alignment horizontal="left" vertical="center"/>
    </xf>
    <xf numFmtId="38" fontId="37" fillId="0" borderId="11" xfId="45" applyFont="1" applyBorder="1" applyAlignment="1">
      <alignment horizontal="center" vertical="center"/>
    </xf>
    <xf numFmtId="40" fontId="37" fillId="0" borderId="118" xfId="45" applyNumberFormat="1" applyFont="1" applyFill="1" applyBorder="1" applyAlignment="1">
      <alignment horizontal="right" vertical="center" shrinkToFit="1"/>
    </xf>
    <xf numFmtId="40" fontId="37" fillId="0" borderId="0" xfId="45" applyNumberFormat="1" applyFont="1" applyFill="1" applyBorder="1" applyAlignment="1">
      <alignment horizontal="right" vertical="center" shrinkToFit="1"/>
    </xf>
    <xf numFmtId="40" fontId="37" fillId="0" borderId="119" xfId="45" applyNumberFormat="1" applyFont="1" applyFill="1" applyBorder="1" applyAlignment="1">
      <alignment horizontal="right" vertical="center" shrinkToFit="1"/>
    </xf>
    <xf numFmtId="40" fontId="37" fillId="0" borderId="12" xfId="45" applyNumberFormat="1" applyFont="1" applyFill="1" applyBorder="1" applyAlignment="1">
      <alignment horizontal="right" vertical="center" shrinkToFit="1"/>
    </xf>
    <xf numFmtId="38" fontId="37" fillId="0" borderId="12" xfId="45" applyFont="1" applyFill="1" applyBorder="1" applyAlignment="1">
      <alignment horizontal="left" vertical="center"/>
    </xf>
    <xf numFmtId="38" fontId="37" fillId="0" borderId="18" xfId="45" applyFont="1" applyFill="1" applyBorder="1" applyAlignment="1">
      <alignment horizontal="left" vertical="center"/>
    </xf>
    <xf numFmtId="0" fontId="18" fillId="34" borderId="11" xfId="44" applyFont="1" applyFill="1" applyBorder="1" applyAlignment="1">
      <alignment horizontal="right" vertical="center"/>
    </xf>
    <xf numFmtId="0" fontId="18" fillId="34" borderId="12" xfId="44" applyFont="1" applyFill="1" applyBorder="1" applyAlignment="1">
      <alignment horizontal="right" vertical="center"/>
    </xf>
    <xf numFmtId="0" fontId="18" fillId="34" borderId="18" xfId="44" applyFont="1" applyFill="1" applyBorder="1" applyAlignment="1">
      <alignment horizontal="right" vertical="center"/>
    </xf>
    <xf numFmtId="0" fontId="80" fillId="34" borderId="211" xfId="44" applyFont="1" applyFill="1" applyBorder="1" applyAlignment="1">
      <alignment horizontal="center" vertical="center" wrapText="1"/>
    </xf>
    <xf numFmtId="0" fontId="80" fillId="34" borderId="172" xfId="44" applyFont="1" applyFill="1" applyBorder="1" applyAlignment="1">
      <alignment horizontal="center" vertical="center" wrapText="1"/>
    </xf>
    <xf numFmtId="0" fontId="80" fillId="34" borderId="173" xfId="44" applyFont="1" applyFill="1" applyBorder="1" applyAlignment="1">
      <alignment horizontal="center" vertical="center" wrapText="1"/>
    </xf>
    <xf numFmtId="0" fontId="80" fillId="34" borderId="11" xfId="44" applyFont="1" applyFill="1" applyBorder="1" applyAlignment="1">
      <alignment horizontal="center" vertical="center" wrapText="1"/>
    </xf>
    <xf numFmtId="0" fontId="80" fillId="34" borderId="12" xfId="44" applyFont="1" applyFill="1" applyBorder="1" applyAlignment="1">
      <alignment horizontal="center" vertical="center" wrapText="1"/>
    </xf>
    <xf numFmtId="0" fontId="80" fillId="34" borderId="18" xfId="44" applyFont="1" applyFill="1" applyBorder="1" applyAlignment="1">
      <alignment horizontal="center" vertical="center" wrapText="1"/>
    </xf>
    <xf numFmtId="38" fontId="37" fillId="0" borderId="119" xfId="45" applyFont="1" applyFill="1" applyBorder="1" applyAlignment="1">
      <alignment horizontal="right" vertical="center" shrinkToFit="1"/>
    </xf>
    <xf numFmtId="38" fontId="37" fillId="0" borderId="12" xfId="45" applyFont="1" applyFill="1" applyBorder="1" applyAlignment="1">
      <alignment horizontal="right" vertical="center" shrinkToFit="1"/>
    </xf>
    <xf numFmtId="0" fontId="40" fillId="34" borderId="35" xfId="44" applyFont="1" applyFill="1" applyBorder="1" applyAlignment="1">
      <alignment horizontal="center" vertical="center" wrapText="1"/>
    </xf>
    <xf numFmtId="0" fontId="40" fillId="34" borderId="36" xfId="44" applyFont="1" applyFill="1" applyBorder="1" applyAlignment="1">
      <alignment horizontal="center" vertical="center" wrapText="1"/>
    </xf>
    <xf numFmtId="0" fontId="40" fillId="34" borderId="105" xfId="44" applyFont="1" applyFill="1" applyBorder="1" applyAlignment="1">
      <alignment horizontal="center" vertical="center" wrapText="1"/>
    </xf>
    <xf numFmtId="0" fontId="40" fillId="34" borderId="26" xfId="44" applyFont="1" applyFill="1" applyBorder="1" applyAlignment="1">
      <alignment horizontal="center" vertical="center" wrapText="1"/>
    </xf>
    <xf numFmtId="0" fontId="40" fillId="34" borderId="0" xfId="44" applyFont="1" applyFill="1" applyAlignment="1">
      <alignment horizontal="center" vertical="center" wrapText="1"/>
    </xf>
    <xf numFmtId="0" fontId="40" fillId="34" borderId="24" xfId="44" applyFont="1" applyFill="1" applyBorder="1" applyAlignment="1">
      <alignment horizontal="center" vertical="center" wrapText="1"/>
    </xf>
    <xf numFmtId="0" fontId="40" fillId="34" borderId="29" xfId="44" applyFont="1" applyFill="1" applyBorder="1" applyAlignment="1">
      <alignment horizontal="center" vertical="center" wrapText="1"/>
    </xf>
    <xf numFmtId="0" fontId="40" fillId="34" borderId="30" xfId="44" applyFont="1" applyFill="1" applyBorder="1" applyAlignment="1">
      <alignment horizontal="center" vertical="center" wrapText="1"/>
    </xf>
    <xf numFmtId="0" fontId="40" fillId="34" borderId="106" xfId="44" applyFont="1" applyFill="1" applyBorder="1" applyAlignment="1">
      <alignment horizontal="center" vertical="center" wrapText="1"/>
    </xf>
    <xf numFmtId="38" fontId="76" fillId="0" borderId="54" xfId="46" applyFont="1" applyBorder="1" applyAlignment="1">
      <alignment horizontal="center" vertical="center" shrinkToFit="1"/>
    </xf>
    <xf numFmtId="38" fontId="76" fillId="0" borderId="36" xfId="46" applyFont="1" applyBorder="1" applyAlignment="1">
      <alignment horizontal="center" vertical="center" shrinkToFit="1"/>
    </xf>
    <xf numFmtId="38" fontId="76" fillId="0" borderId="23" xfId="46" applyFont="1" applyBorder="1" applyAlignment="1">
      <alignment horizontal="center" vertical="center" shrinkToFit="1"/>
    </xf>
    <xf numFmtId="38" fontId="76" fillId="0" borderId="0" xfId="46" applyFont="1" applyBorder="1" applyAlignment="1">
      <alignment horizontal="center" vertical="center" shrinkToFit="1"/>
    </xf>
    <xf numFmtId="38" fontId="76" fillId="0" borderId="56" xfId="46" applyFont="1" applyBorder="1" applyAlignment="1">
      <alignment horizontal="center" vertical="center" shrinkToFit="1"/>
    </xf>
    <xf numFmtId="38" fontId="76" fillId="0" borderId="30" xfId="46" applyFont="1" applyBorder="1" applyAlignment="1">
      <alignment horizontal="center" vertical="center" shrinkToFit="1"/>
    </xf>
    <xf numFmtId="0" fontId="38" fillId="0" borderId="36" xfId="44" applyFont="1" applyBorder="1" applyAlignment="1">
      <alignment horizontal="left" vertical="center"/>
    </xf>
    <xf numFmtId="0" fontId="38" fillId="0" borderId="44" xfId="44" applyFont="1" applyBorder="1" applyAlignment="1">
      <alignment horizontal="left" vertical="center"/>
    </xf>
    <xf numFmtId="0" fontId="38" fillId="0" borderId="19" xfId="44" applyFont="1" applyBorder="1" applyAlignment="1">
      <alignment horizontal="left" vertical="center"/>
    </xf>
    <xf numFmtId="0" fontId="38" fillId="0" borderId="30" xfId="44" applyFont="1" applyBorder="1" applyAlignment="1">
      <alignment horizontal="left" vertical="center"/>
    </xf>
    <xf numFmtId="0" fontId="38" fillId="0" borderId="37" xfId="44" applyFont="1" applyBorder="1" applyAlignment="1">
      <alignment horizontal="left" vertical="center"/>
    </xf>
    <xf numFmtId="0" fontId="71" fillId="0" borderId="211" xfId="44" applyFont="1" applyBorder="1" applyAlignment="1">
      <alignment horizontal="center" vertical="center" shrinkToFit="1"/>
    </xf>
    <xf numFmtId="0" fontId="71" fillId="0" borderId="11" xfId="44" applyFont="1" applyBorder="1" applyAlignment="1">
      <alignment horizontal="center" vertical="center" shrinkToFit="1"/>
    </xf>
    <xf numFmtId="176" fontId="37" fillId="0" borderId="211" xfId="44" applyNumberFormat="1" applyFont="1" applyBorder="1" applyAlignment="1">
      <alignment horizontal="right" vertical="center"/>
    </xf>
    <xf numFmtId="176" fontId="37" fillId="0" borderId="172" xfId="44" applyNumberFormat="1" applyFont="1" applyBorder="1" applyAlignment="1">
      <alignment horizontal="right" vertical="center"/>
    </xf>
    <xf numFmtId="176" fontId="37" fillId="0" borderId="11" xfId="44" applyNumberFormat="1" applyFont="1" applyBorder="1" applyAlignment="1">
      <alignment horizontal="right" vertical="center"/>
    </xf>
    <xf numFmtId="176" fontId="37" fillId="0" borderId="12" xfId="44" applyNumberFormat="1" applyFont="1" applyBorder="1" applyAlignment="1">
      <alignment horizontal="right" vertical="center"/>
    </xf>
    <xf numFmtId="38" fontId="37" fillId="0" borderId="16" xfId="45" applyFont="1" applyFill="1" applyBorder="1" applyAlignment="1">
      <alignment horizontal="left" vertical="center"/>
    </xf>
    <xf numFmtId="38" fontId="37" fillId="0" borderId="10" xfId="45" applyFont="1" applyFill="1" applyBorder="1" applyAlignment="1">
      <alignment horizontal="left" vertical="center"/>
    </xf>
    <xf numFmtId="0" fontId="40" fillId="34" borderId="49" xfId="44" applyFont="1" applyFill="1" applyBorder="1" applyAlignment="1">
      <alignment horizontal="center" vertical="center" shrinkToFit="1"/>
    </xf>
    <xf numFmtId="0" fontId="40" fillId="34" borderId="47" xfId="44" applyFont="1" applyFill="1" applyBorder="1" applyAlignment="1">
      <alignment horizontal="center" vertical="center" shrinkToFit="1"/>
    </xf>
    <xf numFmtId="0" fontId="40" fillId="34" borderId="40" xfId="44" applyFont="1" applyFill="1" applyBorder="1" applyAlignment="1">
      <alignment horizontal="center" vertical="center" shrinkToFit="1"/>
    </xf>
    <xf numFmtId="0" fontId="40" fillId="34" borderId="41" xfId="44" applyFont="1" applyFill="1" applyBorder="1" applyAlignment="1">
      <alignment horizontal="center" vertical="center" shrinkToFit="1"/>
    </xf>
    <xf numFmtId="176" fontId="69" fillId="0" borderId="120" xfId="44" applyNumberFormat="1" applyFont="1" applyBorder="1" applyAlignment="1">
      <alignment horizontal="right" vertical="center"/>
    </xf>
    <xf numFmtId="176" fontId="69" fillId="0" borderId="36" xfId="44" applyNumberFormat="1" applyFont="1" applyBorder="1" applyAlignment="1">
      <alignment horizontal="right" vertical="center"/>
    </xf>
    <xf numFmtId="176" fontId="69" fillId="0" borderId="121" xfId="44" applyNumberFormat="1" applyFont="1" applyBorder="1" applyAlignment="1">
      <alignment horizontal="right" vertical="center"/>
    </xf>
    <xf numFmtId="176" fontId="69" fillId="0" borderId="30" xfId="44" applyNumberFormat="1" applyFont="1" applyBorder="1" applyAlignment="1">
      <alignment horizontal="right" vertical="center"/>
    </xf>
    <xf numFmtId="38" fontId="37" fillId="0" borderId="65" xfId="45" applyFont="1" applyFill="1" applyBorder="1" applyAlignment="1">
      <alignment horizontal="left" vertical="center"/>
    </xf>
    <xf numFmtId="38" fontId="37" fillId="0" borderId="48" xfId="45" applyFont="1" applyFill="1" applyBorder="1" applyAlignment="1">
      <alignment horizontal="left" vertical="center"/>
    </xf>
    <xf numFmtId="38" fontId="37" fillId="0" borderId="31" xfId="45" applyFont="1" applyFill="1" applyBorder="1" applyAlignment="1">
      <alignment horizontal="left" vertical="center"/>
    </xf>
    <xf numFmtId="38" fontId="37" fillId="0" borderId="42" xfId="45" applyFont="1" applyFill="1" applyBorder="1" applyAlignment="1">
      <alignment horizontal="left" vertical="center"/>
    </xf>
    <xf numFmtId="184" fontId="61" fillId="0" borderId="211" xfId="44" applyNumberFormat="1" applyFont="1" applyBorder="1" applyAlignment="1">
      <alignment horizontal="center" vertical="center" shrinkToFit="1"/>
    </xf>
    <xf numFmtId="184" fontId="61" fillId="0" borderId="172" xfId="44" applyNumberFormat="1" applyFont="1" applyBorder="1" applyAlignment="1">
      <alignment horizontal="center" vertical="center" shrinkToFit="1"/>
    </xf>
    <xf numFmtId="184" fontId="61" fillId="0" borderId="173" xfId="44" applyNumberFormat="1" applyFont="1" applyBorder="1" applyAlignment="1">
      <alignment horizontal="center" vertical="center" shrinkToFit="1"/>
    </xf>
    <xf numFmtId="184" fontId="61" fillId="0" borderId="11" xfId="44" applyNumberFormat="1" applyFont="1" applyBorder="1" applyAlignment="1">
      <alignment horizontal="center" vertical="center" shrinkToFit="1"/>
    </xf>
    <xf numFmtId="184" fontId="61" fillId="0" borderId="12" xfId="44" applyNumberFormat="1" applyFont="1" applyBorder="1" applyAlignment="1">
      <alignment horizontal="center" vertical="center" shrinkToFit="1"/>
    </xf>
    <xf numFmtId="184" fontId="61" fillId="0" borderId="18" xfId="44" applyNumberFormat="1" applyFont="1" applyBorder="1" applyAlignment="1">
      <alignment horizontal="center" vertical="center" shrinkToFit="1"/>
    </xf>
    <xf numFmtId="0" fontId="111" fillId="42" borderId="14" xfId="80" applyFont="1" applyFill="1" applyBorder="1" applyAlignment="1">
      <alignment horizontal="center" vertical="center"/>
    </xf>
    <xf numFmtId="0" fontId="111" fillId="42" borderId="16" xfId="80" applyFont="1" applyFill="1" applyBorder="1" applyAlignment="1">
      <alignment horizontal="center" vertical="center"/>
    </xf>
    <xf numFmtId="0" fontId="146" fillId="0" borderId="14" xfId="80" applyFont="1" applyBorder="1" applyAlignment="1">
      <alignment horizontal="left" vertical="center" wrapText="1"/>
    </xf>
    <xf numFmtId="0" fontId="146" fillId="0" borderId="15" xfId="80" applyFont="1" applyBorder="1" applyAlignment="1">
      <alignment horizontal="left" vertical="center" wrapText="1"/>
    </xf>
    <xf numFmtId="0" fontId="146" fillId="0" borderId="16" xfId="80" applyFont="1" applyBorder="1" applyAlignment="1">
      <alignment horizontal="left" vertical="center" wrapText="1"/>
    </xf>
    <xf numFmtId="0" fontId="112" fillId="41" borderId="10" xfId="80" applyFont="1" applyFill="1" applyBorder="1" applyAlignment="1">
      <alignment horizontal="center" vertical="center"/>
    </xf>
    <xf numFmtId="0" fontId="112" fillId="41" borderId="14" xfId="80" applyFont="1" applyFill="1" applyBorder="1" applyAlignment="1">
      <alignment horizontal="center" vertical="center"/>
    </xf>
    <xf numFmtId="0" fontId="112" fillId="41" borderId="15" xfId="80" applyFont="1" applyFill="1" applyBorder="1" applyAlignment="1">
      <alignment horizontal="center" vertical="center"/>
    </xf>
    <xf numFmtId="0" fontId="112" fillId="41" borderId="16" xfId="80" applyFont="1" applyFill="1" applyBorder="1" applyAlignment="1">
      <alignment horizontal="center" vertical="center"/>
    </xf>
    <xf numFmtId="0" fontId="113" fillId="44" borderId="10" xfId="80" applyFont="1" applyFill="1" applyBorder="1" applyAlignment="1">
      <alignment horizontal="center" vertical="center" shrinkToFit="1"/>
    </xf>
    <xf numFmtId="0" fontId="111" fillId="44" borderId="10" xfId="80" applyFont="1" applyFill="1" applyBorder="1" applyAlignment="1">
      <alignment horizontal="center" vertical="center" shrinkToFit="1"/>
    </xf>
    <xf numFmtId="0" fontId="111" fillId="42" borderId="10" xfId="80" applyFont="1" applyFill="1" applyBorder="1" applyAlignment="1">
      <alignment horizontal="left" vertical="center" shrinkToFit="1"/>
    </xf>
    <xf numFmtId="0" fontId="111" fillId="43" borderId="10" xfId="80" applyFont="1" applyFill="1" applyBorder="1" applyAlignment="1">
      <alignment horizontal="center" vertical="center" shrinkToFit="1"/>
    </xf>
    <xf numFmtId="0" fontId="111" fillId="44" borderId="14" xfId="80" applyFont="1" applyFill="1" applyBorder="1" applyAlignment="1">
      <alignment horizontal="center" vertical="center" shrinkToFit="1"/>
    </xf>
    <xf numFmtId="0" fontId="111" fillId="44" borderId="15" xfId="80" applyFont="1" applyFill="1" applyBorder="1" applyAlignment="1">
      <alignment horizontal="center" vertical="center" shrinkToFit="1"/>
    </xf>
    <xf numFmtId="0" fontId="111" fillId="44" borderId="16" xfId="80" applyFont="1" applyFill="1" applyBorder="1" applyAlignment="1">
      <alignment horizontal="center" vertical="center" shrinkToFit="1"/>
    </xf>
    <xf numFmtId="0" fontId="111" fillId="0" borderId="10" xfId="80" applyFont="1" applyBorder="1" applyAlignment="1">
      <alignment horizontal="center" vertical="center" shrinkToFit="1"/>
    </xf>
    <xf numFmtId="0" fontId="146" fillId="0" borderId="10" xfId="80" applyFont="1" applyBorder="1" applyAlignment="1">
      <alignment horizontal="left" vertical="center" wrapText="1"/>
    </xf>
    <xf numFmtId="0" fontId="111" fillId="43" borderId="10" xfId="80" applyFont="1" applyFill="1" applyBorder="1" applyAlignment="1">
      <alignment horizontal="center" vertical="center"/>
    </xf>
    <xf numFmtId="0" fontId="111" fillId="0" borderId="14" xfId="80" applyFont="1" applyBorder="1" applyAlignment="1">
      <alignment horizontal="center" vertical="center" shrinkToFit="1"/>
    </xf>
    <xf numFmtId="0" fontId="111" fillId="0" borderId="16" xfId="80" applyFont="1" applyBorder="1" applyAlignment="1">
      <alignment horizontal="center" vertical="center" shrinkToFit="1"/>
    </xf>
    <xf numFmtId="0" fontId="111" fillId="42" borderId="10" xfId="80" applyFont="1" applyFill="1" applyBorder="1" applyAlignment="1">
      <alignment horizontal="center" vertical="center" shrinkToFit="1"/>
    </xf>
    <xf numFmtId="0" fontId="111" fillId="0" borderId="10" xfId="80" applyFont="1" applyBorder="1" applyAlignment="1">
      <alignment horizontal="left" vertical="center" shrinkToFit="1"/>
    </xf>
    <xf numFmtId="0" fontId="114" fillId="0" borderId="0" xfId="80" applyFont="1" applyAlignment="1">
      <alignment horizontal="center" vertical="center" shrinkToFit="1"/>
    </xf>
    <xf numFmtId="0" fontId="111" fillId="0" borderId="0" xfId="80" applyFont="1" applyAlignment="1">
      <alignment horizontal="center" vertical="center"/>
    </xf>
    <xf numFmtId="0" fontId="111" fillId="0" borderId="0" xfId="80" applyFont="1" applyAlignment="1" applyProtection="1">
      <alignment horizontal="center" vertical="center"/>
      <protection locked="0"/>
    </xf>
    <xf numFmtId="0" fontId="111" fillId="42" borderId="211" xfId="80" applyFont="1" applyFill="1" applyBorder="1" applyAlignment="1">
      <alignment horizontal="center" vertical="center" shrinkToFit="1"/>
    </xf>
    <xf numFmtId="0" fontId="111" fillId="42" borderId="173" xfId="80" applyFont="1" applyFill="1" applyBorder="1" applyAlignment="1">
      <alignment horizontal="center" vertical="center" shrinkToFit="1"/>
    </xf>
    <xf numFmtId="0" fontId="111" fillId="42" borderId="11" xfId="80" applyFont="1" applyFill="1" applyBorder="1" applyAlignment="1">
      <alignment horizontal="center" vertical="center" shrinkToFit="1"/>
    </xf>
    <xf numFmtId="0" fontId="111" fillId="42" borderId="18" xfId="80" applyFont="1" applyFill="1" applyBorder="1" applyAlignment="1">
      <alignment horizontal="center" vertical="center" shrinkToFit="1"/>
    </xf>
    <xf numFmtId="0" fontId="146" fillId="0" borderId="10" xfId="80" applyFont="1" applyBorder="1" applyAlignment="1">
      <alignment horizontal="left" vertical="center" wrapText="1" shrinkToFit="1"/>
    </xf>
    <xf numFmtId="0" fontId="121" fillId="0" borderId="175" xfId="80" applyFont="1" applyBorder="1" applyAlignment="1">
      <alignment horizontal="right" vertical="center" shrinkToFit="1"/>
    </xf>
    <xf numFmtId="0" fontId="121" fillId="0" borderId="50" xfId="80" applyFont="1" applyBorder="1" applyAlignment="1">
      <alignment horizontal="right" vertical="center" shrinkToFit="1"/>
    </xf>
    <xf numFmtId="0" fontId="146" fillId="0" borderId="10" xfId="80" applyFont="1" applyBorder="1" applyAlignment="1">
      <alignment horizontal="left" vertical="center" shrinkToFit="1"/>
    </xf>
    <xf numFmtId="0" fontId="121" fillId="0" borderId="10" xfId="80" applyFont="1" applyBorder="1" applyAlignment="1">
      <alignment horizontal="right" vertical="center" shrinkToFit="1"/>
    </xf>
    <xf numFmtId="0" fontId="146" fillId="0" borderId="211" xfId="80" applyFont="1" applyBorder="1" applyAlignment="1">
      <alignment horizontal="left" vertical="center" wrapText="1"/>
    </xf>
    <xf numFmtId="0" fontId="146" fillId="0" borderId="172" xfId="80" applyFont="1" applyBorder="1" applyAlignment="1">
      <alignment horizontal="left" vertical="center" wrapText="1"/>
    </xf>
    <xf numFmtId="0" fontId="146" fillId="0" borderId="173" xfId="80" applyFont="1" applyBorder="1" applyAlignment="1">
      <alignment horizontal="left" vertical="center" wrapText="1"/>
    </xf>
    <xf numFmtId="0" fontId="146" fillId="0" borderId="23" xfId="80" applyFont="1" applyBorder="1" applyAlignment="1">
      <alignment horizontal="left" vertical="center" wrapText="1"/>
    </xf>
    <xf numFmtId="0" fontId="146" fillId="0" borderId="0" xfId="80" applyFont="1" applyAlignment="1">
      <alignment horizontal="left" vertical="center" wrapText="1"/>
    </xf>
    <xf numFmtId="0" fontId="146" fillId="0" borderId="24" xfId="80" applyFont="1" applyBorder="1" applyAlignment="1">
      <alignment horizontal="left" vertical="center" wrapText="1"/>
    </xf>
    <xf numFmtId="0" fontId="111" fillId="0" borderId="50" xfId="80" applyFont="1" applyBorder="1" applyAlignment="1">
      <alignment horizontal="center" vertical="center" shrinkToFit="1"/>
    </xf>
    <xf numFmtId="38" fontId="172" fillId="0" borderId="10" xfId="81" applyFont="1" applyBorder="1" applyAlignment="1">
      <alignment horizontal="right" vertical="center" shrinkToFit="1"/>
    </xf>
    <xf numFmtId="0" fontId="111" fillId="0" borderId="175" xfId="80" applyFont="1" applyBorder="1" applyAlignment="1">
      <alignment horizontal="center" vertical="center" shrinkToFit="1"/>
    </xf>
    <xf numFmtId="0" fontId="111" fillId="42" borderId="10" xfId="80" applyFont="1" applyFill="1" applyBorder="1" applyAlignment="1">
      <alignment horizontal="center" vertical="center" wrapText="1"/>
    </xf>
    <xf numFmtId="0" fontId="111" fillId="42" borderId="10" xfId="80" applyFont="1" applyFill="1" applyBorder="1" applyAlignment="1">
      <alignment horizontal="center" vertical="center"/>
    </xf>
    <xf numFmtId="0" fontId="111" fillId="0" borderId="36" xfId="74" applyFont="1" applyBorder="1" applyAlignment="1">
      <alignment horizontal="left" vertical="center" shrinkToFit="1"/>
    </xf>
    <xf numFmtId="0" fontId="111" fillId="0" borderId="0" xfId="74" applyFont="1" applyAlignment="1">
      <alignment horizontal="left" vertical="center" shrinkToFit="1"/>
    </xf>
    <xf numFmtId="0" fontId="124" fillId="0" borderId="0" xfId="74" applyFont="1" applyAlignment="1">
      <alignment horizontal="left" vertical="center"/>
    </xf>
    <xf numFmtId="191" fontId="130" fillId="47" borderId="209" xfId="52" applyNumberFormat="1" applyFont="1" applyFill="1" applyBorder="1" applyAlignment="1">
      <alignment horizontal="center" vertical="center" shrinkToFit="1"/>
    </xf>
    <xf numFmtId="191" fontId="130" fillId="47" borderId="76" xfId="52" applyNumberFormat="1" applyFont="1" applyFill="1" applyBorder="1" applyAlignment="1">
      <alignment horizontal="center" vertical="center" shrinkToFit="1"/>
    </xf>
    <xf numFmtId="191" fontId="130" fillId="47" borderId="77" xfId="52" applyNumberFormat="1" applyFont="1" applyFill="1" applyBorder="1" applyAlignment="1">
      <alignment horizontal="center" vertical="center" shrinkToFit="1"/>
    </xf>
    <xf numFmtId="0" fontId="128" fillId="0" borderId="211" xfId="74" applyFont="1" applyBorder="1" applyAlignment="1">
      <alignment horizontal="center" vertical="center"/>
    </xf>
    <xf numFmtId="0" fontId="128" fillId="0" borderId="172" xfId="74" applyFont="1" applyBorder="1" applyAlignment="1">
      <alignment horizontal="center" vertical="center"/>
    </xf>
    <xf numFmtId="0" fontId="128" fillId="0" borderId="173" xfId="74" applyFont="1" applyBorder="1" applyAlignment="1">
      <alignment horizontal="center" vertical="center"/>
    </xf>
    <xf numFmtId="0" fontId="128" fillId="0" borderId="11" xfId="74" applyFont="1" applyBorder="1" applyAlignment="1">
      <alignment horizontal="center" vertical="center"/>
    </xf>
    <xf numFmtId="0" fontId="128" fillId="0" borderId="12" xfId="74" applyFont="1" applyBorder="1" applyAlignment="1">
      <alignment horizontal="center" vertical="center"/>
    </xf>
    <xf numFmtId="0" fontId="128" fillId="0" borderId="18" xfId="74" applyFont="1" applyBorder="1" applyAlignment="1">
      <alignment horizontal="center" vertical="center"/>
    </xf>
    <xf numFmtId="0" fontId="129" fillId="0" borderId="23" xfId="74" applyFont="1" applyBorder="1" applyAlignment="1">
      <alignment horizontal="center" vertical="center" shrinkToFit="1"/>
    </xf>
    <xf numFmtId="0" fontId="129" fillId="0" borderId="0" xfId="74" applyFont="1" applyAlignment="1">
      <alignment horizontal="center" vertical="center" shrinkToFit="1"/>
    </xf>
    <xf numFmtId="0" fontId="111" fillId="0" borderId="0" xfId="74" applyFont="1" applyAlignment="1">
      <alignment horizontal="right" vertical="center"/>
    </xf>
    <xf numFmtId="191" fontId="126" fillId="43" borderId="203" xfId="52" applyNumberFormat="1" applyFont="1" applyFill="1" applyBorder="1" applyAlignment="1">
      <alignment horizontal="center" vertical="center" textRotation="255" shrinkToFit="1"/>
    </xf>
    <xf numFmtId="191" fontId="126" fillId="43" borderId="227" xfId="52" applyNumberFormat="1" applyFont="1" applyFill="1" applyBorder="1" applyAlignment="1">
      <alignment horizontal="center" vertical="center" textRotation="255" shrinkToFit="1"/>
    </xf>
    <xf numFmtId="191" fontId="126" fillId="43" borderId="210" xfId="52" applyNumberFormat="1" applyFont="1" applyFill="1" applyBorder="1" applyAlignment="1">
      <alignment horizontal="center" vertical="center" textRotation="255" shrinkToFit="1"/>
    </xf>
    <xf numFmtId="0" fontId="124" fillId="0" borderId="0" xfId="80" applyFont="1" applyAlignment="1">
      <alignment horizontal="center" vertical="center"/>
    </xf>
    <xf numFmtId="0" fontId="111" fillId="0" borderId="14" xfId="74" applyFont="1" applyBorder="1" applyAlignment="1">
      <alignment horizontal="center" vertical="center" shrinkToFit="1"/>
    </xf>
    <xf numFmtId="0" fontId="111" fillId="0" borderId="16" xfId="74" applyFont="1" applyBorder="1" applyAlignment="1">
      <alignment horizontal="center" vertical="center" shrinkToFit="1"/>
    </xf>
    <xf numFmtId="0" fontId="112" fillId="41" borderId="10" xfId="80" applyFont="1" applyFill="1" applyBorder="1" applyAlignment="1">
      <alignment horizontal="center" vertical="center" textRotation="255"/>
    </xf>
    <xf numFmtId="0" fontId="118" fillId="37" borderId="10" xfId="43" applyFont="1" applyFill="1" applyBorder="1" applyAlignment="1" applyProtection="1">
      <alignment horizontal="left" vertical="center" shrinkToFit="1"/>
      <protection locked="0"/>
    </xf>
    <xf numFmtId="0" fontId="118" fillId="37" borderId="16" xfId="54" applyNumberFormat="1" applyFont="1" applyFill="1" applyBorder="1" applyAlignment="1" applyProtection="1">
      <alignment horizontal="right" vertical="center"/>
    </xf>
    <xf numFmtId="0" fontId="118" fillId="37" borderId="10" xfId="54" applyNumberFormat="1" applyFont="1" applyFill="1" applyBorder="1" applyAlignment="1" applyProtection="1">
      <alignment horizontal="right" vertical="center"/>
    </xf>
    <xf numFmtId="6" fontId="118" fillId="37" borderId="10" xfId="54" applyFont="1" applyFill="1" applyBorder="1" applyAlignment="1" applyProtection="1">
      <alignment horizontal="right" vertical="center"/>
    </xf>
    <xf numFmtId="0" fontId="114" fillId="27" borderId="16" xfId="43" applyFont="1" applyFill="1" applyBorder="1" applyAlignment="1">
      <alignment horizontal="center" vertical="center" shrinkToFit="1"/>
    </xf>
    <xf numFmtId="0" fontId="114" fillId="27" borderId="49" xfId="43" applyFont="1" applyFill="1" applyBorder="1" applyAlignment="1">
      <alignment horizontal="center" vertical="center" shrinkToFit="1"/>
    </xf>
    <xf numFmtId="0" fontId="114" fillId="27" borderId="47" xfId="43" applyFont="1" applyFill="1" applyBorder="1" applyAlignment="1">
      <alignment horizontal="center" vertical="center" shrinkToFit="1"/>
    </xf>
    <xf numFmtId="0" fontId="114" fillId="27" borderId="48" xfId="43" applyFont="1" applyFill="1" applyBorder="1" applyAlignment="1">
      <alignment horizontal="center" vertical="center" shrinkToFit="1"/>
    </xf>
    <xf numFmtId="6" fontId="118" fillId="0" borderId="14" xfId="76" applyFont="1" applyBorder="1" applyAlignment="1" applyProtection="1">
      <alignment horizontal="center" vertical="center"/>
    </xf>
    <xf numFmtId="6" fontId="118" fillId="0" borderId="15" xfId="76" applyFont="1" applyBorder="1" applyAlignment="1" applyProtection="1">
      <alignment horizontal="center" vertical="center"/>
    </xf>
    <xf numFmtId="6" fontId="118" fillId="0" borderId="16" xfId="76" applyFont="1" applyBorder="1" applyAlignment="1" applyProtection="1">
      <alignment horizontal="center" vertical="center"/>
    </xf>
    <xf numFmtId="0" fontId="122" fillId="27" borderId="172" xfId="43" applyFont="1" applyFill="1" applyBorder="1" applyAlignment="1">
      <alignment horizontal="center" vertical="center" wrapText="1" shrinkToFit="1"/>
    </xf>
    <xf numFmtId="0" fontId="122" fillId="27" borderId="173" xfId="43" applyFont="1" applyFill="1" applyBorder="1" applyAlignment="1">
      <alignment horizontal="center" vertical="center" wrapText="1" shrinkToFit="1"/>
    </xf>
    <xf numFmtId="0" fontId="122" fillId="27" borderId="11" xfId="43" applyFont="1" applyFill="1" applyBorder="1" applyAlignment="1">
      <alignment horizontal="center" vertical="center" wrapText="1" shrinkToFit="1"/>
    </xf>
    <xf numFmtId="0" fontId="122" fillId="27" borderId="12" xfId="43" applyFont="1" applyFill="1" applyBorder="1" applyAlignment="1">
      <alignment horizontal="center" vertical="center" wrapText="1" shrinkToFit="1"/>
    </xf>
    <xf numFmtId="0" fontId="122" fillId="27" borderId="18" xfId="43" applyFont="1" applyFill="1" applyBorder="1" applyAlignment="1">
      <alignment horizontal="center" vertical="center" wrapText="1" shrinkToFit="1"/>
    </xf>
    <xf numFmtId="0" fontId="82" fillId="0" borderId="172" xfId="0" applyFont="1" applyBorder="1" applyAlignment="1">
      <alignment horizontal="distributed" vertical="center" shrinkToFit="1"/>
    </xf>
    <xf numFmtId="0" fontId="18" fillId="0" borderId="211" xfId="0" applyFont="1" applyBorder="1" applyAlignment="1">
      <alignment horizontal="left" vertical="center"/>
    </xf>
    <xf numFmtId="0" fontId="18" fillId="0" borderId="172" xfId="0" applyFont="1" applyBorder="1" applyAlignment="1">
      <alignment horizontal="left" vertical="center"/>
    </xf>
    <xf numFmtId="0" fontId="18" fillId="0" borderId="17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82" fillId="0" borderId="14" xfId="0" applyFont="1" applyBorder="1" applyAlignment="1">
      <alignment horizontal="center" vertical="center" wrapText="1"/>
    </xf>
    <xf numFmtId="0" fontId="82" fillId="0" borderId="16" xfId="0" applyFont="1" applyBorder="1" applyAlignment="1">
      <alignment horizontal="center" vertical="center" wrapText="1"/>
    </xf>
    <xf numFmtId="0" fontId="18" fillId="0" borderId="14"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16" xfId="0" applyFont="1" applyBorder="1" applyAlignment="1">
      <alignment horizontal="left" vertical="center" shrinkToFit="1"/>
    </xf>
    <xf numFmtId="0" fontId="82" fillId="0" borderId="11" xfId="0" applyFont="1" applyBorder="1" applyAlignment="1">
      <alignment horizontal="center" vertical="center" wrapText="1"/>
    </xf>
    <xf numFmtId="0" fontId="82" fillId="0" borderId="18" xfId="0" applyFont="1" applyBorder="1" applyAlignment="1">
      <alignment horizontal="center" vertical="center" wrapText="1"/>
    </xf>
    <xf numFmtId="0" fontId="82" fillId="0" borderId="10" xfId="0" applyFont="1" applyBorder="1" applyAlignment="1">
      <alignment horizontal="center" vertical="center" shrinkToFit="1"/>
    </xf>
    <xf numFmtId="0" fontId="18" fillId="0" borderId="88" xfId="0" applyFont="1" applyBorder="1" applyAlignment="1">
      <alignment horizontal="left" vertical="center" wrapText="1"/>
    </xf>
    <xf numFmtId="0" fontId="18" fillId="0" borderId="15" xfId="0" applyFont="1" applyBorder="1" applyAlignment="1">
      <alignment horizontal="distributed" vertical="center"/>
    </xf>
    <xf numFmtId="181" fontId="18" fillId="0" borderId="14" xfId="0" applyNumberFormat="1" applyFont="1" applyBorder="1" applyAlignment="1">
      <alignment horizontal="center" vertical="center"/>
    </xf>
    <xf numFmtId="181" fontId="18" fillId="0" borderId="15" xfId="0" applyNumberFormat="1" applyFont="1" applyBorder="1" applyAlignment="1">
      <alignment horizontal="center" vertical="center"/>
    </xf>
    <xf numFmtId="181" fontId="18" fillId="0" borderId="16" xfId="0" applyNumberFormat="1"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82" fillId="0" borderId="15" xfId="0" applyFont="1" applyBorder="1" applyAlignment="1">
      <alignment horizontal="distributed" vertical="center" shrinkToFi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0" xfId="0" applyFont="1" applyAlignment="1">
      <alignment horizontal="center" vertical="center" shrinkToFit="1"/>
    </xf>
    <xf numFmtId="0" fontId="18" fillId="0" borderId="172" xfId="0" applyFont="1" applyBorder="1" applyAlignment="1">
      <alignment horizontal="distributed" vertical="center"/>
    </xf>
    <xf numFmtId="0" fontId="18" fillId="0" borderId="10" xfId="0" applyFont="1" applyBorder="1" applyAlignment="1">
      <alignment horizontal="left" vertical="center"/>
    </xf>
    <xf numFmtId="0" fontId="18" fillId="0" borderId="0" xfId="0" applyFont="1" applyAlignment="1">
      <alignment horizontal="distributed" vertical="center"/>
    </xf>
    <xf numFmtId="0" fontId="18" fillId="0" borderId="211" xfId="0" applyFont="1" applyBorder="1" applyAlignment="1">
      <alignment horizontal="center" vertical="center" wrapText="1"/>
    </xf>
    <xf numFmtId="0" fontId="18" fillId="0" borderId="172" xfId="0" applyFont="1" applyBorder="1" applyAlignment="1">
      <alignment horizontal="center" vertical="center" wrapText="1"/>
    </xf>
    <xf numFmtId="0" fontId="18" fillId="0" borderId="172" xfId="0" applyFont="1" applyBorder="1" applyAlignment="1">
      <alignment horizontal="left" vertical="center" shrinkToFit="1"/>
    </xf>
    <xf numFmtId="0" fontId="18" fillId="0" borderId="173" xfId="0" applyFont="1" applyBorder="1" applyAlignment="1">
      <alignment horizontal="left" vertical="center" shrinkToFit="1"/>
    </xf>
    <xf numFmtId="0" fontId="18" fillId="0" borderId="23" xfId="0" applyFont="1" applyBorder="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0" xfId="0" applyFont="1" applyBorder="1" applyAlignment="1">
      <alignment horizontal="left" vertical="center" wrapText="1"/>
    </xf>
    <xf numFmtId="0" fontId="18" fillId="0" borderId="12" xfId="0" applyFont="1" applyBorder="1" applyAlignment="1">
      <alignment horizontal="distributed" vertical="center"/>
    </xf>
    <xf numFmtId="0" fontId="70" fillId="0" borderId="0" xfId="0" applyFont="1" applyAlignment="1">
      <alignment horizontal="center" vertical="top"/>
    </xf>
    <xf numFmtId="0" fontId="82" fillId="0" borderId="63" xfId="0" applyFont="1" applyBorder="1" applyAlignment="1">
      <alignment horizontal="center" vertical="center" wrapText="1"/>
    </xf>
    <xf numFmtId="0" fontId="82" fillId="0" borderId="130" xfId="0" applyFont="1" applyBorder="1" applyAlignment="1">
      <alignment horizontal="center" vertical="center" wrapText="1"/>
    </xf>
    <xf numFmtId="0" fontId="82" fillId="0" borderId="10" xfId="0" applyFont="1" applyBorder="1" applyAlignment="1">
      <alignment horizontal="center" vertical="center" wrapText="1"/>
    </xf>
    <xf numFmtId="0" fontId="82" fillId="0" borderId="211" xfId="0" applyFont="1" applyBorder="1" applyAlignment="1">
      <alignment horizontal="center" vertical="center" wrapText="1"/>
    </xf>
    <xf numFmtId="0" fontId="82" fillId="0" borderId="172" xfId="0" applyFont="1" applyBorder="1" applyAlignment="1">
      <alignment horizontal="center" vertical="center" wrapText="1"/>
    </xf>
    <xf numFmtId="0" fontId="82" fillId="0" borderId="23" xfId="0" applyFont="1" applyBorder="1" applyAlignment="1">
      <alignment horizontal="center" vertical="center" wrapText="1"/>
    </xf>
    <xf numFmtId="0" fontId="82"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7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8" xfId="0" applyFont="1" applyBorder="1" applyAlignment="1">
      <alignment horizontal="center" vertical="center" wrapText="1"/>
    </xf>
    <xf numFmtId="49" fontId="18" fillId="0" borderId="0" xfId="0" applyNumberFormat="1" applyFont="1" applyAlignment="1">
      <alignment horizontal="left" vertical="top" wrapText="1"/>
    </xf>
    <xf numFmtId="0" fontId="82" fillId="0" borderId="84" xfId="0" applyFont="1" applyBorder="1" applyAlignment="1">
      <alignment horizontal="center" vertical="center" wrapText="1"/>
    </xf>
    <xf numFmtId="0" fontId="18" fillId="0" borderId="52"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82" fillId="0" borderId="85" xfId="0" applyFont="1" applyBorder="1" applyAlignment="1">
      <alignment horizontal="center" vertical="center" wrapText="1"/>
    </xf>
    <xf numFmtId="0" fontId="82" fillId="0" borderId="86" xfId="0" applyFont="1" applyBorder="1" applyAlignment="1">
      <alignment horizontal="center" vertical="center" wrapText="1"/>
    </xf>
    <xf numFmtId="0" fontId="18" fillId="0" borderId="70" xfId="0" applyFont="1" applyBorder="1" applyAlignment="1">
      <alignment horizontal="left" vertical="center"/>
    </xf>
    <xf numFmtId="0" fontId="18" fillId="0" borderId="68" xfId="0" applyFont="1" applyBorder="1" applyAlignment="1">
      <alignment horizontal="left" vertical="center"/>
    </xf>
    <xf numFmtId="0" fontId="18" fillId="0" borderId="69" xfId="0" applyFont="1" applyBorder="1" applyAlignment="1">
      <alignment horizontal="left" vertical="center"/>
    </xf>
    <xf numFmtId="0" fontId="18" fillId="0" borderId="85" xfId="0" applyFont="1" applyBorder="1" applyAlignment="1">
      <alignment horizontal="left" vertical="center"/>
    </xf>
    <xf numFmtId="0" fontId="82" fillId="0" borderId="88" xfId="0" applyFont="1" applyBorder="1" applyAlignment="1">
      <alignment horizontal="distributed" vertical="center" wrapText="1"/>
    </xf>
    <xf numFmtId="0" fontId="82" fillId="0" borderId="89" xfId="0" applyFont="1" applyBorder="1" applyAlignment="1">
      <alignment horizontal="distributed" vertical="center" wrapText="1"/>
    </xf>
    <xf numFmtId="0" fontId="82" fillId="0" borderId="68" xfId="0" applyFont="1" applyBorder="1" applyAlignment="1">
      <alignment horizontal="distributed" vertical="center" wrapText="1"/>
    </xf>
    <xf numFmtId="0" fontId="82" fillId="0" borderId="69" xfId="0" applyFont="1" applyBorder="1" applyAlignment="1">
      <alignment horizontal="distributed" vertical="center" wrapText="1"/>
    </xf>
    <xf numFmtId="0" fontId="18" fillId="0" borderId="86" xfId="0" applyFont="1" applyBorder="1" applyAlignment="1">
      <alignment horizontal="left" vertical="center"/>
    </xf>
    <xf numFmtId="20" fontId="18" fillId="0" borderId="14" xfId="0" applyNumberFormat="1" applyFont="1" applyBorder="1" applyAlignment="1">
      <alignment horizontal="center" vertical="center"/>
    </xf>
    <xf numFmtId="20" fontId="18" fillId="0" borderId="15" xfId="0" applyNumberFormat="1" applyFont="1" applyBorder="1" applyAlignment="1">
      <alignment horizontal="center" vertical="center"/>
    </xf>
    <xf numFmtId="20" fontId="18" fillId="0" borderId="16" xfId="0" applyNumberFormat="1" applyFont="1" applyBorder="1" applyAlignment="1">
      <alignment horizontal="center" vertical="center"/>
    </xf>
    <xf numFmtId="0" fontId="18" fillId="0" borderId="21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84" xfId="0" applyFont="1" applyBorder="1" applyAlignment="1">
      <alignment horizontal="left" vertical="center"/>
    </xf>
    <xf numFmtId="0" fontId="18" fillId="0" borderId="93" xfId="0" applyFont="1" applyBorder="1" applyAlignment="1">
      <alignment horizontal="left" vertical="center" wrapText="1"/>
    </xf>
    <xf numFmtId="0" fontId="18" fillId="0" borderId="93" xfId="0" applyFont="1" applyBorder="1" applyAlignment="1">
      <alignment horizontal="left" vertical="center" shrinkToFit="1"/>
    </xf>
    <xf numFmtId="0" fontId="18" fillId="0" borderId="87" xfId="0" applyFont="1" applyBorder="1" applyAlignment="1">
      <alignment horizontal="left" vertical="center"/>
    </xf>
    <xf numFmtId="0" fontId="18" fillId="0" borderId="88" xfId="0" applyFont="1" applyBorder="1" applyAlignment="1">
      <alignment horizontal="left" vertical="center"/>
    </xf>
    <xf numFmtId="0" fontId="18" fillId="0" borderId="89" xfId="0" applyFont="1" applyBorder="1" applyAlignment="1">
      <alignment horizontal="left" vertical="center"/>
    </xf>
    <xf numFmtId="0" fontId="18" fillId="0" borderId="175" xfId="0" applyFont="1" applyBorder="1" applyAlignment="1">
      <alignment horizontal="left" vertical="center"/>
    </xf>
    <xf numFmtId="0" fontId="18" fillId="0" borderId="175" xfId="0" applyFont="1" applyBorder="1" applyAlignment="1">
      <alignment horizontal="center" vertical="center"/>
    </xf>
    <xf numFmtId="0" fontId="159" fillId="0" borderId="0" xfId="0" applyFont="1" applyAlignment="1">
      <alignment horizontal="left" vertical="top" wrapText="1"/>
    </xf>
    <xf numFmtId="0" fontId="159" fillId="0" borderId="0" xfId="0" applyFont="1" applyAlignment="1">
      <alignment horizontal="left" vertical="top"/>
    </xf>
    <xf numFmtId="49" fontId="159" fillId="0" borderId="0" xfId="0" applyNumberFormat="1" applyFont="1" applyAlignment="1">
      <alignment horizontal="left" vertical="top" wrapText="1"/>
    </xf>
    <xf numFmtId="0" fontId="18" fillId="0" borderId="0" xfId="0" applyFont="1" applyAlignment="1">
      <alignment horizontal="left" vertical="center"/>
    </xf>
    <xf numFmtId="0" fontId="18" fillId="0" borderId="24" xfId="0" applyFont="1" applyBorder="1" applyAlignment="1">
      <alignment horizontal="left" vertical="center"/>
    </xf>
    <xf numFmtId="0" fontId="82" fillId="0" borderId="131" xfId="0" applyFont="1" applyBorder="1" applyAlignment="1">
      <alignment horizontal="center" vertical="center" shrinkToFit="1"/>
    </xf>
    <xf numFmtId="0" fontId="82" fillId="0" borderId="107" xfId="0" applyFont="1" applyBorder="1" applyAlignment="1">
      <alignment horizontal="center" vertical="center" shrinkToFit="1"/>
    </xf>
    <xf numFmtId="0" fontId="82" fillId="0" borderId="23" xfId="0" applyFont="1" applyBorder="1" applyAlignment="1">
      <alignment horizontal="center" vertical="center" shrinkToFit="1"/>
    </xf>
    <xf numFmtId="0" fontId="82" fillId="0" borderId="0" xfId="0" applyFont="1" applyAlignment="1">
      <alignment horizontal="center" vertical="center" shrinkToFit="1"/>
    </xf>
    <xf numFmtId="0" fontId="82" fillId="0" borderId="11" xfId="0" applyFont="1" applyBorder="1" applyAlignment="1">
      <alignment horizontal="center" vertical="center" shrinkToFit="1"/>
    </xf>
    <xf numFmtId="0" fontId="82" fillId="0" borderId="12" xfId="0" applyFont="1" applyBorder="1" applyAlignment="1">
      <alignment horizontal="center" vertical="center" shrinkToFit="1"/>
    </xf>
    <xf numFmtId="0" fontId="18" fillId="0" borderId="12" xfId="0" applyFont="1" applyBorder="1" applyAlignment="1">
      <alignment horizontal="center" vertical="top"/>
    </xf>
    <xf numFmtId="0" fontId="18" fillId="0" borderId="211" xfId="0" applyFont="1" applyBorder="1" applyAlignment="1">
      <alignment horizontal="center" vertical="top"/>
    </xf>
    <xf numFmtId="0" fontId="18" fillId="0" borderId="23" xfId="0" applyFont="1" applyBorder="1" applyAlignment="1">
      <alignment horizontal="center" vertical="top"/>
    </xf>
    <xf numFmtId="0" fontId="18" fillId="0" borderId="11" xfId="0" applyFont="1" applyBorder="1" applyAlignment="1">
      <alignment horizontal="center" vertical="top"/>
    </xf>
    <xf numFmtId="49" fontId="17" fillId="0" borderId="0" xfId="0" applyNumberFormat="1" applyFont="1" applyAlignment="1">
      <alignment horizontal="left" vertical="top"/>
    </xf>
    <xf numFmtId="0" fontId="17" fillId="0" borderId="0" xfId="0" applyFont="1" applyAlignment="1">
      <alignment vertical="top" wrapText="1"/>
    </xf>
    <xf numFmtId="0" fontId="17" fillId="0" borderId="0" xfId="0" applyFont="1" applyAlignment="1">
      <alignment horizontal="left" vertical="top"/>
    </xf>
    <xf numFmtId="0" fontId="70" fillId="0" borderId="0" xfId="0" applyFont="1" applyAlignment="1">
      <alignment horizontal="center" vertical="center"/>
    </xf>
    <xf numFmtId="0" fontId="70" fillId="0" borderId="30" xfId="0" applyFont="1" applyBorder="1" applyAlignment="1">
      <alignment horizontal="center" vertical="center"/>
    </xf>
    <xf numFmtId="0" fontId="70" fillId="0" borderId="36" xfId="0" applyFont="1" applyBorder="1" applyAlignment="1">
      <alignment horizontal="center" vertical="center"/>
    </xf>
    <xf numFmtId="0" fontId="18" fillId="37" borderId="211" xfId="0" applyFont="1" applyFill="1" applyBorder="1" applyAlignment="1">
      <alignment horizontal="center" vertical="center" wrapText="1"/>
    </xf>
    <xf numFmtId="0" fontId="18" fillId="37" borderId="172" xfId="0" applyFont="1" applyFill="1" applyBorder="1" applyAlignment="1">
      <alignment horizontal="center" vertical="center" wrapText="1"/>
    </xf>
    <xf numFmtId="0" fontId="18" fillId="37" borderId="173" xfId="0" applyFont="1" applyFill="1" applyBorder="1" applyAlignment="1">
      <alignment horizontal="center" vertical="center" wrapText="1"/>
    </xf>
    <xf numFmtId="0" fontId="18" fillId="37" borderId="23" xfId="0" applyFont="1" applyFill="1" applyBorder="1" applyAlignment="1">
      <alignment horizontal="center" vertical="center" wrapText="1"/>
    </xf>
    <xf numFmtId="0" fontId="18" fillId="37" borderId="0" xfId="0" applyFont="1" applyFill="1" applyAlignment="1">
      <alignment horizontal="center" vertical="center" wrapText="1"/>
    </xf>
    <xf numFmtId="0" fontId="18" fillId="37" borderId="24"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18" fillId="37" borderId="12" xfId="0" applyFont="1" applyFill="1" applyBorder="1" applyAlignment="1">
      <alignment horizontal="center" vertical="center" wrapText="1"/>
    </xf>
    <xf numFmtId="0" fontId="18" fillId="37" borderId="18" xfId="0" applyFont="1" applyFill="1" applyBorder="1" applyAlignment="1">
      <alignment horizontal="center" vertical="center" wrapText="1"/>
    </xf>
    <xf numFmtId="0" fontId="18" fillId="37" borderId="211" xfId="0" applyFont="1" applyFill="1" applyBorder="1" applyAlignment="1">
      <alignment horizontal="center" vertical="center"/>
    </xf>
    <xf numFmtId="0" fontId="18" fillId="37" borderId="172" xfId="0" applyFont="1" applyFill="1" applyBorder="1" applyAlignment="1">
      <alignment horizontal="center" vertical="center"/>
    </xf>
    <xf numFmtId="0" fontId="18" fillId="37" borderId="173" xfId="0" applyFont="1" applyFill="1" applyBorder="1" applyAlignment="1">
      <alignment horizontal="center" vertical="center"/>
    </xf>
    <xf numFmtId="0" fontId="18" fillId="37" borderId="11" xfId="0" applyFont="1" applyFill="1" applyBorder="1" applyAlignment="1">
      <alignment horizontal="center" vertical="center"/>
    </xf>
    <xf numFmtId="0" fontId="18" fillId="37" borderId="12" xfId="0" applyFont="1" applyFill="1" applyBorder="1" applyAlignment="1">
      <alignment horizontal="center" vertical="center"/>
    </xf>
    <xf numFmtId="0" fontId="18" fillId="37" borderId="18" xfId="0" applyFont="1" applyFill="1" applyBorder="1" applyAlignment="1">
      <alignment horizontal="center" vertical="center"/>
    </xf>
    <xf numFmtId="0" fontId="18" fillId="37" borderId="131" xfId="0" applyFont="1" applyFill="1" applyBorder="1" applyAlignment="1">
      <alignment horizontal="center" vertical="center" shrinkToFit="1"/>
    </xf>
    <xf numFmtId="0" fontId="18" fillId="37" borderId="107" xfId="0" applyFont="1" applyFill="1" applyBorder="1" applyAlignment="1">
      <alignment horizontal="center" vertical="center" shrinkToFit="1"/>
    </xf>
    <xf numFmtId="0" fontId="18" fillId="37" borderId="132" xfId="0" applyFont="1" applyFill="1" applyBorder="1" applyAlignment="1">
      <alignment horizontal="center" vertical="center" shrinkToFit="1"/>
    </xf>
    <xf numFmtId="0" fontId="18" fillId="37" borderId="11" xfId="0" applyFont="1" applyFill="1" applyBorder="1" applyAlignment="1">
      <alignment horizontal="center" vertical="center" shrinkToFit="1"/>
    </xf>
    <xf numFmtId="0" fontId="18" fillId="37" borderId="12" xfId="0" applyFont="1" applyFill="1" applyBorder="1" applyAlignment="1">
      <alignment horizontal="center" vertical="center" shrinkToFit="1"/>
    </xf>
    <xf numFmtId="0" fontId="18" fillId="37" borderId="18" xfId="0" applyFont="1" applyFill="1" applyBorder="1" applyAlignment="1">
      <alignment horizontal="center" vertical="center" shrinkToFit="1"/>
    </xf>
    <xf numFmtId="0" fontId="38" fillId="0" borderId="0" xfId="0" applyFont="1" applyAlignment="1">
      <alignment horizontal="center" vertical="top"/>
    </xf>
    <xf numFmtId="0" fontId="18" fillId="37" borderId="0" xfId="0" applyFont="1" applyFill="1" applyAlignment="1">
      <alignment horizontal="right" vertical="center"/>
    </xf>
    <xf numFmtId="0" fontId="18" fillId="37" borderId="12" xfId="0" applyFont="1" applyFill="1" applyBorder="1" applyAlignment="1">
      <alignment horizontal="right" vertical="center"/>
    </xf>
    <xf numFmtId="0" fontId="82" fillId="37" borderId="211" xfId="0" applyFont="1" applyFill="1" applyBorder="1" applyAlignment="1">
      <alignment horizontal="center" vertical="center" wrapText="1" shrinkToFit="1"/>
    </xf>
    <xf numFmtId="0" fontId="82" fillId="37" borderId="172" xfId="0" applyFont="1" applyFill="1" applyBorder="1" applyAlignment="1">
      <alignment horizontal="center" vertical="center" shrinkToFit="1"/>
    </xf>
    <xf numFmtId="0" fontId="82" fillId="37" borderId="173" xfId="0" applyFont="1" applyFill="1" applyBorder="1" applyAlignment="1">
      <alignment horizontal="center" vertical="center" shrinkToFit="1"/>
    </xf>
    <xf numFmtId="0" fontId="82" fillId="37" borderId="23" xfId="0" applyFont="1" applyFill="1" applyBorder="1" applyAlignment="1">
      <alignment horizontal="center" vertical="center" shrinkToFit="1"/>
    </xf>
    <xf numFmtId="0" fontId="82" fillId="37" borderId="0" xfId="0" applyFont="1" applyFill="1" applyAlignment="1">
      <alignment horizontal="center" vertical="center" shrinkToFit="1"/>
    </xf>
    <xf numFmtId="0" fontId="82" fillId="37" borderId="24" xfId="0" applyFont="1" applyFill="1" applyBorder="1" applyAlignment="1">
      <alignment horizontal="center" vertical="center" shrinkToFit="1"/>
    </xf>
    <xf numFmtId="0" fontId="82" fillId="37" borderId="11" xfId="0" applyFont="1" applyFill="1" applyBorder="1" applyAlignment="1">
      <alignment horizontal="center" vertical="center" shrinkToFit="1"/>
    </xf>
    <xf numFmtId="0" fontId="82" fillId="37" borderId="12" xfId="0" applyFont="1" applyFill="1" applyBorder="1" applyAlignment="1">
      <alignment horizontal="center" vertical="center" shrinkToFit="1"/>
    </xf>
    <xf numFmtId="0" fontId="82" fillId="37" borderId="18" xfId="0" applyFont="1" applyFill="1" applyBorder="1" applyAlignment="1">
      <alignment horizontal="center" vertical="center" shrinkToFit="1"/>
    </xf>
    <xf numFmtId="0" fontId="82" fillId="37" borderId="23" xfId="0" applyFont="1" applyFill="1" applyBorder="1" applyAlignment="1">
      <alignment horizontal="center" vertical="center" wrapText="1" shrinkToFit="1"/>
    </xf>
    <xf numFmtId="0" fontId="82" fillId="37" borderId="11" xfId="0" applyFont="1" applyFill="1" applyBorder="1" applyAlignment="1">
      <alignment horizontal="center" vertical="center" wrapText="1" shrinkToFit="1"/>
    </xf>
    <xf numFmtId="0" fontId="18" fillId="37" borderId="172" xfId="0" applyFont="1" applyFill="1" applyBorder="1" applyAlignment="1">
      <alignment horizontal="right" vertical="center"/>
    </xf>
    <xf numFmtId="0" fontId="18" fillId="37" borderId="84" xfId="0" applyFont="1" applyFill="1" applyBorder="1" applyAlignment="1">
      <alignment horizontal="center" vertical="center" wrapText="1"/>
    </xf>
    <xf numFmtId="0" fontId="18" fillId="37" borderId="52" xfId="0" applyFont="1" applyFill="1" applyBorder="1" applyAlignment="1">
      <alignment horizontal="center" vertical="center" wrapText="1"/>
    </xf>
    <xf numFmtId="0" fontId="18" fillId="37" borderId="58" xfId="0" applyFont="1" applyFill="1" applyBorder="1" applyAlignment="1">
      <alignment horizontal="center" vertical="center" wrapText="1"/>
    </xf>
    <xf numFmtId="0" fontId="18" fillId="37" borderId="59" xfId="0" applyFont="1" applyFill="1" applyBorder="1" applyAlignment="1">
      <alignment horizontal="center" vertical="center" wrapText="1"/>
    </xf>
    <xf numFmtId="0" fontId="82" fillId="0" borderId="211" xfId="0" applyFont="1" applyBorder="1" applyAlignment="1">
      <alignment horizontal="center" vertical="center" shrinkToFit="1"/>
    </xf>
    <xf numFmtId="0" fontId="82" fillId="0" borderId="172" xfId="0" applyFont="1" applyBorder="1" applyAlignment="1">
      <alignment horizontal="center" vertical="center" shrinkToFit="1"/>
    </xf>
    <xf numFmtId="0" fontId="82" fillId="0" borderId="173" xfId="0" applyFont="1" applyBorder="1" applyAlignment="1">
      <alignment horizontal="center" vertical="center" shrinkToFit="1"/>
    </xf>
    <xf numFmtId="0" fontId="82" fillId="0" borderId="18" xfId="0" applyFont="1" applyBorder="1" applyAlignment="1">
      <alignment horizontal="center" vertical="center" shrinkToFit="1"/>
    </xf>
    <xf numFmtId="0" fontId="18" fillId="0" borderId="211" xfId="0" applyFont="1" applyBorder="1" applyAlignment="1">
      <alignment horizontal="center" vertical="center"/>
    </xf>
    <xf numFmtId="0" fontId="18" fillId="0" borderId="172" xfId="0" applyFont="1" applyBorder="1" applyAlignment="1">
      <alignment horizontal="center" vertical="center"/>
    </xf>
    <xf numFmtId="0" fontId="18" fillId="0" borderId="173"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82" fillId="37" borderId="211" xfId="0" applyFont="1" applyFill="1" applyBorder="1" applyAlignment="1">
      <alignment horizontal="center" vertical="center" shrinkToFit="1"/>
    </xf>
    <xf numFmtId="0" fontId="82" fillId="37" borderId="172" xfId="0" applyFont="1" applyFill="1" applyBorder="1" applyAlignment="1">
      <alignment horizontal="center" vertical="center" wrapText="1" shrinkToFit="1"/>
    </xf>
    <xf numFmtId="0" fontId="82" fillId="37" borderId="173" xfId="0" applyFont="1" applyFill="1" applyBorder="1" applyAlignment="1">
      <alignment horizontal="center" vertical="center" wrapText="1" shrinkToFit="1"/>
    </xf>
    <xf numFmtId="0" fontId="82" fillId="37" borderId="0" xfId="0" applyFont="1" applyFill="1" applyAlignment="1">
      <alignment horizontal="center" vertical="center" wrapText="1" shrinkToFit="1"/>
    </xf>
    <xf numFmtId="0" fontId="82" fillId="37" borderId="24" xfId="0" applyFont="1" applyFill="1" applyBorder="1" applyAlignment="1">
      <alignment horizontal="center" vertical="center" wrapText="1" shrinkToFit="1"/>
    </xf>
    <xf numFmtId="0" fontId="82" fillId="37" borderId="12" xfId="0" applyFont="1" applyFill="1" applyBorder="1" applyAlignment="1">
      <alignment horizontal="center" vertical="center" wrapText="1" shrinkToFit="1"/>
    </xf>
    <xf numFmtId="0" fontId="82" fillId="37" borderId="18" xfId="0" applyFont="1" applyFill="1" applyBorder="1" applyAlignment="1">
      <alignment horizontal="center" vertical="center" wrapText="1" shrinkToFit="1"/>
    </xf>
    <xf numFmtId="0" fontId="18" fillId="37" borderId="211" xfId="0" applyFont="1" applyFill="1" applyBorder="1" applyAlignment="1">
      <alignment horizontal="center" wrapText="1"/>
    </xf>
    <xf numFmtId="0" fontId="18" fillId="37" borderId="172" xfId="0" applyFont="1" applyFill="1" applyBorder="1" applyAlignment="1">
      <alignment horizontal="center" wrapText="1"/>
    </xf>
    <xf numFmtId="0" fontId="18" fillId="37" borderId="173" xfId="0" applyFont="1" applyFill="1" applyBorder="1" applyAlignment="1">
      <alignment horizontal="center" wrapText="1"/>
    </xf>
    <xf numFmtId="0" fontId="18" fillId="37" borderId="23" xfId="0" applyFont="1" applyFill="1" applyBorder="1" applyAlignment="1">
      <alignment horizontal="center" wrapText="1"/>
    </xf>
    <xf numFmtId="0" fontId="18" fillId="37" borderId="0" xfId="0" applyFont="1" applyFill="1" applyAlignment="1">
      <alignment horizontal="center" wrapText="1"/>
    </xf>
    <xf numFmtId="0" fontId="18" fillId="37" borderId="24" xfId="0" applyFont="1" applyFill="1" applyBorder="1" applyAlignment="1">
      <alignment horizontal="center" wrapText="1"/>
    </xf>
    <xf numFmtId="0" fontId="18" fillId="37" borderId="0" xfId="0" applyFont="1" applyFill="1" applyAlignment="1">
      <alignment horizontal="center" vertical="center"/>
    </xf>
    <xf numFmtId="0" fontId="18" fillId="37" borderId="24" xfId="0" applyFont="1" applyFill="1" applyBorder="1" applyAlignment="1">
      <alignment horizontal="center" vertical="center"/>
    </xf>
    <xf numFmtId="0" fontId="18" fillId="37" borderId="23" xfId="0" applyFont="1" applyFill="1" applyBorder="1" applyAlignment="1">
      <alignment horizontal="center" vertical="center"/>
    </xf>
    <xf numFmtId="0" fontId="18" fillId="0" borderId="211" xfId="0" applyFont="1" applyBorder="1" applyAlignment="1">
      <alignment horizontal="center" vertical="top" wrapText="1"/>
    </xf>
    <xf numFmtId="0" fontId="18" fillId="0" borderId="172" xfId="0" applyFont="1" applyBorder="1" applyAlignment="1">
      <alignment horizontal="center" vertical="top" wrapText="1"/>
    </xf>
    <xf numFmtId="0" fontId="18" fillId="0" borderId="173" xfId="0" applyFont="1" applyBorder="1" applyAlignment="1">
      <alignment horizontal="center" vertical="top" wrapText="1"/>
    </xf>
    <xf numFmtId="0" fontId="18" fillId="0" borderId="23" xfId="0" applyFont="1" applyBorder="1" applyAlignment="1">
      <alignment horizontal="center" vertical="top" wrapText="1"/>
    </xf>
    <xf numFmtId="0" fontId="18" fillId="0" borderId="0" xfId="0" applyFont="1" applyAlignment="1">
      <alignment horizontal="center" vertical="top" wrapText="1"/>
    </xf>
    <xf numFmtId="0" fontId="18" fillId="0" borderId="24" xfId="0" applyFont="1" applyBorder="1" applyAlignment="1">
      <alignment horizontal="center" vertical="top"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18" fillId="0" borderId="18" xfId="0" applyFont="1" applyBorder="1" applyAlignment="1">
      <alignment horizontal="center" vertical="top" wrapText="1"/>
    </xf>
    <xf numFmtId="0" fontId="18" fillId="0" borderId="88" xfId="0" applyFont="1" applyBorder="1" applyAlignment="1">
      <alignment horizontal="left" vertical="center" shrinkToFit="1"/>
    </xf>
    <xf numFmtId="0" fontId="66" fillId="0" borderId="0" xfId="43" applyFont="1" applyAlignment="1">
      <alignment horizontal="left" vertical="top" wrapText="1"/>
    </xf>
    <xf numFmtId="0" fontId="39" fillId="0" borderId="93" xfId="0" applyFont="1" applyBorder="1" applyAlignment="1">
      <alignment horizontal="left" vertical="top" shrinkToFit="1"/>
    </xf>
    <xf numFmtId="0" fontId="39" fillId="0" borderId="88" xfId="0" applyFont="1" applyBorder="1" applyAlignment="1">
      <alignment horizontal="left" vertical="top" shrinkToFit="1"/>
    </xf>
    <xf numFmtId="0" fontId="39" fillId="0" borderId="88" xfId="0" applyFont="1" applyBorder="1" applyAlignment="1">
      <alignment horizontal="left" vertical="top" wrapText="1"/>
    </xf>
    <xf numFmtId="0" fontId="39" fillId="0" borderId="93" xfId="0" applyFont="1" applyBorder="1" applyAlignment="1">
      <alignment horizontal="left" vertical="top" wrapText="1"/>
    </xf>
    <xf numFmtId="0" fontId="58" fillId="0" borderId="0" xfId="48" applyFont="1" applyAlignment="1">
      <alignment horizontal="center" vertical="top"/>
    </xf>
    <xf numFmtId="0" fontId="83" fillId="0" borderId="0" xfId="48" applyFont="1" applyAlignment="1">
      <alignment horizontal="left" vertical="top" wrapText="1"/>
    </xf>
    <xf numFmtId="0" fontId="83" fillId="0" borderId="0" xfId="48" applyFont="1" applyAlignment="1">
      <alignment horizontal="center" vertical="top"/>
    </xf>
    <xf numFmtId="49" fontId="83" fillId="0" borderId="0" xfId="48" applyNumberFormat="1" applyFont="1" applyAlignment="1">
      <alignment horizontal="left" vertical="top" wrapText="1"/>
    </xf>
    <xf numFmtId="0" fontId="17" fillId="0" borderId="87" xfId="44" applyFont="1" applyBorder="1" applyAlignment="1" applyProtection="1">
      <alignment horizontal="left" vertical="center" shrinkToFit="1"/>
      <protection locked="0"/>
    </xf>
    <xf numFmtId="0" fontId="17" fillId="0" borderId="88" xfId="44" applyFont="1" applyBorder="1" applyAlignment="1" applyProtection="1">
      <alignment horizontal="left" vertical="center" shrinkToFit="1"/>
      <protection locked="0"/>
    </xf>
    <xf numFmtId="0" fontId="17" fillId="0" borderId="89" xfId="44" applyFont="1" applyBorder="1" applyAlignment="1" applyProtection="1">
      <alignment horizontal="left" vertical="center" shrinkToFit="1"/>
      <protection locked="0"/>
    </xf>
    <xf numFmtId="0" fontId="17" fillId="0" borderId="70" xfId="44" applyFont="1" applyBorder="1" applyAlignment="1" applyProtection="1">
      <alignment horizontal="left" vertical="center" shrinkToFit="1"/>
      <protection locked="0"/>
    </xf>
    <xf numFmtId="0" fontId="17" fillId="0" borderId="68" xfId="44" applyFont="1" applyBorder="1" applyAlignment="1" applyProtection="1">
      <alignment horizontal="left" vertical="center" shrinkToFit="1"/>
      <protection locked="0"/>
    </xf>
    <xf numFmtId="0" fontId="17" fillId="0" borderId="69" xfId="44" applyFont="1" applyBorder="1" applyAlignment="1" applyProtection="1">
      <alignment horizontal="left" vertical="center" shrinkToFit="1"/>
      <protection locked="0"/>
    </xf>
    <xf numFmtId="0" fontId="17" fillId="0" borderId="172" xfId="44" applyFont="1" applyBorder="1" applyAlignment="1">
      <alignment horizontal="center" vertical="center" shrinkToFit="1"/>
    </xf>
    <xf numFmtId="0" fontId="17" fillId="0" borderId="173" xfId="44" applyFont="1" applyBorder="1" applyAlignment="1">
      <alignment horizontal="center" vertical="center" shrinkToFit="1"/>
    </xf>
    <xf numFmtId="0" fontId="17" fillId="0" borderId="0" xfId="44" applyFont="1" applyAlignment="1">
      <alignment horizontal="center" vertical="center" shrinkToFit="1"/>
    </xf>
    <xf numFmtId="0" fontId="17" fillId="0" borderId="24" xfId="44" applyFont="1" applyBorder="1" applyAlignment="1">
      <alignment horizontal="center" vertical="center" shrinkToFit="1"/>
    </xf>
    <xf numFmtId="0" fontId="17" fillId="0" borderId="50" xfId="44" applyFont="1" applyBorder="1" applyAlignment="1">
      <alignment horizontal="center" vertical="center"/>
    </xf>
    <xf numFmtId="0" fontId="17" fillId="0" borderId="10" xfId="44" applyFont="1" applyBorder="1" applyAlignment="1">
      <alignment horizontal="center" vertical="center"/>
    </xf>
    <xf numFmtId="0" fontId="17" fillId="0" borderId="87" xfId="44" applyFont="1" applyBorder="1" applyAlignment="1" applyProtection="1">
      <alignment horizontal="center" vertical="center"/>
      <protection locked="0"/>
    </xf>
    <xf numFmtId="0" fontId="17" fillId="0" borderId="88" xfId="44" applyFont="1" applyBorder="1" applyAlignment="1" applyProtection="1">
      <alignment horizontal="center" vertical="center"/>
      <protection locked="0"/>
    </xf>
    <xf numFmtId="0" fontId="17" fillId="0" borderId="89" xfId="44" applyFont="1" applyBorder="1" applyAlignment="1" applyProtection="1">
      <alignment horizontal="center" vertical="center"/>
      <protection locked="0"/>
    </xf>
    <xf numFmtId="0" fontId="17" fillId="0" borderId="85" xfId="44" applyFont="1" applyBorder="1" applyAlignment="1" applyProtection="1">
      <alignment horizontal="center" vertical="center"/>
      <protection locked="0"/>
    </xf>
    <xf numFmtId="0" fontId="70" fillId="0" borderId="0" xfId="44" applyFont="1" applyAlignment="1">
      <alignment horizontal="distributed" shrinkToFit="1"/>
    </xf>
    <xf numFmtId="0" fontId="17" fillId="0" borderId="217" xfId="44" applyFont="1" applyBorder="1" applyAlignment="1" applyProtection="1">
      <alignment horizontal="center" vertical="center"/>
      <protection locked="0"/>
    </xf>
    <xf numFmtId="0" fontId="17" fillId="0" borderId="218" xfId="44" applyFont="1" applyBorder="1" applyAlignment="1" applyProtection="1">
      <alignment horizontal="center" vertical="center"/>
      <protection locked="0"/>
    </xf>
    <xf numFmtId="0" fontId="17" fillId="0" borderId="179" xfId="44" applyFont="1" applyBorder="1" applyAlignment="1" applyProtection="1">
      <alignment horizontal="center" vertical="center"/>
      <protection locked="0"/>
    </xf>
    <xf numFmtId="0" fontId="17" fillId="0" borderId="180" xfId="44" applyFont="1" applyBorder="1" applyAlignment="1" applyProtection="1">
      <alignment horizontal="center" vertical="center"/>
      <protection locked="0"/>
    </xf>
    <xf numFmtId="0" fontId="17" fillId="0" borderId="74" xfId="44" applyFont="1" applyBorder="1" applyAlignment="1" applyProtection="1">
      <alignment horizontal="center" vertical="center"/>
      <protection locked="0"/>
    </xf>
    <xf numFmtId="0" fontId="17" fillId="0" borderId="75" xfId="44" applyFont="1" applyBorder="1" applyAlignment="1" applyProtection="1">
      <alignment horizontal="center" vertical="center"/>
      <protection locked="0"/>
    </xf>
    <xf numFmtId="0" fontId="17" fillId="35" borderId="10" xfId="44" applyFont="1" applyFill="1" applyBorder="1" applyAlignment="1">
      <alignment horizontal="center" vertical="center"/>
    </xf>
    <xf numFmtId="0" fontId="37" fillId="0" borderId="0" xfId="44" applyFont="1" applyAlignment="1">
      <alignment horizontal="center" shrinkToFit="1"/>
    </xf>
    <xf numFmtId="0" fontId="37" fillId="0" borderId="12" xfId="44" applyFont="1" applyBorder="1" applyAlignment="1">
      <alignment horizontal="center" shrinkToFit="1"/>
    </xf>
    <xf numFmtId="0" fontId="17" fillId="0" borderId="0" xfId="44" applyFont="1" applyAlignment="1">
      <alignment horizontal="center"/>
    </xf>
    <xf numFmtId="0" fontId="17" fillId="0" borderId="12" xfId="44" applyFont="1" applyBorder="1" applyAlignment="1">
      <alignment horizontal="center"/>
    </xf>
    <xf numFmtId="0" fontId="17" fillId="0" borderId="84" xfId="44" applyFont="1" applyBorder="1" applyAlignment="1">
      <alignment horizontal="center" vertical="center"/>
    </xf>
    <xf numFmtId="0" fontId="17" fillId="0" borderId="85" xfId="44" applyFont="1" applyBorder="1" applyAlignment="1">
      <alignment horizontal="center" vertical="center"/>
    </xf>
    <xf numFmtId="0" fontId="17" fillId="0" borderId="10" xfId="44" applyFont="1" applyBorder="1" applyAlignment="1">
      <alignment horizontal="center" vertical="center" wrapText="1"/>
    </xf>
    <xf numFmtId="0" fontId="17" fillId="0" borderId="10" xfId="44" applyFont="1" applyBorder="1" applyAlignment="1" applyProtection="1">
      <alignment horizontal="center" vertical="center"/>
      <protection locked="0"/>
    </xf>
    <xf numFmtId="0" fontId="17" fillId="35" borderId="221" xfId="44" applyFont="1" applyFill="1" applyBorder="1" applyAlignment="1">
      <alignment horizontal="center" vertical="center" textRotation="255" wrapText="1"/>
    </xf>
    <xf numFmtId="0" fontId="17" fillId="35" borderId="177" xfId="44" applyFont="1" applyFill="1" applyBorder="1" applyAlignment="1">
      <alignment horizontal="center" vertical="center" textRotation="255" wrapText="1"/>
    </xf>
    <xf numFmtId="0" fontId="17" fillId="35" borderId="178" xfId="44" applyFont="1" applyFill="1" applyBorder="1" applyAlignment="1">
      <alignment horizontal="center" vertical="center" textRotation="255" wrapText="1"/>
    </xf>
    <xf numFmtId="0" fontId="17" fillId="0" borderId="38" xfId="44" applyFont="1" applyBorder="1" applyAlignment="1">
      <alignment horizontal="center" vertical="center"/>
    </xf>
    <xf numFmtId="0" fontId="17" fillId="0" borderId="39" xfId="44" applyFont="1" applyBorder="1" applyAlignment="1">
      <alignment horizontal="center" vertical="center"/>
    </xf>
    <xf numFmtId="185" fontId="69" fillId="0" borderId="0" xfId="44" applyNumberFormat="1" applyFont="1" applyAlignment="1">
      <alignment horizontal="right" shrinkToFit="1"/>
    </xf>
    <xf numFmtId="185" fontId="69" fillId="0" borderId="12" xfId="44" applyNumberFormat="1" applyFont="1" applyBorder="1" applyAlignment="1">
      <alignment horizontal="right" shrinkToFit="1"/>
    </xf>
    <xf numFmtId="189" fontId="69" fillId="0" borderId="0" xfId="44" applyNumberFormat="1" applyFont="1" applyAlignment="1">
      <alignment horizontal="center" shrinkToFit="1"/>
    </xf>
    <xf numFmtId="189" fontId="69" fillId="0" borderId="12" xfId="44" applyNumberFormat="1" applyFont="1" applyBorder="1" applyAlignment="1">
      <alignment horizontal="center" shrinkToFit="1"/>
    </xf>
    <xf numFmtId="0" fontId="17" fillId="35" borderId="14" xfId="44" applyFont="1" applyFill="1" applyBorder="1" applyAlignment="1">
      <alignment horizontal="center" vertical="center"/>
    </xf>
    <xf numFmtId="0" fontId="17" fillId="35" borderId="15" xfId="44" applyFont="1" applyFill="1" applyBorder="1" applyAlignment="1">
      <alignment horizontal="center" vertical="center"/>
    </xf>
    <xf numFmtId="0" fontId="17" fillId="35" borderId="16" xfId="44" applyFont="1" applyFill="1" applyBorder="1" applyAlignment="1">
      <alignment horizontal="center" vertical="center"/>
    </xf>
    <xf numFmtId="20" fontId="17" fillId="0" borderId="84" xfId="44" applyNumberFormat="1" applyFont="1" applyBorder="1" applyAlignment="1" applyProtection="1">
      <alignment horizontal="center" vertical="center"/>
      <protection locked="0"/>
    </xf>
    <xf numFmtId="0" fontId="17" fillId="0" borderId="84" xfId="44" applyFont="1" applyBorder="1" applyAlignment="1" applyProtection="1">
      <alignment horizontal="center" vertical="center"/>
      <protection locked="0"/>
    </xf>
    <xf numFmtId="0" fontId="17" fillId="0" borderId="84" xfId="44" applyFont="1" applyBorder="1" applyAlignment="1" applyProtection="1">
      <alignment horizontal="center" vertical="center" shrinkToFit="1"/>
      <protection locked="0"/>
    </xf>
    <xf numFmtId="0" fontId="17" fillId="0" borderId="52" xfId="44" applyFont="1" applyBorder="1" applyAlignment="1" applyProtection="1">
      <alignment horizontal="left" vertical="center" shrinkToFit="1"/>
      <protection locked="0"/>
    </xf>
    <xf numFmtId="0" fontId="17" fillId="0" borderId="58" xfId="44" applyFont="1" applyBorder="1" applyAlignment="1" applyProtection="1">
      <alignment horizontal="left" vertical="center" shrinkToFit="1"/>
      <protection locked="0"/>
    </xf>
    <xf numFmtId="0" fontId="17" fillId="0" borderId="59" xfId="44" applyFont="1" applyBorder="1" applyAlignment="1" applyProtection="1">
      <alignment horizontal="left" vertical="center" shrinkToFit="1"/>
      <protection locked="0"/>
    </xf>
    <xf numFmtId="0" fontId="17" fillId="35" borderId="175" xfId="44" applyFont="1" applyFill="1" applyBorder="1" applyAlignment="1">
      <alignment horizontal="center" vertical="center" wrapText="1"/>
    </xf>
    <xf numFmtId="0" fontId="17" fillId="35" borderId="53" xfId="44" applyFont="1" applyFill="1" applyBorder="1" applyAlignment="1">
      <alignment horizontal="center" vertical="center" wrapText="1"/>
    </xf>
    <xf numFmtId="0" fontId="17" fillId="35" borderId="50" xfId="44" applyFont="1" applyFill="1" applyBorder="1" applyAlignment="1">
      <alignment horizontal="center" vertical="center" wrapText="1"/>
    </xf>
    <xf numFmtId="0" fontId="17" fillId="0" borderId="216" xfId="44" applyFont="1" applyBorder="1" applyAlignment="1" applyProtection="1">
      <alignment horizontal="center" vertical="center"/>
      <protection locked="0"/>
    </xf>
    <xf numFmtId="0" fontId="17" fillId="0" borderId="174" xfId="44" applyFont="1" applyBorder="1" applyAlignment="1" applyProtection="1">
      <alignment horizontal="center" vertical="center"/>
      <protection locked="0"/>
    </xf>
    <xf numFmtId="0" fontId="17" fillId="0" borderId="73" xfId="44" applyFont="1" applyBorder="1" applyAlignment="1" applyProtection="1">
      <alignment horizontal="center" vertical="center"/>
      <protection locked="0"/>
    </xf>
    <xf numFmtId="0" fontId="17" fillId="0" borderId="72" xfId="44" applyFont="1" applyBorder="1" applyAlignment="1">
      <alignment horizontal="center" vertical="center"/>
    </xf>
    <xf numFmtId="0" fontId="17" fillId="0" borderId="86" xfId="44" applyFont="1" applyBorder="1" applyAlignment="1">
      <alignment horizontal="center" vertical="center"/>
    </xf>
    <xf numFmtId="0" fontId="17" fillId="0" borderId="153" xfId="44" applyFont="1" applyBorder="1" applyAlignment="1">
      <alignment horizontal="center" vertical="center"/>
    </xf>
    <xf numFmtId="0" fontId="17" fillId="0" borderId="154" xfId="44" applyFont="1" applyBorder="1" applyAlignment="1">
      <alignment horizontal="center" vertical="center"/>
    </xf>
    <xf numFmtId="0" fontId="17" fillId="0" borderId="23" xfId="44" applyFont="1" applyBorder="1" applyAlignment="1">
      <alignment horizontal="center" vertical="center" textRotation="255"/>
    </xf>
    <xf numFmtId="0" fontId="17" fillId="0" borderId="0" xfId="44" applyFont="1" applyAlignment="1">
      <alignment horizontal="center" vertical="center" textRotation="255"/>
    </xf>
    <xf numFmtId="0" fontId="17" fillId="0" borderId="118" xfId="44" applyFont="1" applyBorder="1" applyAlignment="1">
      <alignment horizontal="center" vertical="center" textRotation="255"/>
    </xf>
    <xf numFmtId="0" fontId="17" fillId="0" borderId="24" xfId="44" applyFont="1" applyBorder="1" applyAlignment="1">
      <alignment horizontal="center" vertical="center" textRotation="255"/>
    </xf>
    <xf numFmtId="20" fontId="17" fillId="0" borderId="85" xfId="44" applyNumberFormat="1" applyFont="1" applyBorder="1" applyAlignment="1" applyProtection="1">
      <alignment horizontal="center" vertical="center"/>
      <protection locked="0"/>
    </xf>
    <xf numFmtId="0" fontId="17" fillId="0" borderId="85" xfId="44" applyFont="1" applyBorder="1" applyAlignment="1" applyProtection="1">
      <alignment horizontal="center" vertical="center" shrinkToFit="1"/>
      <protection locked="0"/>
    </xf>
    <xf numFmtId="20" fontId="17" fillId="0" borderId="87" xfId="44" applyNumberFormat="1" applyFont="1" applyBorder="1" applyAlignment="1" applyProtection="1">
      <alignment horizontal="center" vertical="center"/>
      <protection locked="0"/>
    </xf>
    <xf numFmtId="0" fontId="17" fillId="0" borderId="87" xfId="44" applyFont="1" applyBorder="1" applyAlignment="1" applyProtection="1">
      <alignment horizontal="center" vertical="center" shrinkToFit="1"/>
      <protection locked="0"/>
    </xf>
    <xf numFmtId="0" fontId="17" fillId="0" borderId="88" xfId="44" applyFont="1" applyBorder="1" applyAlignment="1" applyProtection="1">
      <alignment horizontal="center" vertical="center" shrinkToFit="1"/>
      <protection locked="0"/>
    </xf>
    <xf numFmtId="0" fontId="17" fillId="0" borderId="89" xfId="44" applyFont="1" applyBorder="1" applyAlignment="1" applyProtection="1">
      <alignment horizontal="center" vertical="center" shrinkToFit="1"/>
      <protection locked="0"/>
    </xf>
    <xf numFmtId="0" fontId="17" fillId="0" borderId="14" xfId="44" applyFont="1" applyBorder="1" applyAlignment="1">
      <alignment horizontal="center" vertical="center"/>
    </xf>
    <xf numFmtId="0" fontId="17" fillId="0" borderId="15" xfId="44" applyFont="1" applyBorder="1" applyAlignment="1" applyProtection="1">
      <alignment horizontal="center" vertical="center"/>
      <protection locked="0"/>
    </xf>
    <xf numFmtId="0" fontId="17" fillId="0" borderId="11" xfId="44" applyFont="1" applyBorder="1" applyAlignment="1" applyProtection="1">
      <alignment horizontal="center" vertical="top"/>
      <protection locked="0"/>
    </xf>
    <xf numFmtId="0" fontId="17" fillId="0" borderId="12" xfId="44" applyFont="1" applyBorder="1" applyAlignment="1" applyProtection="1">
      <alignment horizontal="center" vertical="top"/>
      <protection locked="0"/>
    </xf>
    <xf numFmtId="0" fontId="17" fillId="0" borderId="18" xfId="44" applyFont="1" applyBorder="1" applyAlignment="1" applyProtection="1">
      <alignment horizontal="center" vertical="top"/>
      <protection locked="0"/>
    </xf>
    <xf numFmtId="0" fontId="17" fillId="0" borderId="15" xfId="44" applyFont="1" applyBorder="1" applyAlignment="1">
      <alignment horizontal="center" vertical="center"/>
    </xf>
    <xf numFmtId="0" fontId="17" fillId="0" borderId="43" xfId="44" applyFont="1" applyBorder="1" applyAlignment="1">
      <alignment horizontal="center" vertical="center" shrinkToFit="1"/>
    </xf>
    <xf numFmtId="0" fontId="17" fillId="0" borderId="76" xfId="44" applyFont="1" applyBorder="1" applyAlignment="1">
      <alignment horizontal="center" vertical="center" shrinkToFit="1"/>
    </xf>
    <xf numFmtId="0" fontId="17" fillId="0" borderId="35" xfId="44" applyFont="1" applyBorder="1" applyAlignment="1">
      <alignment horizontal="center" vertical="center"/>
    </xf>
    <xf numFmtId="0" fontId="17" fillId="0" borderId="29" xfId="44" applyFont="1" applyBorder="1" applyAlignment="1">
      <alignment horizontal="center" vertical="center"/>
    </xf>
    <xf numFmtId="0" fontId="17" fillId="0" borderId="86" xfId="44" applyFont="1" applyBorder="1" applyAlignment="1" applyProtection="1">
      <alignment horizontal="center" vertical="center"/>
      <protection locked="0"/>
    </xf>
    <xf numFmtId="0" fontId="17" fillId="0" borderId="11" xfId="44" applyFont="1" applyBorder="1" applyAlignment="1" applyProtection="1">
      <alignment horizontal="center" vertical="center"/>
      <protection locked="0"/>
    </xf>
    <xf numFmtId="0" fontId="17" fillId="0" borderId="12" xfId="44" applyFont="1" applyBorder="1" applyAlignment="1" applyProtection="1">
      <alignment horizontal="center" vertical="center"/>
      <protection locked="0"/>
    </xf>
    <xf numFmtId="0" fontId="17" fillId="0" borderId="119" xfId="44" applyFont="1" applyBorder="1" applyAlignment="1" applyProtection="1">
      <alignment horizontal="center" vertical="center"/>
      <protection locked="0"/>
    </xf>
    <xf numFmtId="0" fontId="17" fillId="0" borderId="18" xfId="44" applyFont="1" applyBorder="1" applyAlignment="1" applyProtection="1">
      <alignment horizontal="center" vertical="center"/>
      <protection locked="0"/>
    </xf>
    <xf numFmtId="0" fontId="17" fillId="0" borderId="113" xfId="44" applyFont="1" applyBorder="1" applyAlignment="1" applyProtection="1">
      <alignment horizontal="center" vertical="center"/>
      <protection locked="0"/>
    </xf>
    <xf numFmtId="0" fontId="17" fillId="0" borderId="107" xfId="44" applyFont="1" applyBorder="1" applyAlignment="1" applyProtection="1">
      <alignment horizontal="center" vertical="center"/>
      <protection locked="0"/>
    </xf>
    <xf numFmtId="0" fontId="17" fillId="0" borderId="132" xfId="44" applyFont="1" applyBorder="1" applyAlignment="1" applyProtection="1">
      <alignment horizontal="center" vertical="center"/>
      <protection locked="0"/>
    </xf>
    <xf numFmtId="0" fontId="17" fillId="0" borderId="23" xfId="44" applyFont="1" applyBorder="1" applyAlignment="1" applyProtection="1">
      <alignment horizontal="center" vertical="center"/>
      <protection locked="0"/>
    </xf>
    <xf numFmtId="0" fontId="17" fillId="0" borderId="0" xfId="44" applyFont="1" applyAlignment="1" applyProtection="1">
      <alignment horizontal="center" vertical="center"/>
      <protection locked="0"/>
    </xf>
    <xf numFmtId="0" fontId="17" fillId="0" borderId="155" xfId="44" applyFont="1" applyBorder="1" applyAlignment="1">
      <alignment horizontal="center" vertical="center"/>
    </xf>
    <xf numFmtId="0" fontId="17" fillId="0" borderId="14" xfId="44" applyFont="1" applyBorder="1" applyAlignment="1" applyProtection="1">
      <alignment horizontal="center" vertical="center"/>
      <protection locked="0"/>
    </xf>
    <xf numFmtId="0" fontId="17" fillId="35" borderId="10" xfId="44" applyFont="1" applyFill="1" applyBorder="1" applyAlignment="1">
      <alignment horizontal="center" vertical="center" shrinkToFit="1"/>
    </xf>
    <xf numFmtId="0" fontId="17" fillId="35" borderId="175" xfId="44" applyFont="1" applyFill="1" applyBorder="1" applyAlignment="1">
      <alignment horizontal="center" vertical="center"/>
    </xf>
    <xf numFmtId="0" fontId="17" fillId="0" borderId="16" xfId="44" applyFont="1" applyBorder="1" applyAlignment="1" applyProtection="1">
      <alignment horizontal="center" vertical="center"/>
      <protection locked="0"/>
    </xf>
    <xf numFmtId="0" fontId="17" fillId="35" borderId="10" xfId="44" applyFont="1" applyFill="1" applyBorder="1" applyAlignment="1">
      <alignment horizontal="center" vertical="center" wrapText="1"/>
    </xf>
    <xf numFmtId="0" fontId="17" fillId="38" borderId="14" xfId="44" applyFont="1" applyFill="1" applyBorder="1" applyAlignment="1">
      <alignment horizontal="center" vertical="center"/>
    </xf>
    <xf numFmtId="0" fontId="17" fillId="38" borderId="196" xfId="44" applyFont="1" applyFill="1" applyBorder="1" applyAlignment="1">
      <alignment horizontal="center" vertical="center"/>
    </xf>
    <xf numFmtId="0" fontId="17" fillId="0" borderId="167" xfId="44" applyFont="1" applyBorder="1" applyAlignment="1" applyProtection="1">
      <alignment horizontal="distributed" vertical="center" shrinkToFit="1"/>
      <protection locked="0"/>
    </xf>
    <xf numFmtId="0" fontId="17" fillId="0" borderId="15" xfId="44" applyFont="1" applyBorder="1" applyAlignment="1" applyProtection="1">
      <alignment horizontal="distributed" vertical="center" shrinkToFit="1"/>
      <protection locked="0"/>
    </xf>
    <xf numFmtId="0" fontId="17" fillId="38" borderId="167" xfId="44" applyFont="1" applyFill="1" applyBorder="1" applyAlignment="1" applyProtection="1">
      <alignment horizontal="center" vertical="center" shrinkToFit="1"/>
      <protection locked="0"/>
    </xf>
    <xf numFmtId="0" fontId="17" fillId="38" borderId="196" xfId="44" applyFont="1" applyFill="1" applyBorder="1" applyAlignment="1" applyProtection="1">
      <alignment horizontal="center" vertical="center" shrinkToFit="1"/>
      <protection locked="0"/>
    </xf>
    <xf numFmtId="0" fontId="17" fillId="0" borderId="16" xfId="44" applyFont="1" applyBorder="1" applyAlignment="1" applyProtection="1">
      <alignment horizontal="distributed" vertical="center" shrinkToFit="1"/>
      <protection locked="0"/>
    </xf>
    <xf numFmtId="0" fontId="17" fillId="0" borderId="52" xfId="44" applyFont="1" applyBorder="1" applyAlignment="1" applyProtection="1">
      <alignment horizontal="center" vertical="center"/>
      <protection locked="0"/>
    </xf>
    <xf numFmtId="0" fontId="17" fillId="0" borderId="58" xfId="44" applyFont="1" applyBorder="1" applyAlignment="1" applyProtection="1">
      <alignment horizontal="center" vertical="center"/>
      <protection locked="0"/>
    </xf>
    <xf numFmtId="0" fontId="17" fillId="0" borderId="59" xfId="44" applyFont="1" applyBorder="1" applyAlignment="1" applyProtection="1">
      <alignment horizontal="center" vertical="center"/>
      <protection locked="0"/>
    </xf>
    <xf numFmtId="0" fontId="17" fillId="0" borderId="172" xfId="44" applyFont="1" applyBorder="1" applyAlignment="1">
      <alignment horizontal="right" vertical="center" shrinkToFit="1"/>
    </xf>
    <xf numFmtId="0" fontId="17" fillId="0" borderId="0" xfId="44" applyFont="1" applyAlignment="1">
      <alignment horizontal="right" vertical="center" shrinkToFit="1"/>
    </xf>
    <xf numFmtId="0" fontId="17" fillId="0" borderId="15" xfId="44" applyFont="1" applyBorder="1" applyAlignment="1" applyProtection="1">
      <alignment horizontal="center" vertical="center" shrinkToFit="1"/>
      <protection locked="0"/>
    </xf>
    <xf numFmtId="0" fontId="17" fillId="0" borderId="16" xfId="44" applyFont="1" applyBorder="1" applyAlignment="1" applyProtection="1">
      <alignment horizontal="center" vertical="center" shrinkToFit="1"/>
      <protection locked="0"/>
    </xf>
    <xf numFmtId="0" fontId="17" fillId="0" borderId="167" xfId="44" applyFont="1" applyBorder="1" applyAlignment="1">
      <alignment horizontal="center" vertical="center"/>
    </xf>
    <xf numFmtId="0" fontId="17" fillId="0" borderId="134" xfId="44" applyFont="1" applyBorder="1" applyAlignment="1">
      <alignment horizontal="center" vertical="center"/>
    </xf>
    <xf numFmtId="0" fontId="17" fillId="0" borderId="136" xfId="44" applyFont="1" applyBorder="1" applyAlignment="1">
      <alignment horizontal="center" vertical="center"/>
    </xf>
    <xf numFmtId="0" fontId="17" fillId="0" borderId="165" xfId="44" applyFont="1" applyBorder="1" applyAlignment="1">
      <alignment horizontal="center" vertical="center"/>
    </xf>
    <xf numFmtId="0" fontId="17" fillId="0" borderId="135" xfId="44" applyFont="1" applyBorder="1" applyAlignment="1">
      <alignment horizontal="center" vertical="center"/>
    </xf>
    <xf numFmtId="0" fontId="17" fillId="0" borderId="166" xfId="44" applyFont="1" applyBorder="1" applyAlignment="1">
      <alignment horizontal="center" vertical="center"/>
    </xf>
    <xf numFmtId="0" fontId="17" fillId="0" borderId="140" xfId="44" applyFont="1" applyBorder="1" applyAlignment="1" applyProtection="1">
      <alignment horizontal="center" vertical="center"/>
      <protection locked="0"/>
    </xf>
    <xf numFmtId="0" fontId="17" fillId="0" borderId="137" xfId="44" applyFont="1" applyBorder="1" applyAlignment="1" applyProtection="1">
      <alignment horizontal="center" vertical="center"/>
      <protection locked="0"/>
    </xf>
    <xf numFmtId="0" fontId="17" fillId="0" borderId="141" xfId="44" applyFont="1" applyBorder="1" applyAlignment="1" applyProtection="1">
      <alignment horizontal="center" vertical="center"/>
      <protection locked="0"/>
    </xf>
    <xf numFmtId="0" fontId="17" fillId="35" borderId="133" xfId="44" applyFont="1" applyFill="1" applyBorder="1" applyAlignment="1">
      <alignment horizontal="center" vertical="center"/>
    </xf>
    <xf numFmtId="0" fontId="17" fillId="35" borderId="134" xfId="44" applyFont="1" applyFill="1" applyBorder="1" applyAlignment="1">
      <alignment horizontal="center" vertical="center"/>
    </xf>
    <xf numFmtId="0" fontId="17" fillId="35" borderId="138" xfId="44" applyFont="1" applyFill="1" applyBorder="1" applyAlignment="1">
      <alignment horizontal="center" vertical="center"/>
    </xf>
    <xf numFmtId="0" fontId="17" fillId="35" borderId="139" xfId="44" applyFont="1" applyFill="1" applyBorder="1" applyAlignment="1">
      <alignment horizontal="center" vertical="center"/>
    </xf>
    <xf numFmtId="0" fontId="17" fillId="35" borderId="140" xfId="44" applyFont="1" applyFill="1" applyBorder="1" applyAlignment="1">
      <alignment horizontal="center" vertical="center"/>
    </xf>
    <xf numFmtId="0" fontId="17" fillId="0" borderId="211" xfId="44" applyFont="1" applyBorder="1" applyAlignment="1" applyProtection="1">
      <alignment horizontal="center" vertical="center"/>
      <protection locked="0"/>
    </xf>
    <xf numFmtId="0" fontId="17" fillId="0" borderId="173" xfId="44" applyFont="1" applyBorder="1" applyAlignment="1" applyProtection="1">
      <alignment horizontal="center" vertical="center"/>
      <protection locked="0"/>
    </xf>
    <xf numFmtId="0" fontId="17" fillId="0" borderId="24" xfId="44" applyFont="1" applyBorder="1" applyAlignment="1" applyProtection="1">
      <alignment horizontal="center" vertical="center"/>
      <protection locked="0"/>
    </xf>
    <xf numFmtId="0" fontId="17" fillId="0" borderId="96" xfId="44" applyFont="1" applyBorder="1" applyAlignment="1" applyProtection="1">
      <alignment horizontal="center" vertical="center"/>
      <protection locked="0"/>
    </xf>
    <xf numFmtId="0" fontId="17" fillId="0" borderId="97" xfId="44" applyFont="1" applyBorder="1" applyAlignment="1" applyProtection="1">
      <alignment horizontal="center" vertical="center"/>
      <protection locked="0"/>
    </xf>
    <xf numFmtId="0" fontId="17" fillId="0" borderId="15" xfId="44" applyFont="1" applyBorder="1" applyAlignment="1" applyProtection="1">
      <alignment vertical="center" shrinkToFit="1"/>
      <protection locked="0"/>
    </xf>
    <xf numFmtId="0" fontId="17" fillId="0" borderId="16" xfId="44" applyFont="1" applyBorder="1" applyAlignment="1" applyProtection="1">
      <alignment vertical="center" shrinkToFit="1"/>
      <protection locked="0"/>
    </xf>
    <xf numFmtId="189" fontId="69" fillId="0" borderId="0" xfId="44" applyNumberFormat="1" applyFont="1" applyAlignment="1">
      <alignment horizontal="center"/>
    </xf>
    <xf numFmtId="189" fontId="69" fillId="0" borderId="12" xfId="44" applyNumberFormat="1" applyFont="1" applyBorder="1" applyAlignment="1">
      <alignment horizont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61" xr:uid="{00000000-0005-0000-0000-00001C000000}"/>
    <cellStyle name="リンク セル" xfId="29" builtinId="24" customBuiltin="1"/>
    <cellStyle name="悪い" xfId="30" builtinId="27" customBuiltin="1"/>
    <cellStyle name="計算" xfId="31" builtinId="22" customBuiltin="1"/>
    <cellStyle name="計算 2" xfId="62" xr:uid="{00000000-0005-0000-0000-000020000000}"/>
    <cellStyle name="警告文" xfId="32" builtinId="11" customBuiltin="1"/>
    <cellStyle name="桁区切り" xfId="46" builtinId="6"/>
    <cellStyle name="桁区切り 2" xfId="45" xr:uid="{00000000-0005-0000-0000-000023000000}"/>
    <cellStyle name="桁区切り 3" xfId="75" xr:uid="{00000000-0005-0000-0000-000024000000}"/>
    <cellStyle name="桁区切り 3 2" xfId="81" xr:uid="{00000000-0005-0000-0000-000025000000}"/>
    <cellStyle name="桁区切り 4" xfId="77" xr:uid="{00000000-0005-0000-0000-000026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3" xr:uid="{00000000-0005-0000-0000-00002C000000}"/>
    <cellStyle name="出力" xfId="38" builtinId="21" customBuiltin="1"/>
    <cellStyle name="出力 2" xfId="64" xr:uid="{00000000-0005-0000-0000-00002E000000}"/>
    <cellStyle name="説明文" xfId="39" builtinId="53" customBuiltin="1"/>
    <cellStyle name="通貨" xfId="54" builtinId="7"/>
    <cellStyle name="通貨 2" xfId="60" xr:uid="{00000000-0005-0000-0000-000031000000}"/>
    <cellStyle name="通貨 2 2" xfId="73" xr:uid="{00000000-0005-0000-0000-000032000000}"/>
    <cellStyle name="通貨 3" xfId="68" xr:uid="{00000000-0005-0000-0000-000033000000}"/>
    <cellStyle name="通貨 4" xfId="76" xr:uid="{00000000-0005-0000-0000-000034000000}"/>
    <cellStyle name="通貨 5" xfId="78" xr:uid="{00000000-0005-0000-0000-000035000000}"/>
    <cellStyle name="入力" xfId="40" builtinId="20" customBuiltin="1"/>
    <cellStyle name="入力 2" xfId="65" xr:uid="{00000000-0005-0000-0000-000037000000}"/>
    <cellStyle name="標準" xfId="0" builtinId="0"/>
    <cellStyle name="標準 10" xfId="74" xr:uid="{00000000-0005-0000-0000-000039000000}"/>
    <cellStyle name="標準 10 2" xfId="80" xr:uid="{00000000-0005-0000-0000-00003A000000}"/>
    <cellStyle name="標準 18" xfId="51" xr:uid="{00000000-0005-0000-0000-00003B000000}"/>
    <cellStyle name="標準 2" xfId="42" xr:uid="{00000000-0005-0000-0000-00003C000000}"/>
    <cellStyle name="標準 2 2" xfId="52" xr:uid="{00000000-0005-0000-0000-00003D000000}"/>
    <cellStyle name="標準 2 3" xfId="56" xr:uid="{00000000-0005-0000-0000-00003E000000}"/>
    <cellStyle name="標準 3" xfId="43" xr:uid="{00000000-0005-0000-0000-00003F000000}"/>
    <cellStyle name="標準 4" xfId="44" xr:uid="{00000000-0005-0000-0000-000040000000}"/>
    <cellStyle name="標準 5" xfId="47" xr:uid="{00000000-0005-0000-0000-000041000000}"/>
    <cellStyle name="標準 6" xfId="48" xr:uid="{00000000-0005-0000-0000-000042000000}"/>
    <cellStyle name="標準 6 2" xfId="53" xr:uid="{00000000-0005-0000-0000-000043000000}"/>
    <cellStyle name="標準 6 2 2" xfId="67" xr:uid="{00000000-0005-0000-0000-000044000000}"/>
    <cellStyle name="標準 6 3" xfId="55" xr:uid="{00000000-0005-0000-0000-000045000000}"/>
    <cellStyle name="標準 6 3 2" xfId="69" xr:uid="{00000000-0005-0000-0000-000046000000}"/>
    <cellStyle name="標準 6 4" xfId="58" xr:uid="{00000000-0005-0000-0000-000047000000}"/>
    <cellStyle name="標準 6 4 2" xfId="71" xr:uid="{00000000-0005-0000-0000-000048000000}"/>
    <cellStyle name="標準 6 4 3" xfId="79" xr:uid="{00000000-0005-0000-0000-000049000000}"/>
    <cellStyle name="標準 6 5" xfId="59" xr:uid="{00000000-0005-0000-0000-00004A000000}"/>
    <cellStyle name="標準 6 5 2" xfId="72" xr:uid="{00000000-0005-0000-0000-00004B000000}"/>
    <cellStyle name="標準 6 6" xfId="66" xr:uid="{00000000-0005-0000-0000-00004C000000}"/>
    <cellStyle name="標準 7" xfId="49" xr:uid="{00000000-0005-0000-0000-00004D000000}"/>
    <cellStyle name="標準 8" xfId="50" xr:uid="{00000000-0005-0000-0000-00004E000000}"/>
    <cellStyle name="標準 9" xfId="57" xr:uid="{00000000-0005-0000-0000-00004F000000}"/>
    <cellStyle name="標準 9 2" xfId="70" xr:uid="{00000000-0005-0000-0000-000050000000}"/>
    <cellStyle name="良い" xfId="41" builtinId="26" customBuiltin="1"/>
  </cellStyles>
  <dxfs count="3">
    <dxf>
      <font>
        <b/>
        <i val="0"/>
        <color rgb="FFFF0000"/>
      </font>
    </dxf>
    <dxf>
      <fill>
        <patternFill>
          <bgColor rgb="FFFF0000"/>
        </patternFill>
      </fill>
    </dxf>
    <dxf>
      <font>
        <b/>
        <i val="0"/>
        <color rgb="FFFF0000"/>
      </font>
    </dxf>
  </dxfs>
  <tableStyles count="0" defaultTableStyle="TableStyleMedium2" defaultPivotStyle="PivotStyleLight16"/>
  <colors>
    <mruColors>
      <color rgb="FFFEF6F0"/>
      <color rgb="FFFDD0C7"/>
      <color rgb="FFFFEA6D"/>
      <color rgb="FFF4F2F8"/>
      <color rgb="FF66FFFF"/>
      <color rgb="FFCCFFFF"/>
      <color rgb="FFFFF19B"/>
      <color rgb="FFF2DCDB"/>
      <color rgb="FFEE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62865</xdr:rowOff>
    </xdr:from>
    <xdr:to>
      <xdr:col>25</xdr:col>
      <xdr:colOff>108585</xdr:colOff>
      <xdr:row>3</xdr:row>
      <xdr:rowOff>38100</xdr:rowOff>
    </xdr:to>
    <xdr:sp macro="" textlink="">
      <xdr:nvSpPr>
        <xdr:cNvPr id="2" name="角丸四角形 1">
          <a:extLst>
            <a:ext uri="{FF2B5EF4-FFF2-40B4-BE49-F238E27FC236}">
              <a16:creationId xmlns:a16="http://schemas.microsoft.com/office/drawing/2014/main" id="{00000000-0008-0000-2300-000002000000}"/>
            </a:ext>
          </a:extLst>
        </xdr:cNvPr>
        <xdr:cNvSpPr/>
      </xdr:nvSpPr>
      <xdr:spPr bwMode="auto">
        <a:xfrm>
          <a:off x="95250" y="329565"/>
          <a:ext cx="6299835" cy="432435"/>
        </a:xfrm>
        <a:prstGeom prst="roundRect">
          <a:avLst/>
        </a:prstGeom>
        <a:solidFill>
          <a:srgbClr val="F2DCDB">
            <a:alpha val="61176"/>
          </a:srgb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600">
              <a:solidFill>
                <a:sysClr val="windowText" lastClr="000000"/>
              </a:solidFill>
              <a:latin typeface="ＭＳ 明朝" panose="02020609040205080304" pitchFamily="17" charset="-128"/>
              <a:ea typeface="ＭＳ 明朝" panose="02020609040205080304" pitchFamily="17" charset="-128"/>
            </a:rPr>
            <a:t>編集は、経過表（内）から行ってください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BB99865-EB6D-4211-927C-E9DBA7783070}">
  <we:reference id="wa104379121" version="1.0.0.0" store="ja-JP" storeType="OMEX"/>
  <we:alternateReferences>
    <we:reference id="WA104379121" version="1.0.0.0" store="WA104379121"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5"/>
  <sheetViews>
    <sheetView workbookViewId="0"/>
  </sheetViews>
  <sheetFormatPr defaultColWidth="9" defaultRowHeight="16.5"/>
  <cols>
    <col min="1" max="1" width="20.625" style="4" customWidth="1"/>
    <col min="2" max="2" width="45.625" style="4" customWidth="1"/>
    <col min="3" max="3" width="20.625" style="4" customWidth="1"/>
    <col min="4" max="4" width="45.625" style="4" customWidth="1"/>
    <col min="5" max="16384" width="9" style="4"/>
  </cols>
  <sheetData>
    <row r="1" spans="1:4" ht="19.5">
      <c r="A1" s="228" t="s">
        <v>0</v>
      </c>
      <c r="C1" s="228"/>
    </row>
    <row r="2" spans="1:4">
      <c r="A2" s="229" t="s">
        <v>1</v>
      </c>
      <c r="B2" s="229" t="s">
        <v>2</v>
      </c>
      <c r="C2" s="229" t="s">
        <v>1</v>
      </c>
      <c r="D2" s="229" t="s">
        <v>2</v>
      </c>
    </row>
    <row r="3" spans="1:4">
      <c r="A3" s="6" t="s">
        <v>3</v>
      </c>
      <c r="B3" s="6" t="s">
        <v>4</v>
      </c>
      <c r="C3" s="6" t="s">
        <v>5</v>
      </c>
      <c r="D3" s="6" t="s">
        <v>6</v>
      </c>
    </row>
    <row r="4" spans="1:4">
      <c r="A4" s="6"/>
      <c r="B4" s="6" t="s">
        <v>7</v>
      </c>
      <c r="C4" s="6"/>
      <c r="D4" s="6" t="s">
        <v>8</v>
      </c>
    </row>
    <row r="5" spans="1:4">
      <c r="A5" s="6"/>
      <c r="B5" s="6" t="s">
        <v>9</v>
      </c>
      <c r="C5" s="6"/>
      <c r="D5" s="6" t="s">
        <v>10</v>
      </c>
    </row>
    <row r="6" spans="1:4">
      <c r="A6" s="6" t="s">
        <v>11</v>
      </c>
      <c r="B6" s="6" t="s">
        <v>12</v>
      </c>
      <c r="C6" s="6"/>
      <c r="D6" s="6" t="s">
        <v>13</v>
      </c>
    </row>
    <row r="7" spans="1:4">
      <c r="A7" s="6"/>
      <c r="B7" s="6" t="s">
        <v>14</v>
      </c>
      <c r="C7" s="6"/>
      <c r="D7" s="6" t="s">
        <v>15</v>
      </c>
    </row>
    <row r="8" spans="1:4">
      <c r="A8" s="6"/>
      <c r="B8" s="6" t="s">
        <v>16</v>
      </c>
      <c r="C8" s="6"/>
      <c r="D8" s="6" t="s">
        <v>17</v>
      </c>
    </row>
    <row r="9" spans="1:4">
      <c r="A9" s="6"/>
      <c r="B9" s="6" t="s">
        <v>18</v>
      </c>
      <c r="C9" s="6"/>
      <c r="D9" s="6" t="s">
        <v>19</v>
      </c>
    </row>
    <row r="10" spans="1:4">
      <c r="A10" s="6"/>
      <c r="B10" s="6" t="s">
        <v>20</v>
      </c>
      <c r="C10" s="6"/>
      <c r="D10" s="6" t="s">
        <v>21</v>
      </c>
    </row>
    <row r="11" spans="1:4">
      <c r="A11" s="6"/>
      <c r="B11" s="6" t="s">
        <v>22</v>
      </c>
      <c r="C11" s="6"/>
      <c r="D11" s="6" t="s">
        <v>23</v>
      </c>
    </row>
    <row r="12" spans="1:4">
      <c r="A12" s="6"/>
      <c r="B12" s="6" t="s">
        <v>24</v>
      </c>
      <c r="C12" s="6"/>
      <c r="D12" s="6" t="s">
        <v>25</v>
      </c>
    </row>
    <row r="13" spans="1:4">
      <c r="A13" s="6"/>
      <c r="B13" s="6" t="s">
        <v>26</v>
      </c>
      <c r="C13" s="6"/>
      <c r="D13" s="6" t="s">
        <v>27</v>
      </c>
    </row>
    <row r="14" spans="1:4">
      <c r="A14" s="6"/>
      <c r="B14" s="6" t="s">
        <v>28</v>
      </c>
      <c r="C14" s="6"/>
      <c r="D14" s="6" t="s">
        <v>29</v>
      </c>
    </row>
    <row r="15" spans="1:4">
      <c r="A15" s="6" t="s">
        <v>30</v>
      </c>
      <c r="B15" s="6" t="s">
        <v>31</v>
      </c>
      <c r="C15" s="6" t="s">
        <v>32</v>
      </c>
      <c r="D15" s="6" t="s">
        <v>33</v>
      </c>
    </row>
    <row r="16" spans="1:4">
      <c r="A16" s="6"/>
      <c r="B16" s="6" t="s">
        <v>34</v>
      </c>
      <c r="C16" s="6"/>
      <c r="D16" s="6" t="s">
        <v>35</v>
      </c>
    </row>
    <row r="17" spans="1:4">
      <c r="A17" s="6"/>
      <c r="B17" s="6" t="s">
        <v>36</v>
      </c>
      <c r="C17" s="6"/>
      <c r="D17" s="6" t="s">
        <v>37</v>
      </c>
    </row>
    <row r="18" spans="1:4">
      <c r="A18" s="6"/>
      <c r="B18" s="6" t="s">
        <v>38</v>
      </c>
      <c r="C18" s="6"/>
      <c r="D18" s="6" t="s">
        <v>39</v>
      </c>
    </row>
    <row r="19" spans="1:4">
      <c r="A19" s="6"/>
      <c r="B19" s="6" t="s">
        <v>40</v>
      </c>
      <c r="C19" s="6"/>
      <c r="D19" s="6" t="s">
        <v>41</v>
      </c>
    </row>
    <row r="20" spans="1:4">
      <c r="A20" s="6" t="s">
        <v>42</v>
      </c>
      <c r="B20" s="6" t="s">
        <v>43</v>
      </c>
      <c r="C20" s="6"/>
      <c r="D20" s="6" t="s">
        <v>44</v>
      </c>
    </row>
    <row r="21" spans="1:4">
      <c r="A21" s="6"/>
      <c r="B21" s="6" t="s">
        <v>45</v>
      </c>
      <c r="C21" s="6"/>
      <c r="D21" s="6" t="s">
        <v>46</v>
      </c>
    </row>
    <row r="22" spans="1:4">
      <c r="A22" s="6" t="s">
        <v>47</v>
      </c>
      <c r="B22" s="6" t="s">
        <v>48</v>
      </c>
      <c r="C22" s="6"/>
      <c r="D22" s="6" t="s">
        <v>49</v>
      </c>
    </row>
    <row r="23" spans="1:4">
      <c r="A23" s="6"/>
      <c r="B23" s="6" t="s">
        <v>50</v>
      </c>
      <c r="C23" s="6"/>
      <c r="D23" s="6"/>
    </row>
    <row r="24" spans="1:4">
      <c r="A24" s="6"/>
      <c r="B24" s="6" t="s">
        <v>51</v>
      </c>
      <c r="C24" s="6"/>
      <c r="D24" s="6"/>
    </row>
    <row r="25" spans="1:4">
      <c r="A25" s="6"/>
      <c r="B25" s="6" t="s">
        <v>52</v>
      </c>
      <c r="C25" s="6"/>
      <c r="D25" s="6"/>
    </row>
    <row r="26" spans="1:4">
      <c r="A26" s="6"/>
      <c r="B26" s="6" t="s">
        <v>53</v>
      </c>
      <c r="C26" s="6"/>
      <c r="D26" s="6"/>
    </row>
    <row r="27" spans="1:4">
      <c r="A27" s="6"/>
      <c r="B27" s="6" t="s">
        <v>54</v>
      </c>
      <c r="C27" s="6"/>
      <c r="D27" s="6"/>
    </row>
    <row r="28" spans="1:4">
      <c r="A28" s="6"/>
      <c r="B28" s="6" t="s">
        <v>55</v>
      </c>
      <c r="C28" s="6"/>
      <c r="D28" s="6"/>
    </row>
    <row r="29" spans="1:4">
      <c r="A29" s="6"/>
      <c r="B29" s="6" t="s">
        <v>56</v>
      </c>
      <c r="C29" s="6"/>
      <c r="D29" s="6"/>
    </row>
    <row r="30" spans="1:4">
      <c r="A30" s="6"/>
      <c r="B30" s="6" t="s">
        <v>57</v>
      </c>
      <c r="C30" s="6"/>
      <c r="D30" s="6"/>
    </row>
    <row r="31" spans="1:4">
      <c r="A31" s="6" t="s">
        <v>58</v>
      </c>
      <c r="B31" s="6" t="s">
        <v>59</v>
      </c>
      <c r="C31" s="6"/>
      <c r="D31" s="6"/>
    </row>
    <row r="32" spans="1:4">
      <c r="A32" s="6"/>
      <c r="B32" s="6" t="s">
        <v>60</v>
      </c>
      <c r="C32" s="6"/>
      <c r="D32" s="6"/>
    </row>
    <row r="33" spans="1:4">
      <c r="A33" s="6"/>
      <c r="B33" s="6" t="s">
        <v>61</v>
      </c>
      <c r="C33" s="6"/>
      <c r="D33" s="6"/>
    </row>
    <row r="34" spans="1:4">
      <c r="A34" s="6"/>
      <c r="B34" s="6" t="s">
        <v>62</v>
      </c>
      <c r="C34" s="6"/>
      <c r="D34" s="6"/>
    </row>
    <row r="35" spans="1:4">
      <c r="A35" s="6"/>
      <c r="B35" s="6" t="s">
        <v>63</v>
      </c>
      <c r="C35" s="6"/>
      <c r="D35" s="6"/>
    </row>
  </sheetData>
  <phoneticPr fontId="16"/>
  <pageMargins left="0.70866141732283472" right="0.70866141732283472" top="0.74803149606299213" bottom="0.74803149606299213" header="0.31496062992125984" footer="0.31496062992125984"/>
  <pageSetup paperSize="9" scale="93" orientation="landscape" verticalDpi="0" r:id="rId1"/>
  <headerFooter>
    <oddFooter>&amp;CCopyright (C) 2014 JCG Inc.  All Rights Reserved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Z274"/>
  <sheetViews>
    <sheetView view="pageBreakPreview" topLeftCell="A139" zoomScaleNormal="100" zoomScaleSheetLayoutView="100" workbookViewId="0">
      <selection activeCell="B157" sqref="B157:D157"/>
    </sheetView>
  </sheetViews>
  <sheetFormatPr defaultColWidth="9" defaultRowHeight="16.5"/>
  <cols>
    <col min="1" max="1" width="16.625" style="230" customWidth="1"/>
    <col min="2" max="2" width="8.625" style="230" customWidth="1"/>
    <col min="3" max="12" width="8.625" style="4" customWidth="1"/>
    <col min="13" max="13" width="1.625" style="4" customWidth="1"/>
    <col min="14" max="14" width="12" style="250" customWidth="1"/>
    <col min="15" max="17" width="9" style="4" customWidth="1"/>
    <col min="18" max="19" width="9" style="5" customWidth="1"/>
    <col min="20" max="53" width="9" style="4" customWidth="1"/>
    <col min="54" max="16384" width="9" style="4"/>
  </cols>
  <sheetData>
    <row r="1" spans="1:52">
      <c r="A1" s="859" t="s">
        <v>64</v>
      </c>
      <c r="B1" s="859"/>
      <c r="C1" s="859"/>
      <c r="D1" s="859"/>
      <c r="E1" s="859"/>
      <c r="F1" s="859"/>
      <c r="G1" s="859"/>
      <c r="H1" s="859"/>
      <c r="I1" s="859"/>
      <c r="J1" s="859"/>
      <c r="K1" s="859"/>
      <c r="L1" s="859"/>
    </row>
    <row r="2" spans="1:52" ht="5.0999999999999996" customHeight="1">
      <c r="A2" s="511"/>
      <c r="B2" s="250"/>
      <c r="C2" s="250"/>
      <c r="D2" s="250"/>
      <c r="E2" s="250"/>
      <c r="F2" s="250"/>
      <c r="G2" s="250"/>
      <c r="H2" s="250"/>
      <c r="I2" s="250"/>
      <c r="J2" s="250"/>
      <c r="K2" s="250"/>
      <c r="L2" s="250"/>
      <c r="M2" s="251"/>
      <c r="N2" s="251"/>
      <c r="O2" s="251"/>
      <c r="P2" s="251"/>
      <c r="Q2" s="251"/>
      <c r="R2" s="252"/>
      <c r="S2" s="252"/>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row>
    <row r="3" spans="1:52" ht="15" customHeight="1" thickBot="1">
      <c r="A3" s="511"/>
      <c r="B3" s="250"/>
      <c r="C3" s="250"/>
      <c r="D3" s="250"/>
      <c r="E3" s="250"/>
      <c r="F3" s="250"/>
      <c r="G3" s="250"/>
      <c r="H3" s="250"/>
      <c r="I3" s="250"/>
      <c r="J3" s="250"/>
      <c r="K3" s="250"/>
      <c r="L3" s="250"/>
      <c r="M3" s="251"/>
      <c r="N3" s="251"/>
      <c r="O3" s="251"/>
      <c r="P3" s="251"/>
      <c r="Q3" s="251"/>
      <c r="R3" s="252"/>
      <c r="S3" s="252"/>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row>
    <row r="4" spans="1:52" ht="15" customHeight="1" thickBot="1">
      <c r="A4" s="882" t="s">
        <v>65</v>
      </c>
      <c r="B4" s="883"/>
      <c r="C4" s="93" t="s">
        <v>79</v>
      </c>
      <c r="D4" s="369">
        <v>7</v>
      </c>
      <c r="E4" s="234" t="s">
        <v>67</v>
      </c>
      <c r="F4" s="235">
        <v>4</v>
      </c>
      <c r="G4" s="234" t="s">
        <v>68</v>
      </c>
      <c r="H4" s="235">
        <v>1</v>
      </c>
      <c r="I4" s="236" t="s">
        <v>69</v>
      </c>
      <c r="J4" s="250"/>
      <c r="K4" s="250"/>
      <c r="L4" s="250"/>
      <c r="M4" s="251"/>
      <c r="N4" s="705" t="s">
        <v>70</v>
      </c>
      <c r="O4" s="310" t="s">
        <v>71</v>
      </c>
      <c r="R4" s="4"/>
    </row>
    <row r="5" spans="1:52" ht="15" customHeight="1" thickBot="1">
      <c r="A5" s="511"/>
      <c r="B5" s="511"/>
      <c r="C5" s="250"/>
      <c r="D5" s="250"/>
      <c r="E5" s="250"/>
      <c r="F5" s="250"/>
      <c r="G5" s="250"/>
      <c r="H5" s="250"/>
      <c r="I5" s="250"/>
      <c r="J5" s="250"/>
      <c r="K5" s="250"/>
      <c r="L5" s="250"/>
      <c r="M5" s="251"/>
      <c r="N5" s="706" t="s">
        <v>72</v>
      </c>
      <c r="O5" s="7" t="str">
        <f t="array" ref="O5:Q34">TRANSPOSE(V28:AY30)</f>
        <v>3時間以上4時間未満</v>
      </c>
      <c r="P5" s="7" t="str">
        <v>要介護1</v>
      </c>
      <c r="Q5" s="7" t="str">
        <v>４１６</v>
      </c>
      <c r="R5" s="7" t="str">
        <f t="array" ref="R5:R9">TRANSPOSE(B42:F42)</f>
        <v>４，２１８</v>
      </c>
    </row>
    <row r="6" spans="1:52" ht="15" customHeight="1">
      <c r="A6" s="860" t="s">
        <v>73</v>
      </c>
      <c r="B6" s="861"/>
      <c r="C6" s="862" t="s">
        <v>1979</v>
      </c>
      <c r="D6" s="863"/>
      <c r="E6" s="863"/>
      <c r="F6" s="863"/>
      <c r="G6" s="863"/>
      <c r="H6" s="864"/>
      <c r="I6" s="250"/>
      <c r="J6" s="250"/>
      <c r="K6" s="250"/>
      <c r="L6" s="250"/>
      <c r="M6" s="250"/>
      <c r="N6" s="706" t="s">
        <v>74</v>
      </c>
      <c r="O6" s="7">
        <v>0</v>
      </c>
      <c r="P6" s="7" t="str">
        <v>要介護2</v>
      </c>
      <c r="Q6" s="7" t="str">
        <v>４７８</v>
      </c>
      <c r="R6" s="7" t="str">
        <v>４，８４６</v>
      </c>
      <c r="T6" s="4" t="s">
        <v>75</v>
      </c>
      <c r="U6" s="4" t="s">
        <v>76</v>
      </c>
      <c r="V6" s="4" t="s">
        <v>77</v>
      </c>
      <c r="Y6" s="20"/>
    </row>
    <row r="7" spans="1:52" ht="15" customHeight="1" thickBot="1">
      <c r="A7" s="860" t="s">
        <v>78</v>
      </c>
      <c r="B7" s="861"/>
      <c r="C7" s="865" t="s">
        <v>1980</v>
      </c>
      <c r="D7" s="854"/>
      <c r="E7" s="854"/>
      <c r="F7" s="854"/>
      <c r="G7" s="854"/>
      <c r="H7" s="866"/>
      <c r="I7" s="253"/>
      <c r="J7" s="254"/>
      <c r="K7" s="254"/>
      <c r="L7" s="250"/>
      <c r="M7" s="250"/>
      <c r="N7" s="706" t="s">
        <v>79</v>
      </c>
      <c r="O7" s="7">
        <v>0</v>
      </c>
      <c r="P7" s="7" t="str">
        <v>要介護3</v>
      </c>
      <c r="Q7" s="7" t="str">
        <v>５４０</v>
      </c>
      <c r="R7" s="7" t="str">
        <v>５，４７５</v>
      </c>
      <c r="U7" s="4" t="s">
        <v>80</v>
      </c>
      <c r="V7" s="4" t="s">
        <v>81</v>
      </c>
    </row>
    <row r="8" spans="1:52" ht="15" customHeight="1">
      <c r="A8" s="867" t="s">
        <v>82</v>
      </c>
      <c r="B8" s="868"/>
      <c r="C8" s="776">
        <v>440</v>
      </c>
      <c r="D8" s="392" t="s">
        <v>83</v>
      </c>
      <c r="E8" s="801" t="s">
        <v>2007</v>
      </c>
      <c r="F8" s="871" t="s">
        <v>1981</v>
      </c>
      <c r="G8" s="872"/>
      <c r="H8" s="872"/>
      <c r="I8" s="873"/>
      <c r="J8" s="873"/>
      <c r="K8" s="874"/>
      <c r="L8" s="250"/>
      <c r="M8" s="250"/>
      <c r="N8" s="706" t="s">
        <v>66</v>
      </c>
      <c r="O8" s="7">
        <v>0</v>
      </c>
      <c r="P8" s="7" t="str">
        <v>要介護4</v>
      </c>
      <c r="Q8" s="7" t="str">
        <v>６００</v>
      </c>
      <c r="R8" s="7" t="str">
        <v>６，０８４</v>
      </c>
      <c r="V8" s="4" t="s">
        <v>84</v>
      </c>
    </row>
    <row r="9" spans="1:52" ht="15" customHeight="1" thickBot="1">
      <c r="A9" s="869"/>
      <c r="B9" s="870"/>
      <c r="C9" s="853"/>
      <c r="D9" s="854"/>
      <c r="E9" s="854"/>
      <c r="F9" s="875"/>
      <c r="G9" s="875"/>
      <c r="H9" s="875"/>
      <c r="I9" s="875"/>
      <c r="J9" s="875"/>
      <c r="K9" s="876"/>
      <c r="L9" s="250"/>
      <c r="M9" s="250"/>
      <c r="O9" s="7">
        <v>0</v>
      </c>
      <c r="P9" s="7" t="str">
        <v>要介護5</v>
      </c>
      <c r="Q9" s="7" t="str">
        <v>６６３</v>
      </c>
      <c r="R9" s="7" t="str">
        <v>６，７２２</v>
      </c>
      <c r="V9" s="4" t="s">
        <v>85</v>
      </c>
    </row>
    <row r="10" spans="1:52" ht="15" customHeight="1" thickBot="1">
      <c r="A10" s="860" t="s">
        <v>86</v>
      </c>
      <c r="B10" s="861"/>
      <c r="C10" s="884" t="s">
        <v>1982</v>
      </c>
      <c r="D10" s="885"/>
      <c r="E10" s="886"/>
      <c r="F10" s="887" t="s">
        <v>87</v>
      </c>
      <c r="G10" s="888"/>
      <c r="H10" s="889"/>
      <c r="I10" s="884" t="s">
        <v>1983</v>
      </c>
      <c r="J10" s="885"/>
      <c r="K10" s="886"/>
      <c r="L10" s="253"/>
      <c r="M10" s="250"/>
      <c r="O10" s="7" t="str">
        <v>4時間以上5時間未満</v>
      </c>
      <c r="P10" s="7" t="str">
        <v>要介護1</v>
      </c>
      <c r="Q10" s="7" t="str">
        <v>４３６</v>
      </c>
      <c r="R10" s="7" t="str">
        <f t="array" ref="R10:R14">TRANSPOSE(B43:F43)</f>
        <v>４，４２１</v>
      </c>
      <c r="V10" s="4" t="s">
        <v>88</v>
      </c>
    </row>
    <row r="11" spans="1:52" ht="15" customHeight="1" thickBot="1">
      <c r="A11" s="860" t="s">
        <v>89</v>
      </c>
      <c r="B11" s="877"/>
      <c r="C11" s="88">
        <v>2</v>
      </c>
      <c r="D11" s="89">
        <v>3</v>
      </c>
      <c r="E11" s="89">
        <v>9</v>
      </c>
      <c r="F11" s="92">
        <v>2</v>
      </c>
      <c r="G11" s="92">
        <v>0</v>
      </c>
      <c r="H11" s="92">
        <v>0</v>
      </c>
      <c r="I11" s="89">
        <v>0</v>
      </c>
      <c r="J11" s="90">
        <v>6</v>
      </c>
      <c r="K11" s="90">
        <v>0</v>
      </c>
      <c r="L11" s="91">
        <v>6</v>
      </c>
      <c r="M11" s="250"/>
      <c r="O11" s="7">
        <v>0</v>
      </c>
      <c r="P11" s="7" t="str">
        <v>要介護2</v>
      </c>
      <c r="Q11" s="7" t="str">
        <v>５０１</v>
      </c>
      <c r="R11" s="7" t="str">
        <v>５，０８０</v>
      </c>
    </row>
    <row r="12" spans="1:52" ht="15" customHeight="1" thickBot="1">
      <c r="A12" s="877" t="s">
        <v>90</v>
      </c>
      <c r="B12" s="878"/>
      <c r="C12" s="508" t="s">
        <v>79</v>
      </c>
      <c r="D12" s="802">
        <v>1</v>
      </c>
      <c r="E12" s="11" t="s">
        <v>67</v>
      </c>
      <c r="F12" s="276">
        <v>6</v>
      </c>
      <c r="G12" s="12" t="s">
        <v>68</v>
      </c>
      <c r="H12" s="276">
        <v>1</v>
      </c>
      <c r="I12" s="13" t="s">
        <v>91</v>
      </c>
      <c r="J12" s="255"/>
      <c r="K12" s="256"/>
      <c r="L12" s="250"/>
      <c r="M12" s="250"/>
      <c r="O12" s="7">
        <v>0</v>
      </c>
      <c r="P12" s="7" t="str">
        <v>要介護3</v>
      </c>
      <c r="Q12" s="7" t="str">
        <v>５６６</v>
      </c>
      <c r="R12" s="7" t="str">
        <v>５，７３９</v>
      </c>
      <c r="T12" s="5"/>
    </row>
    <row r="13" spans="1:52" ht="15" customHeight="1">
      <c r="A13" s="877" t="s">
        <v>92</v>
      </c>
      <c r="B13" s="878"/>
      <c r="C13" s="266" t="s">
        <v>1984</v>
      </c>
      <c r="D13" s="392" t="s">
        <v>93</v>
      </c>
      <c r="E13" s="267" t="s">
        <v>1985</v>
      </c>
      <c r="F13" s="879" t="s">
        <v>94</v>
      </c>
      <c r="G13" s="880"/>
      <c r="H13" s="881"/>
      <c r="I13" s="266" t="s">
        <v>1986</v>
      </c>
      <c r="J13" s="393" t="s">
        <v>93</v>
      </c>
      <c r="K13" s="269" t="s">
        <v>1953</v>
      </c>
      <c r="L13" s="250"/>
      <c r="M13" s="250"/>
      <c r="O13" s="7">
        <v>0</v>
      </c>
      <c r="P13" s="7" t="str">
        <v>要介護4</v>
      </c>
      <c r="Q13" s="7" t="str">
        <v>６２９</v>
      </c>
      <c r="R13" s="7" t="str">
        <v>６，３７８</v>
      </c>
      <c r="T13" s="5"/>
    </row>
    <row r="14" spans="1:52" ht="15" customHeight="1" thickBot="1">
      <c r="A14" s="877" t="s">
        <v>95</v>
      </c>
      <c r="B14" s="878"/>
      <c r="C14" s="803" t="s">
        <v>1984</v>
      </c>
      <c r="D14" s="789" t="s">
        <v>93</v>
      </c>
      <c r="E14" s="804" t="s">
        <v>1985</v>
      </c>
      <c r="F14" s="915" t="s">
        <v>96</v>
      </c>
      <c r="G14" s="852"/>
      <c r="H14" s="916"/>
      <c r="I14" s="268" t="s">
        <v>1987</v>
      </c>
      <c r="J14" s="394" t="s">
        <v>93</v>
      </c>
      <c r="K14" s="270" t="s">
        <v>1988</v>
      </c>
      <c r="L14" s="250"/>
      <c r="M14" s="250"/>
      <c r="O14" s="7">
        <v>0</v>
      </c>
      <c r="P14" s="7" t="str">
        <v>要介護5</v>
      </c>
      <c r="Q14" s="7" t="str">
        <v>６９５</v>
      </c>
      <c r="R14" s="7" t="str">
        <v>７，０４７</v>
      </c>
      <c r="T14" s="5"/>
    </row>
    <row r="15" spans="1:52" ht="15" customHeight="1" thickBot="1">
      <c r="A15" s="849" t="s">
        <v>97</v>
      </c>
      <c r="B15" s="850"/>
      <c r="C15" s="509" t="s">
        <v>91</v>
      </c>
      <c r="D15" s="509" t="s">
        <v>98</v>
      </c>
      <c r="E15" s="509" t="s">
        <v>99</v>
      </c>
      <c r="F15" s="509" t="s">
        <v>100</v>
      </c>
      <c r="G15" s="509" t="s">
        <v>101</v>
      </c>
      <c r="H15" s="509" t="s">
        <v>102</v>
      </c>
      <c r="I15" s="509" t="s">
        <v>103</v>
      </c>
      <c r="J15" s="509" t="s">
        <v>104</v>
      </c>
      <c r="K15" s="911" t="s">
        <v>105</v>
      </c>
      <c r="L15" s="912"/>
      <c r="M15" s="250"/>
      <c r="O15" s="7" t="str">
        <v>5時間以上6時間未満</v>
      </c>
      <c r="P15" s="7" t="str">
        <v>要介護1</v>
      </c>
      <c r="Q15" s="7" t="str">
        <v>６５７</v>
      </c>
      <c r="R15" s="7" t="str">
        <f t="array" ref="R15:R19">TRANSPOSE(B44:F44)</f>
        <v>６，６６１</v>
      </c>
      <c r="T15" s="5"/>
    </row>
    <row r="16" spans="1:52" ht="15" customHeight="1" thickBot="1">
      <c r="A16" s="851"/>
      <c r="B16" s="852"/>
      <c r="C16" s="791" t="s">
        <v>1715</v>
      </c>
      <c r="D16" s="791" t="s">
        <v>1715</v>
      </c>
      <c r="E16" s="791" t="s">
        <v>1715</v>
      </c>
      <c r="F16" s="791" t="s">
        <v>1715</v>
      </c>
      <c r="G16" s="791" t="s">
        <v>1715</v>
      </c>
      <c r="H16" s="791" t="s">
        <v>1715</v>
      </c>
      <c r="I16" s="791" t="s">
        <v>1715</v>
      </c>
      <c r="J16" s="791" t="s">
        <v>1715</v>
      </c>
      <c r="K16" s="913" t="s">
        <v>77</v>
      </c>
      <c r="L16" s="914"/>
      <c r="M16" s="250"/>
      <c r="O16" s="7">
        <v>0</v>
      </c>
      <c r="P16" s="7" t="str">
        <v>要介護2</v>
      </c>
      <c r="Q16" s="7" t="str">
        <v>７７６</v>
      </c>
      <c r="R16" s="7" t="str">
        <v>７，８６８</v>
      </c>
      <c r="T16" s="289"/>
      <c r="U16" s="290"/>
      <c r="V16" s="616" t="s">
        <v>106</v>
      </c>
      <c r="W16" s="290"/>
      <c r="X16" s="290"/>
      <c r="Y16" s="290"/>
      <c r="Z16" s="290"/>
      <c r="AA16" s="290" t="s">
        <v>107</v>
      </c>
      <c r="AB16" s="290"/>
      <c r="AC16" s="290"/>
      <c r="AD16" s="290"/>
      <c r="AE16" s="290"/>
      <c r="AF16" s="290" t="s">
        <v>108</v>
      </c>
      <c r="AG16" s="290"/>
      <c r="AH16" s="290"/>
      <c r="AI16" s="290"/>
      <c r="AJ16" s="290"/>
      <c r="AK16" s="290" t="s">
        <v>109</v>
      </c>
      <c r="AL16" s="290"/>
      <c r="AM16" s="290"/>
      <c r="AN16" s="290"/>
      <c r="AO16" s="290"/>
      <c r="AP16" s="290" t="s">
        <v>110</v>
      </c>
      <c r="AQ16" s="290"/>
      <c r="AR16" s="290"/>
      <c r="AS16" s="290"/>
      <c r="AT16" s="290"/>
      <c r="AU16" s="290" t="s">
        <v>111</v>
      </c>
      <c r="AV16" s="290"/>
      <c r="AW16" s="290"/>
      <c r="AX16" s="290"/>
      <c r="AY16" s="290"/>
    </row>
    <row r="17" spans="1:52" ht="15" customHeight="1" thickBot="1">
      <c r="A17" s="877" t="s">
        <v>112</v>
      </c>
      <c r="B17" s="878"/>
      <c r="C17" s="909" t="s">
        <v>1989</v>
      </c>
      <c r="D17" s="910"/>
      <c r="E17" s="917" t="s">
        <v>1990</v>
      </c>
      <c r="F17" s="910"/>
      <c r="G17" s="917"/>
      <c r="H17" s="910"/>
      <c r="I17" s="917"/>
      <c r="J17" s="918"/>
      <c r="K17" s="250"/>
      <c r="L17" s="250"/>
      <c r="M17" s="250"/>
      <c r="O17" s="7">
        <v>0</v>
      </c>
      <c r="P17" s="7" t="str">
        <v>要介護3</v>
      </c>
      <c r="Q17" s="7" t="str">
        <v>８９６</v>
      </c>
      <c r="R17" s="7" t="str">
        <v>９，０８５</v>
      </c>
      <c r="T17" s="289"/>
      <c r="U17" s="290"/>
      <c r="V17" s="618" t="s">
        <v>113</v>
      </c>
      <c r="W17" s="620" t="s">
        <v>114</v>
      </c>
      <c r="X17" s="620" t="s">
        <v>115</v>
      </c>
      <c r="Y17" s="620" t="s">
        <v>116</v>
      </c>
      <c r="Z17" s="621" t="s">
        <v>117</v>
      </c>
      <c r="AA17" s="627" t="s">
        <v>113</v>
      </c>
      <c r="AB17" s="620" t="s">
        <v>114</v>
      </c>
      <c r="AC17" s="620" t="s">
        <v>115</v>
      </c>
      <c r="AD17" s="620" t="s">
        <v>116</v>
      </c>
      <c r="AE17" s="628" t="s">
        <v>117</v>
      </c>
      <c r="AF17" s="624" t="s">
        <v>113</v>
      </c>
      <c r="AG17" s="620" t="s">
        <v>114</v>
      </c>
      <c r="AH17" s="620" t="s">
        <v>115</v>
      </c>
      <c r="AI17" s="620" t="s">
        <v>116</v>
      </c>
      <c r="AJ17" s="621" t="s">
        <v>117</v>
      </c>
      <c r="AK17" s="627" t="s">
        <v>113</v>
      </c>
      <c r="AL17" s="620" t="s">
        <v>114</v>
      </c>
      <c r="AM17" s="620" t="s">
        <v>115</v>
      </c>
      <c r="AN17" s="620" t="s">
        <v>116</v>
      </c>
      <c r="AO17" s="628" t="s">
        <v>117</v>
      </c>
      <c r="AP17" s="624" t="s">
        <v>113</v>
      </c>
      <c r="AQ17" s="620" t="s">
        <v>114</v>
      </c>
      <c r="AR17" s="620" t="s">
        <v>115</v>
      </c>
      <c r="AS17" s="620" t="s">
        <v>116</v>
      </c>
      <c r="AT17" s="621" t="s">
        <v>117</v>
      </c>
      <c r="AU17" s="627" t="s">
        <v>113</v>
      </c>
      <c r="AV17" s="620" t="s">
        <v>114</v>
      </c>
      <c r="AW17" s="620" t="s">
        <v>115</v>
      </c>
      <c r="AX17" s="620" t="s">
        <v>116</v>
      </c>
      <c r="AY17" s="619" t="s">
        <v>117</v>
      </c>
    </row>
    <row r="18" spans="1:52" ht="15" customHeight="1" thickBot="1">
      <c r="A18" s="877" t="s">
        <v>118</v>
      </c>
      <c r="B18" s="897"/>
      <c r="C18" s="493">
        <v>18</v>
      </c>
      <c r="D18" s="494" t="s">
        <v>119</v>
      </c>
      <c r="E18" s="898" t="s">
        <v>120</v>
      </c>
      <c r="F18" s="899"/>
      <c r="G18" s="900"/>
      <c r="H18" s="495">
        <v>6</v>
      </c>
      <c r="I18" s="494" t="s">
        <v>119</v>
      </c>
      <c r="J18" s="257"/>
      <c r="K18" s="257"/>
      <c r="L18" s="257"/>
      <c r="M18" s="250"/>
      <c r="O18" s="7">
        <v>0</v>
      </c>
      <c r="P18" s="7" t="str">
        <v>要介護4</v>
      </c>
      <c r="Q18" s="7" t="str">
        <v>１，０１３</v>
      </c>
      <c r="R18" s="7" t="str">
        <v>１０，２７１</v>
      </c>
      <c r="T18" s="289"/>
      <c r="U18" s="787" t="s">
        <v>1923</v>
      </c>
      <c r="V18" s="777">
        <v>416</v>
      </c>
      <c r="W18" s="778">
        <v>478</v>
      </c>
      <c r="X18" s="778">
        <v>540</v>
      </c>
      <c r="Y18" s="778">
        <v>600</v>
      </c>
      <c r="Z18" s="779">
        <v>663</v>
      </c>
      <c r="AA18" s="780">
        <v>436</v>
      </c>
      <c r="AB18" s="778">
        <v>501</v>
      </c>
      <c r="AC18" s="778">
        <v>566</v>
      </c>
      <c r="AD18" s="778">
        <v>629</v>
      </c>
      <c r="AE18" s="781">
        <v>695</v>
      </c>
      <c r="AF18" s="782">
        <v>657</v>
      </c>
      <c r="AG18" s="778">
        <v>776</v>
      </c>
      <c r="AH18" s="778">
        <v>896</v>
      </c>
      <c r="AI18" s="778">
        <v>1013</v>
      </c>
      <c r="AJ18" s="783">
        <v>1134</v>
      </c>
      <c r="AK18" s="780">
        <v>678</v>
      </c>
      <c r="AL18" s="778">
        <v>801</v>
      </c>
      <c r="AM18" s="778">
        <v>925</v>
      </c>
      <c r="AN18" s="784">
        <v>1049</v>
      </c>
      <c r="AO18" s="785">
        <v>1172</v>
      </c>
      <c r="AP18" s="782">
        <v>753</v>
      </c>
      <c r="AQ18" s="778">
        <v>890</v>
      </c>
      <c r="AR18" s="778">
        <v>1032</v>
      </c>
      <c r="AS18" s="778">
        <v>1172</v>
      </c>
      <c r="AT18" s="779">
        <v>1312</v>
      </c>
      <c r="AU18" s="780">
        <v>783</v>
      </c>
      <c r="AV18" s="778">
        <v>925</v>
      </c>
      <c r="AW18" s="784">
        <v>1072</v>
      </c>
      <c r="AX18" s="784">
        <v>1220</v>
      </c>
      <c r="AY18" s="786">
        <v>1365</v>
      </c>
    </row>
    <row r="19" spans="1:52" ht="15" customHeight="1">
      <c r="A19" s="877" t="s">
        <v>121</v>
      </c>
      <c r="B19" s="878"/>
      <c r="C19" s="901" t="s">
        <v>1991</v>
      </c>
      <c r="D19" s="902"/>
      <c r="E19" s="903"/>
      <c r="F19" s="903"/>
      <c r="G19" s="903"/>
      <c r="H19" s="902"/>
      <c r="I19" s="902"/>
      <c r="J19" s="903"/>
      <c r="K19" s="903"/>
      <c r="L19" s="904"/>
      <c r="M19" s="250"/>
      <c r="O19" s="7">
        <v>0</v>
      </c>
      <c r="P19" s="7" t="str">
        <v>要介護5</v>
      </c>
      <c r="Q19" s="7" t="str">
        <v>１，１３４</v>
      </c>
      <c r="R19" s="7" t="str">
        <v>１１，４９８</v>
      </c>
      <c r="T19" s="291" t="s">
        <v>122</v>
      </c>
      <c r="U19" s="299">
        <v>10.9</v>
      </c>
      <c r="V19" s="292">
        <f>ROUNDDOWN(V$18*$U19,0)</f>
        <v>4534</v>
      </c>
      <c r="W19" s="293">
        <f t="shared" ref="W19:AL26" si="0">ROUNDDOWN(W$18*$U19,0)</f>
        <v>5210</v>
      </c>
      <c r="X19" s="293">
        <f t="shared" si="0"/>
        <v>5886</v>
      </c>
      <c r="Y19" s="293">
        <f t="shared" si="0"/>
        <v>6540</v>
      </c>
      <c r="Z19" s="622">
        <f t="shared" si="0"/>
        <v>7226</v>
      </c>
      <c r="AA19" s="292">
        <f>ROUNDDOWN(AA$18*$U19,0)</f>
        <v>4752</v>
      </c>
      <c r="AB19" s="293">
        <f t="shared" si="0"/>
        <v>5460</v>
      </c>
      <c r="AC19" s="293">
        <f t="shared" si="0"/>
        <v>6169</v>
      </c>
      <c r="AD19" s="293">
        <f t="shared" si="0"/>
        <v>6856</v>
      </c>
      <c r="AE19" s="294">
        <f t="shared" si="0"/>
        <v>7575</v>
      </c>
      <c r="AF19" s="625">
        <f>ROUNDDOWN(AF$18*$U19,0)</f>
        <v>7161</v>
      </c>
      <c r="AG19" s="293">
        <f t="shared" si="0"/>
        <v>8458</v>
      </c>
      <c r="AH19" s="293">
        <f t="shared" si="0"/>
        <v>9766</v>
      </c>
      <c r="AI19" s="293">
        <f t="shared" si="0"/>
        <v>11041</v>
      </c>
      <c r="AJ19" s="622">
        <f t="shared" si="0"/>
        <v>12360</v>
      </c>
      <c r="AK19" s="292">
        <f>ROUNDDOWN(AK$18*$U19,0)</f>
        <v>7390</v>
      </c>
      <c r="AL19" s="293">
        <f t="shared" si="0"/>
        <v>8730</v>
      </c>
      <c r="AM19" s="293">
        <f t="shared" ref="AL19:AP26" si="1">ROUNDDOWN(AM$18*$U19,0)</f>
        <v>10082</v>
      </c>
      <c r="AN19" s="293">
        <f t="shared" si="1"/>
        <v>11434</v>
      </c>
      <c r="AO19" s="294">
        <f t="shared" si="1"/>
        <v>12774</v>
      </c>
      <c r="AP19" s="625">
        <f>ROUNDDOWN(AP$18*$U19,0)</f>
        <v>8207</v>
      </c>
      <c r="AQ19" s="293">
        <f t="shared" ref="AQ19:AU26" si="2">ROUNDDOWN(AQ$18*$U19,0)</f>
        <v>9701</v>
      </c>
      <c r="AR19" s="293">
        <f t="shared" si="2"/>
        <v>11248</v>
      </c>
      <c r="AS19" s="293">
        <f t="shared" si="2"/>
        <v>12774</v>
      </c>
      <c r="AT19" s="622">
        <f t="shared" si="2"/>
        <v>14300</v>
      </c>
      <c r="AU19" s="292">
        <f>ROUNDDOWN(AU$18*$U19,0)</f>
        <v>8534</v>
      </c>
      <c r="AV19" s="293">
        <f t="shared" ref="AV19:AY26" si="3">ROUNDDOWN(AV$18*$U19,0)</f>
        <v>10082</v>
      </c>
      <c r="AW19" s="293">
        <f t="shared" si="3"/>
        <v>11684</v>
      </c>
      <c r="AX19" s="293">
        <f t="shared" si="3"/>
        <v>13298</v>
      </c>
      <c r="AY19" s="294">
        <f t="shared" si="3"/>
        <v>14878</v>
      </c>
    </row>
    <row r="20" spans="1:52" ht="15" customHeight="1" thickBot="1">
      <c r="A20" s="877" t="s">
        <v>123</v>
      </c>
      <c r="B20" s="878"/>
      <c r="C20" s="905" t="s">
        <v>1921</v>
      </c>
      <c r="D20" s="906"/>
      <c r="E20" s="906"/>
      <c r="F20" s="906"/>
      <c r="G20" s="906"/>
      <c r="H20" s="906"/>
      <c r="I20" s="907"/>
      <c r="J20" s="907"/>
      <c r="K20" s="907"/>
      <c r="L20" s="908"/>
      <c r="M20" s="250"/>
      <c r="O20" s="7" t="str">
        <v>6時間以上7時間未満</v>
      </c>
      <c r="P20" s="7" t="str">
        <v>要介護1</v>
      </c>
      <c r="Q20" s="7" t="str">
        <v>６７８</v>
      </c>
      <c r="R20" s="7" t="str">
        <f t="array" ref="R20:R24">TRANSPOSE(B45:F45)</f>
        <v>６，８７４</v>
      </c>
      <c r="T20" s="291" t="s">
        <v>124</v>
      </c>
      <c r="U20" s="299">
        <v>10.72</v>
      </c>
      <c r="V20" s="292">
        <f t="shared" ref="V20:V26" si="4">ROUNDDOWN(V$18*$U20,0)</f>
        <v>4459</v>
      </c>
      <c r="W20" s="293">
        <f t="shared" si="0"/>
        <v>5124</v>
      </c>
      <c r="X20" s="293">
        <f t="shared" si="0"/>
        <v>5788</v>
      </c>
      <c r="Y20" s="293">
        <f t="shared" si="0"/>
        <v>6432</v>
      </c>
      <c r="Z20" s="622">
        <f t="shared" si="0"/>
        <v>7107</v>
      </c>
      <c r="AA20" s="292">
        <f t="shared" si="0"/>
        <v>4673</v>
      </c>
      <c r="AB20" s="293">
        <f t="shared" si="0"/>
        <v>5370</v>
      </c>
      <c r="AC20" s="293">
        <f t="shared" si="0"/>
        <v>6067</v>
      </c>
      <c r="AD20" s="293">
        <f t="shared" si="0"/>
        <v>6742</v>
      </c>
      <c r="AE20" s="294">
        <f t="shared" si="0"/>
        <v>7450</v>
      </c>
      <c r="AF20" s="625">
        <f t="shared" si="0"/>
        <v>7043</v>
      </c>
      <c r="AG20" s="293">
        <f t="shared" si="0"/>
        <v>8318</v>
      </c>
      <c r="AH20" s="293">
        <f t="shared" si="0"/>
        <v>9605</v>
      </c>
      <c r="AI20" s="293">
        <f t="shared" si="0"/>
        <v>10859</v>
      </c>
      <c r="AJ20" s="622">
        <f t="shared" si="0"/>
        <v>12156</v>
      </c>
      <c r="AK20" s="292">
        <f t="shared" si="0"/>
        <v>7268</v>
      </c>
      <c r="AL20" s="293">
        <f t="shared" si="1"/>
        <v>8586</v>
      </c>
      <c r="AM20" s="293">
        <f t="shared" si="1"/>
        <v>9916</v>
      </c>
      <c r="AN20" s="293">
        <f t="shared" si="1"/>
        <v>11245</v>
      </c>
      <c r="AO20" s="294">
        <f t="shared" si="1"/>
        <v>12563</v>
      </c>
      <c r="AP20" s="625">
        <f t="shared" si="1"/>
        <v>8072</v>
      </c>
      <c r="AQ20" s="293">
        <f t="shared" si="2"/>
        <v>9540</v>
      </c>
      <c r="AR20" s="293">
        <f t="shared" si="2"/>
        <v>11063</v>
      </c>
      <c r="AS20" s="293">
        <f t="shared" si="2"/>
        <v>12563</v>
      </c>
      <c r="AT20" s="622">
        <f t="shared" si="2"/>
        <v>14064</v>
      </c>
      <c r="AU20" s="292">
        <f t="shared" si="2"/>
        <v>8393</v>
      </c>
      <c r="AV20" s="293">
        <f t="shared" si="3"/>
        <v>9916</v>
      </c>
      <c r="AW20" s="293">
        <f t="shared" si="3"/>
        <v>11491</v>
      </c>
      <c r="AX20" s="293">
        <f t="shared" si="3"/>
        <v>13078</v>
      </c>
      <c r="AY20" s="294">
        <f t="shared" si="3"/>
        <v>14632</v>
      </c>
    </row>
    <row r="21" spans="1:52" ht="15" customHeight="1" thickBot="1">
      <c r="A21" s="857" t="s">
        <v>125</v>
      </c>
      <c r="B21" s="858"/>
      <c r="C21" s="853" t="s">
        <v>2027</v>
      </c>
      <c r="D21" s="854"/>
      <c r="E21" s="854"/>
      <c r="F21" s="854"/>
      <c r="G21" s="854"/>
      <c r="H21" s="866"/>
      <c r="I21" s="253"/>
      <c r="J21" s="254"/>
      <c r="K21" s="254"/>
      <c r="L21" s="250"/>
      <c r="M21" s="250"/>
      <c r="O21" s="7">
        <v>0</v>
      </c>
      <c r="P21" s="7" t="str">
        <v>要介護2</v>
      </c>
      <c r="Q21" s="7" t="str">
        <v>８０１</v>
      </c>
      <c r="R21" s="7" t="str">
        <v>８，１２２</v>
      </c>
      <c r="T21" s="291" t="s">
        <v>126</v>
      </c>
      <c r="U21" s="299">
        <v>10.68</v>
      </c>
      <c r="V21" s="292">
        <f t="shared" si="4"/>
        <v>4442</v>
      </c>
      <c r="W21" s="293">
        <f t="shared" si="0"/>
        <v>5105</v>
      </c>
      <c r="X21" s="293">
        <f t="shared" si="0"/>
        <v>5767</v>
      </c>
      <c r="Y21" s="293">
        <f t="shared" si="0"/>
        <v>6408</v>
      </c>
      <c r="Z21" s="622">
        <f t="shared" si="0"/>
        <v>7080</v>
      </c>
      <c r="AA21" s="292">
        <f t="shared" si="0"/>
        <v>4656</v>
      </c>
      <c r="AB21" s="293">
        <f t="shared" si="0"/>
        <v>5350</v>
      </c>
      <c r="AC21" s="293">
        <f t="shared" si="0"/>
        <v>6044</v>
      </c>
      <c r="AD21" s="293">
        <f t="shared" si="0"/>
        <v>6717</v>
      </c>
      <c r="AE21" s="294">
        <f t="shared" si="0"/>
        <v>7422</v>
      </c>
      <c r="AF21" s="625">
        <f t="shared" si="0"/>
        <v>7016</v>
      </c>
      <c r="AG21" s="293">
        <f t="shared" si="0"/>
        <v>8287</v>
      </c>
      <c r="AH21" s="293">
        <f t="shared" si="0"/>
        <v>9569</v>
      </c>
      <c r="AI21" s="293">
        <f t="shared" si="0"/>
        <v>10818</v>
      </c>
      <c r="AJ21" s="622">
        <f t="shared" si="0"/>
        <v>12111</v>
      </c>
      <c r="AK21" s="292">
        <f t="shared" si="0"/>
        <v>7241</v>
      </c>
      <c r="AL21" s="293">
        <f t="shared" si="1"/>
        <v>8554</v>
      </c>
      <c r="AM21" s="293">
        <f t="shared" si="1"/>
        <v>9879</v>
      </c>
      <c r="AN21" s="293">
        <f t="shared" si="1"/>
        <v>11203</v>
      </c>
      <c r="AO21" s="294">
        <f t="shared" si="1"/>
        <v>12516</v>
      </c>
      <c r="AP21" s="625">
        <f t="shared" si="1"/>
        <v>8042</v>
      </c>
      <c r="AQ21" s="293">
        <f t="shared" si="2"/>
        <v>9505</v>
      </c>
      <c r="AR21" s="293">
        <f t="shared" si="2"/>
        <v>11021</v>
      </c>
      <c r="AS21" s="293">
        <f t="shared" si="2"/>
        <v>12516</v>
      </c>
      <c r="AT21" s="622">
        <f t="shared" si="2"/>
        <v>14012</v>
      </c>
      <c r="AU21" s="292">
        <f t="shared" si="2"/>
        <v>8362</v>
      </c>
      <c r="AV21" s="293">
        <f t="shared" si="3"/>
        <v>9879</v>
      </c>
      <c r="AW21" s="293">
        <f t="shared" si="3"/>
        <v>11448</v>
      </c>
      <c r="AX21" s="293">
        <f t="shared" si="3"/>
        <v>13029</v>
      </c>
      <c r="AY21" s="294">
        <f t="shared" si="3"/>
        <v>14578</v>
      </c>
    </row>
    <row r="22" spans="1:52" ht="15" customHeight="1">
      <c r="A22" s="895" t="s">
        <v>127</v>
      </c>
      <c r="B22" s="896"/>
      <c r="C22" s="853" t="s">
        <v>1992</v>
      </c>
      <c r="D22" s="854"/>
      <c r="E22" s="854"/>
      <c r="F22" s="855"/>
      <c r="G22" s="855"/>
      <c r="H22" s="855"/>
      <c r="I22" s="855"/>
      <c r="J22" s="855"/>
      <c r="K22" s="856"/>
      <c r="L22" s="250"/>
      <c r="M22" s="250"/>
      <c r="O22" s="7">
        <v>0</v>
      </c>
      <c r="P22" s="7" t="str">
        <v>要介護3</v>
      </c>
      <c r="Q22" s="7" t="str">
        <v>９２５</v>
      </c>
      <c r="R22" s="7" t="str">
        <v>９，３７９</v>
      </c>
      <c r="T22" s="291" t="s">
        <v>128</v>
      </c>
      <c r="U22" s="299">
        <v>10.54</v>
      </c>
      <c r="V22" s="292">
        <f t="shared" si="4"/>
        <v>4384</v>
      </c>
      <c r="W22" s="293">
        <f t="shared" si="0"/>
        <v>5038</v>
      </c>
      <c r="X22" s="293">
        <f t="shared" si="0"/>
        <v>5691</v>
      </c>
      <c r="Y22" s="293">
        <f t="shared" si="0"/>
        <v>6324</v>
      </c>
      <c r="Z22" s="622">
        <f t="shared" si="0"/>
        <v>6988</v>
      </c>
      <c r="AA22" s="292">
        <f t="shared" si="0"/>
        <v>4595</v>
      </c>
      <c r="AB22" s="293">
        <f t="shared" si="0"/>
        <v>5280</v>
      </c>
      <c r="AC22" s="293">
        <f t="shared" si="0"/>
        <v>5965</v>
      </c>
      <c r="AD22" s="293">
        <f t="shared" si="0"/>
        <v>6629</v>
      </c>
      <c r="AE22" s="294">
        <f t="shared" si="0"/>
        <v>7325</v>
      </c>
      <c r="AF22" s="625">
        <f t="shared" si="0"/>
        <v>6924</v>
      </c>
      <c r="AG22" s="293">
        <f t="shared" si="0"/>
        <v>8179</v>
      </c>
      <c r="AH22" s="293">
        <f t="shared" si="0"/>
        <v>9443</v>
      </c>
      <c r="AI22" s="293">
        <f t="shared" si="0"/>
        <v>10677</v>
      </c>
      <c r="AJ22" s="622">
        <f t="shared" si="0"/>
        <v>11952</v>
      </c>
      <c r="AK22" s="292">
        <f t="shared" si="0"/>
        <v>7146</v>
      </c>
      <c r="AL22" s="293">
        <f t="shared" si="1"/>
        <v>8442</v>
      </c>
      <c r="AM22" s="293">
        <f t="shared" si="1"/>
        <v>9749</v>
      </c>
      <c r="AN22" s="293">
        <f t="shared" si="1"/>
        <v>11056</v>
      </c>
      <c r="AO22" s="294">
        <f t="shared" si="1"/>
        <v>12352</v>
      </c>
      <c r="AP22" s="625">
        <f t="shared" si="1"/>
        <v>7936</v>
      </c>
      <c r="AQ22" s="293">
        <f t="shared" si="2"/>
        <v>9380</v>
      </c>
      <c r="AR22" s="293">
        <f t="shared" si="2"/>
        <v>10877</v>
      </c>
      <c r="AS22" s="293">
        <f t="shared" si="2"/>
        <v>12352</v>
      </c>
      <c r="AT22" s="622">
        <f t="shared" si="2"/>
        <v>13828</v>
      </c>
      <c r="AU22" s="292">
        <f t="shared" si="2"/>
        <v>8252</v>
      </c>
      <c r="AV22" s="293">
        <f t="shared" si="3"/>
        <v>9749</v>
      </c>
      <c r="AW22" s="293">
        <f t="shared" si="3"/>
        <v>11298</v>
      </c>
      <c r="AX22" s="293">
        <f t="shared" si="3"/>
        <v>12858</v>
      </c>
      <c r="AY22" s="294">
        <f t="shared" si="3"/>
        <v>14387</v>
      </c>
    </row>
    <row r="23" spans="1:52" ht="15" customHeight="1">
      <c r="A23" s="921" t="s">
        <v>129</v>
      </c>
      <c r="B23" s="922"/>
      <c r="C23" s="776">
        <v>442</v>
      </c>
      <c r="D23" s="788" t="s">
        <v>83</v>
      </c>
      <c r="E23" s="87" t="s">
        <v>1993</v>
      </c>
      <c r="F23" s="871" t="s">
        <v>1994</v>
      </c>
      <c r="G23" s="872"/>
      <c r="H23" s="872"/>
      <c r="I23" s="873"/>
      <c r="J23" s="873"/>
      <c r="K23" s="874"/>
      <c r="L23" s="250"/>
      <c r="M23" s="250"/>
      <c r="O23" s="7">
        <v>0</v>
      </c>
      <c r="P23" s="7" t="str">
        <v>要介護4</v>
      </c>
      <c r="Q23" s="7" t="str">
        <v>１，０４９</v>
      </c>
      <c r="R23" s="7" t="str">
        <v>１０，６３６</v>
      </c>
      <c r="T23" s="291" t="s">
        <v>130</v>
      </c>
      <c r="U23" s="299">
        <v>10.45</v>
      </c>
      <c r="V23" s="292">
        <f t="shared" si="4"/>
        <v>4347</v>
      </c>
      <c r="W23" s="293">
        <f t="shared" si="0"/>
        <v>4995</v>
      </c>
      <c r="X23" s="293">
        <f t="shared" si="0"/>
        <v>5643</v>
      </c>
      <c r="Y23" s="293">
        <f t="shared" si="0"/>
        <v>6270</v>
      </c>
      <c r="Z23" s="622">
        <f t="shared" si="0"/>
        <v>6928</v>
      </c>
      <c r="AA23" s="292">
        <f t="shared" si="0"/>
        <v>4556</v>
      </c>
      <c r="AB23" s="293">
        <f t="shared" si="0"/>
        <v>5235</v>
      </c>
      <c r="AC23" s="293">
        <f t="shared" si="0"/>
        <v>5914</v>
      </c>
      <c r="AD23" s="293">
        <f t="shared" si="0"/>
        <v>6573</v>
      </c>
      <c r="AE23" s="294">
        <f t="shared" si="0"/>
        <v>7262</v>
      </c>
      <c r="AF23" s="625">
        <f t="shared" si="0"/>
        <v>6865</v>
      </c>
      <c r="AG23" s="293">
        <f t="shared" si="0"/>
        <v>8109</v>
      </c>
      <c r="AH23" s="293">
        <f t="shared" si="0"/>
        <v>9363</v>
      </c>
      <c r="AI23" s="293">
        <f t="shared" si="0"/>
        <v>10585</v>
      </c>
      <c r="AJ23" s="622">
        <f t="shared" si="0"/>
        <v>11850</v>
      </c>
      <c r="AK23" s="292">
        <f t="shared" si="0"/>
        <v>7085</v>
      </c>
      <c r="AL23" s="293">
        <f t="shared" si="1"/>
        <v>8370</v>
      </c>
      <c r="AM23" s="293">
        <f t="shared" si="1"/>
        <v>9666</v>
      </c>
      <c r="AN23" s="293">
        <f t="shared" si="1"/>
        <v>10962</v>
      </c>
      <c r="AO23" s="294">
        <f t="shared" si="1"/>
        <v>12247</v>
      </c>
      <c r="AP23" s="625">
        <f t="shared" si="1"/>
        <v>7868</v>
      </c>
      <c r="AQ23" s="293">
        <f t="shared" si="2"/>
        <v>9300</v>
      </c>
      <c r="AR23" s="293">
        <f t="shared" si="2"/>
        <v>10784</v>
      </c>
      <c r="AS23" s="293">
        <f t="shared" si="2"/>
        <v>12247</v>
      </c>
      <c r="AT23" s="622">
        <f t="shared" si="2"/>
        <v>13710</v>
      </c>
      <c r="AU23" s="292">
        <f t="shared" si="2"/>
        <v>8182</v>
      </c>
      <c r="AV23" s="293">
        <f t="shared" si="3"/>
        <v>9666</v>
      </c>
      <c r="AW23" s="293">
        <f t="shared" si="3"/>
        <v>11202</v>
      </c>
      <c r="AX23" s="293">
        <f t="shared" si="3"/>
        <v>12749</v>
      </c>
      <c r="AY23" s="294">
        <f t="shared" si="3"/>
        <v>14264</v>
      </c>
    </row>
    <row r="24" spans="1:52" ht="15" customHeight="1" thickBot="1">
      <c r="A24" s="923"/>
      <c r="B24" s="924"/>
      <c r="C24" s="853"/>
      <c r="D24" s="854"/>
      <c r="E24" s="854"/>
      <c r="F24" s="875"/>
      <c r="G24" s="875"/>
      <c r="H24" s="875"/>
      <c r="I24" s="854"/>
      <c r="J24" s="854"/>
      <c r="K24" s="866"/>
      <c r="L24" s="250"/>
      <c r="M24" s="250"/>
      <c r="O24" s="7">
        <v>0</v>
      </c>
      <c r="P24" s="7" t="str">
        <v>要介護5</v>
      </c>
      <c r="Q24" s="7" t="str">
        <v>１，１７２</v>
      </c>
      <c r="R24" s="7" t="str">
        <v>１１，８８４</v>
      </c>
      <c r="T24" s="291" t="s">
        <v>131</v>
      </c>
      <c r="U24" s="299">
        <v>10.27</v>
      </c>
      <c r="V24" s="292">
        <f t="shared" si="4"/>
        <v>4272</v>
      </c>
      <c r="W24" s="293">
        <f t="shared" si="0"/>
        <v>4909</v>
      </c>
      <c r="X24" s="293">
        <f t="shared" si="0"/>
        <v>5545</v>
      </c>
      <c r="Y24" s="293">
        <f t="shared" si="0"/>
        <v>6162</v>
      </c>
      <c r="Z24" s="622">
        <f t="shared" si="0"/>
        <v>6809</v>
      </c>
      <c r="AA24" s="292">
        <f t="shared" si="0"/>
        <v>4477</v>
      </c>
      <c r="AB24" s="293">
        <f t="shared" si="0"/>
        <v>5145</v>
      </c>
      <c r="AC24" s="293">
        <f t="shared" si="0"/>
        <v>5812</v>
      </c>
      <c r="AD24" s="293">
        <f t="shared" si="0"/>
        <v>6459</v>
      </c>
      <c r="AE24" s="294">
        <f t="shared" si="0"/>
        <v>7137</v>
      </c>
      <c r="AF24" s="625">
        <f t="shared" si="0"/>
        <v>6747</v>
      </c>
      <c r="AG24" s="293">
        <f t="shared" si="0"/>
        <v>7969</v>
      </c>
      <c r="AH24" s="293">
        <f t="shared" si="0"/>
        <v>9201</v>
      </c>
      <c r="AI24" s="293">
        <f t="shared" si="0"/>
        <v>10403</v>
      </c>
      <c r="AJ24" s="622">
        <f t="shared" si="0"/>
        <v>11646</v>
      </c>
      <c r="AK24" s="292">
        <f t="shared" si="0"/>
        <v>6963</v>
      </c>
      <c r="AL24" s="293">
        <f t="shared" si="1"/>
        <v>8226</v>
      </c>
      <c r="AM24" s="293">
        <f t="shared" si="1"/>
        <v>9499</v>
      </c>
      <c r="AN24" s="293">
        <f t="shared" si="1"/>
        <v>10773</v>
      </c>
      <c r="AO24" s="294">
        <f t="shared" si="1"/>
        <v>12036</v>
      </c>
      <c r="AP24" s="625">
        <f t="shared" si="1"/>
        <v>7733</v>
      </c>
      <c r="AQ24" s="293">
        <f t="shared" si="2"/>
        <v>9140</v>
      </c>
      <c r="AR24" s="293">
        <f t="shared" si="2"/>
        <v>10598</v>
      </c>
      <c r="AS24" s="293">
        <f t="shared" si="2"/>
        <v>12036</v>
      </c>
      <c r="AT24" s="622">
        <f t="shared" si="2"/>
        <v>13474</v>
      </c>
      <c r="AU24" s="292">
        <f t="shared" si="2"/>
        <v>8041</v>
      </c>
      <c r="AV24" s="293">
        <f t="shared" si="3"/>
        <v>9499</v>
      </c>
      <c r="AW24" s="293">
        <f t="shared" si="3"/>
        <v>11009</v>
      </c>
      <c r="AX24" s="293">
        <f t="shared" si="3"/>
        <v>12529</v>
      </c>
      <c r="AY24" s="294">
        <f t="shared" si="3"/>
        <v>14018</v>
      </c>
    </row>
    <row r="25" spans="1:52" ht="15" customHeight="1" thickBot="1">
      <c r="A25" s="895" t="s">
        <v>132</v>
      </c>
      <c r="B25" s="896"/>
      <c r="C25" s="925" t="s">
        <v>1995</v>
      </c>
      <c r="D25" s="926"/>
      <c r="E25" s="927"/>
      <c r="F25" s="928" t="s">
        <v>133</v>
      </c>
      <c r="G25" s="929"/>
      <c r="H25" s="930"/>
      <c r="I25" s="884" t="s">
        <v>1996</v>
      </c>
      <c r="J25" s="885"/>
      <c r="K25" s="890"/>
      <c r="L25" s="250"/>
      <c r="M25" s="250"/>
      <c r="O25" s="7" t="str">
        <v>7時間以上8時間未満</v>
      </c>
      <c r="P25" s="7" t="str">
        <v>要介護1</v>
      </c>
      <c r="Q25" s="7" t="str">
        <v>７５３</v>
      </c>
      <c r="R25" s="7" t="str">
        <f t="array" ref="R25:R29">TRANSPOSE(B46:F46)</f>
        <v>７，６３５</v>
      </c>
      <c r="T25" s="291" t="s">
        <v>134</v>
      </c>
      <c r="U25" s="299">
        <v>10.14</v>
      </c>
      <c r="V25" s="292">
        <f t="shared" si="4"/>
        <v>4218</v>
      </c>
      <c r="W25" s="293">
        <f t="shared" si="0"/>
        <v>4846</v>
      </c>
      <c r="X25" s="293">
        <f t="shared" si="0"/>
        <v>5475</v>
      </c>
      <c r="Y25" s="293">
        <f t="shared" si="0"/>
        <v>6084</v>
      </c>
      <c r="Z25" s="622">
        <f t="shared" si="0"/>
        <v>6722</v>
      </c>
      <c r="AA25" s="292">
        <f t="shared" si="0"/>
        <v>4421</v>
      </c>
      <c r="AB25" s="293">
        <f t="shared" si="0"/>
        <v>5080</v>
      </c>
      <c r="AC25" s="293">
        <f t="shared" si="0"/>
        <v>5739</v>
      </c>
      <c r="AD25" s="293">
        <f t="shared" si="0"/>
        <v>6378</v>
      </c>
      <c r="AE25" s="294">
        <f t="shared" si="0"/>
        <v>7047</v>
      </c>
      <c r="AF25" s="625">
        <f t="shared" si="0"/>
        <v>6661</v>
      </c>
      <c r="AG25" s="293">
        <f t="shared" si="0"/>
        <v>7868</v>
      </c>
      <c r="AH25" s="293">
        <f t="shared" si="0"/>
        <v>9085</v>
      </c>
      <c r="AI25" s="293">
        <f t="shared" si="0"/>
        <v>10271</v>
      </c>
      <c r="AJ25" s="622">
        <f t="shared" si="0"/>
        <v>11498</v>
      </c>
      <c r="AK25" s="292">
        <f t="shared" si="0"/>
        <v>6874</v>
      </c>
      <c r="AL25" s="293">
        <f t="shared" si="1"/>
        <v>8122</v>
      </c>
      <c r="AM25" s="293">
        <f t="shared" si="1"/>
        <v>9379</v>
      </c>
      <c r="AN25" s="293">
        <f t="shared" si="1"/>
        <v>10636</v>
      </c>
      <c r="AO25" s="294">
        <f t="shared" si="1"/>
        <v>11884</v>
      </c>
      <c r="AP25" s="625">
        <f t="shared" si="1"/>
        <v>7635</v>
      </c>
      <c r="AQ25" s="293">
        <f t="shared" si="2"/>
        <v>9024</v>
      </c>
      <c r="AR25" s="293">
        <f t="shared" si="2"/>
        <v>10464</v>
      </c>
      <c r="AS25" s="293">
        <f t="shared" si="2"/>
        <v>11884</v>
      </c>
      <c r="AT25" s="622">
        <f t="shared" si="2"/>
        <v>13303</v>
      </c>
      <c r="AU25" s="292">
        <f t="shared" si="2"/>
        <v>7939</v>
      </c>
      <c r="AV25" s="293">
        <f t="shared" si="3"/>
        <v>9379</v>
      </c>
      <c r="AW25" s="293">
        <f t="shared" si="3"/>
        <v>10870</v>
      </c>
      <c r="AX25" s="293">
        <f t="shared" si="3"/>
        <v>12370</v>
      </c>
      <c r="AY25" s="294">
        <f t="shared" si="3"/>
        <v>13841</v>
      </c>
    </row>
    <row r="26" spans="1:52" ht="15" customHeight="1" thickBot="1">
      <c r="A26" s="895" t="s">
        <v>135</v>
      </c>
      <c r="B26" s="896"/>
      <c r="C26" s="891" t="s">
        <v>1954</v>
      </c>
      <c r="D26" s="892"/>
      <c r="E26" s="892"/>
      <c r="F26" s="893"/>
      <c r="G26" s="894"/>
      <c r="H26" s="17" t="s">
        <v>136</v>
      </c>
      <c r="I26" s="919" t="s">
        <v>1997</v>
      </c>
      <c r="J26" s="892"/>
      <c r="K26" s="920"/>
      <c r="L26" s="250"/>
      <c r="M26" s="250"/>
      <c r="O26" s="7">
        <v>0</v>
      </c>
      <c r="P26" s="7" t="str">
        <v>要介護2</v>
      </c>
      <c r="Q26" s="7" t="str">
        <v>８９０</v>
      </c>
      <c r="R26" s="7" t="str">
        <v>９，０２４</v>
      </c>
      <c r="T26" s="291" t="s">
        <v>137</v>
      </c>
      <c r="U26" s="299">
        <v>10</v>
      </c>
      <c r="V26" s="295">
        <f t="shared" si="4"/>
        <v>4160</v>
      </c>
      <c r="W26" s="296">
        <f t="shared" si="0"/>
        <v>4780</v>
      </c>
      <c r="X26" s="296">
        <f t="shared" si="0"/>
        <v>5400</v>
      </c>
      <c r="Y26" s="296">
        <f t="shared" si="0"/>
        <v>6000</v>
      </c>
      <c r="Z26" s="623">
        <f t="shared" si="0"/>
        <v>6630</v>
      </c>
      <c r="AA26" s="295">
        <f t="shared" si="0"/>
        <v>4360</v>
      </c>
      <c r="AB26" s="296">
        <f t="shared" si="0"/>
        <v>5010</v>
      </c>
      <c r="AC26" s="296">
        <f t="shared" si="0"/>
        <v>5660</v>
      </c>
      <c r="AD26" s="296">
        <f t="shared" si="0"/>
        <v>6290</v>
      </c>
      <c r="AE26" s="297">
        <f t="shared" si="0"/>
        <v>6950</v>
      </c>
      <c r="AF26" s="626">
        <f t="shared" si="0"/>
        <v>6570</v>
      </c>
      <c r="AG26" s="296">
        <f t="shared" si="0"/>
        <v>7760</v>
      </c>
      <c r="AH26" s="296">
        <f t="shared" si="0"/>
        <v>8960</v>
      </c>
      <c r="AI26" s="296">
        <f t="shared" si="0"/>
        <v>10130</v>
      </c>
      <c r="AJ26" s="623">
        <f t="shared" si="0"/>
        <v>11340</v>
      </c>
      <c r="AK26" s="295">
        <f t="shared" si="0"/>
        <v>6780</v>
      </c>
      <c r="AL26" s="296">
        <f t="shared" si="1"/>
        <v>8010</v>
      </c>
      <c r="AM26" s="296">
        <f t="shared" si="1"/>
        <v>9250</v>
      </c>
      <c r="AN26" s="296">
        <f t="shared" si="1"/>
        <v>10490</v>
      </c>
      <c r="AO26" s="297">
        <f t="shared" si="1"/>
        <v>11720</v>
      </c>
      <c r="AP26" s="626">
        <f t="shared" si="1"/>
        <v>7530</v>
      </c>
      <c r="AQ26" s="296">
        <f t="shared" si="2"/>
        <v>8900</v>
      </c>
      <c r="AR26" s="296">
        <f t="shared" si="2"/>
        <v>10320</v>
      </c>
      <c r="AS26" s="296">
        <f t="shared" si="2"/>
        <v>11720</v>
      </c>
      <c r="AT26" s="623">
        <f t="shared" si="2"/>
        <v>13120</v>
      </c>
      <c r="AU26" s="295">
        <f t="shared" si="2"/>
        <v>7830</v>
      </c>
      <c r="AV26" s="296">
        <f t="shared" si="3"/>
        <v>9250</v>
      </c>
      <c r="AW26" s="296">
        <f t="shared" si="3"/>
        <v>10720</v>
      </c>
      <c r="AX26" s="296">
        <f t="shared" si="3"/>
        <v>12200</v>
      </c>
      <c r="AY26" s="297">
        <f t="shared" si="3"/>
        <v>13650</v>
      </c>
    </row>
    <row r="27" spans="1:52" ht="15" customHeight="1" thickBot="1">
      <c r="A27" s="952" t="s">
        <v>138</v>
      </c>
      <c r="B27" s="953"/>
      <c r="C27" s="458"/>
      <c r="D27" s="994" t="s">
        <v>139</v>
      </c>
      <c r="E27" s="995"/>
      <c r="F27" s="996"/>
      <c r="G27" s="997"/>
      <c r="H27" s="997"/>
      <c r="I27" s="998"/>
      <c r="J27" s="250"/>
      <c r="K27" s="250"/>
      <c r="L27" s="250"/>
      <c r="M27" s="250"/>
      <c r="O27" s="7">
        <v>0</v>
      </c>
      <c r="P27" s="7" t="str">
        <v>要介護3</v>
      </c>
      <c r="Q27" s="7" t="str">
        <v>１，０３２</v>
      </c>
      <c r="R27" s="7" t="str">
        <v>１０，４６４</v>
      </c>
      <c r="AY27" s="287"/>
      <c r="AZ27" s="287"/>
    </row>
    <row r="28" spans="1:52" ht="15" customHeight="1" thickBot="1">
      <c r="A28" s="954" t="s">
        <v>140</v>
      </c>
      <c r="B28" s="955"/>
      <c r="D28" s="453"/>
      <c r="E28" s="454" t="s">
        <v>67</v>
      </c>
      <c r="F28" s="277"/>
      <c r="G28" s="455" t="s">
        <v>68</v>
      </c>
      <c r="H28" s="277"/>
      <c r="I28" s="456" t="s">
        <v>91</v>
      </c>
      <c r="J28" s="250"/>
      <c r="K28" s="250"/>
      <c r="L28" s="250"/>
      <c r="M28" s="250"/>
      <c r="O28" s="7">
        <v>0</v>
      </c>
      <c r="P28" s="7" t="str">
        <v>要介護4</v>
      </c>
      <c r="Q28" s="7" t="str">
        <v>１，１７２</v>
      </c>
      <c r="R28" s="7" t="str">
        <v>１１，８８４</v>
      </c>
      <c r="T28" s="5"/>
      <c r="V28" s="617" t="s">
        <v>106</v>
      </c>
      <c r="AA28" s="4" t="s">
        <v>107</v>
      </c>
      <c r="AF28" s="4" t="s">
        <v>108</v>
      </c>
      <c r="AK28" s="4" t="s">
        <v>109</v>
      </c>
      <c r="AP28" s="4" t="s">
        <v>110</v>
      </c>
      <c r="AU28" s="4" t="s">
        <v>111</v>
      </c>
    </row>
    <row r="29" spans="1:52" ht="15" customHeight="1" thickBot="1">
      <c r="A29" s="956" t="s">
        <v>141</v>
      </c>
      <c r="B29" s="957"/>
      <c r="C29" s="457"/>
      <c r="D29" s="994" t="s">
        <v>142</v>
      </c>
      <c r="E29" s="995"/>
      <c r="F29" s="919"/>
      <c r="G29" s="892"/>
      <c r="H29" s="892"/>
      <c r="I29" s="920"/>
      <c r="J29" s="250"/>
      <c r="K29" s="250"/>
      <c r="L29" s="250"/>
      <c r="M29" s="250"/>
      <c r="O29" s="7">
        <v>0</v>
      </c>
      <c r="P29" s="7" t="str">
        <v>要介護5</v>
      </c>
      <c r="Q29" s="7" t="str">
        <v>１，３１２</v>
      </c>
      <c r="R29" s="7" t="str">
        <v>１３，３０３</v>
      </c>
      <c r="T29" s="5"/>
      <c r="V29" s="629" t="s">
        <v>113</v>
      </c>
      <c r="W29" s="631" t="s">
        <v>114</v>
      </c>
      <c r="X29" s="631" t="s">
        <v>115</v>
      </c>
      <c r="Y29" s="631" t="s">
        <v>116</v>
      </c>
      <c r="Z29" s="630" t="s">
        <v>117</v>
      </c>
      <c r="AA29" s="629" t="s">
        <v>113</v>
      </c>
      <c r="AB29" s="631" t="s">
        <v>114</v>
      </c>
      <c r="AC29" s="631" t="s">
        <v>115</v>
      </c>
      <c r="AD29" s="631" t="s">
        <v>116</v>
      </c>
      <c r="AE29" s="630" t="s">
        <v>117</v>
      </c>
      <c r="AF29" s="629" t="s">
        <v>113</v>
      </c>
      <c r="AG29" s="631" t="s">
        <v>114</v>
      </c>
      <c r="AH29" s="631" t="s">
        <v>115</v>
      </c>
      <c r="AI29" s="631" t="s">
        <v>116</v>
      </c>
      <c r="AJ29" s="630" t="s">
        <v>117</v>
      </c>
      <c r="AK29" s="629" t="s">
        <v>113</v>
      </c>
      <c r="AL29" s="631" t="s">
        <v>114</v>
      </c>
      <c r="AM29" s="631" t="s">
        <v>115</v>
      </c>
      <c r="AN29" s="631" t="s">
        <v>116</v>
      </c>
      <c r="AO29" s="630" t="s">
        <v>117</v>
      </c>
      <c r="AP29" s="629" t="s">
        <v>113</v>
      </c>
      <c r="AQ29" s="631" t="s">
        <v>114</v>
      </c>
      <c r="AR29" s="631" t="s">
        <v>115</v>
      </c>
      <c r="AS29" s="631" t="s">
        <v>116</v>
      </c>
      <c r="AT29" s="630" t="s">
        <v>117</v>
      </c>
      <c r="AU29" s="629" t="s">
        <v>113</v>
      </c>
      <c r="AV29" s="631" t="s">
        <v>114</v>
      </c>
      <c r="AW29" s="631" t="s">
        <v>115</v>
      </c>
      <c r="AX29" s="631" t="s">
        <v>116</v>
      </c>
      <c r="AY29" s="630" t="s">
        <v>117</v>
      </c>
      <c r="AZ29" s="287"/>
    </row>
    <row r="30" spans="1:52" ht="15" customHeight="1">
      <c r="A30" s="950" t="s">
        <v>143</v>
      </c>
      <c r="B30" s="950"/>
      <c r="C30" s="16" t="s">
        <v>144</v>
      </c>
      <c r="D30" s="949" t="s">
        <v>145</v>
      </c>
      <c r="E30" s="949"/>
      <c r="F30" s="949"/>
      <c r="G30" s="949"/>
      <c r="H30" s="949"/>
      <c r="I30" s="949"/>
      <c r="J30" s="949"/>
      <c r="K30" s="949"/>
      <c r="L30" s="250"/>
      <c r="M30" s="250"/>
      <c r="O30" s="7" t="str">
        <v>8時間以上9時間未満</v>
      </c>
      <c r="P30" s="7" t="str">
        <v>要介護1</v>
      </c>
      <c r="Q30" s="7" t="str">
        <v>７８３</v>
      </c>
      <c r="R30" s="7" t="str">
        <f t="array" ref="R30:R34">TRANSPOSE(B47:F47)</f>
        <v>７，９３９</v>
      </c>
      <c r="T30" s="5"/>
      <c r="V30" s="632" t="str">
        <f t="shared" ref="V30:V38" si="5">DBCS(TEXT(V18,"###,##0"))</f>
        <v>４１６</v>
      </c>
      <c r="W30" s="633" t="str">
        <f t="shared" ref="W30:AY30" si="6">DBCS(TEXT(W18,"###,##0"))</f>
        <v>４７８</v>
      </c>
      <c r="X30" s="633" t="str">
        <f t="shared" si="6"/>
        <v>５４０</v>
      </c>
      <c r="Y30" s="633" t="str">
        <f t="shared" si="6"/>
        <v>６００</v>
      </c>
      <c r="Z30" s="634" t="str">
        <f t="shared" si="6"/>
        <v>６６３</v>
      </c>
      <c r="AA30" s="632" t="str">
        <f>DBCS(TEXT(AA18,"###,##0"))</f>
        <v>４３６</v>
      </c>
      <c r="AB30" s="633" t="str">
        <f t="shared" si="6"/>
        <v>５０１</v>
      </c>
      <c r="AC30" s="633" t="str">
        <f t="shared" si="6"/>
        <v>５６６</v>
      </c>
      <c r="AD30" s="633" t="str">
        <f t="shared" si="6"/>
        <v>６２９</v>
      </c>
      <c r="AE30" s="634" t="str">
        <f t="shared" si="6"/>
        <v>６９５</v>
      </c>
      <c r="AF30" s="632" t="str">
        <f>DBCS(TEXT(AF18,"###,##0"))</f>
        <v>６５７</v>
      </c>
      <c r="AG30" s="633" t="str">
        <f t="shared" si="6"/>
        <v>７７６</v>
      </c>
      <c r="AH30" s="633" t="str">
        <f t="shared" si="6"/>
        <v>８９６</v>
      </c>
      <c r="AI30" s="633" t="str">
        <f t="shared" si="6"/>
        <v>１，０１３</v>
      </c>
      <c r="AJ30" s="634" t="str">
        <f t="shared" si="6"/>
        <v>１，１３４</v>
      </c>
      <c r="AK30" s="632" t="str">
        <f>DBCS(TEXT(AK18,"###,##0"))</f>
        <v>６７８</v>
      </c>
      <c r="AL30" s="633" t="str">
        <f t="shared" si="6"/>
        <v>８０１</v>
      </c>
      <c r="AM30" s="633" t="str">
        <f t="shared" si="6"/>
        <v>９２５</v>
      </c>
      <c r="AN30" s="633" t="str">
        <f t="shared" si="6"/>
        <v>１，０４９</v>
      </c>
      <c r="AO30" s="634" t="str">
        <f t="shared" si="6"/>
        <v>１，１７２</v>
      </c>
      <c r="AP30" s="632" t="str">
        <f>DBCS(TEXT(AP18,"###,##0"))</f>
        <v>７５３</v>
      </c>
      <c r="AQ30" s="633" t="str">
        <f t="shared" si="6"/>
        <v>８９０</v>
      </c>
      <c r="AR30" s="633" t="str">
        <f t="shared" si="6"/>
        <v>１，０３２</v>
      </c>
      <c r="AS30" s="633" t="str">
        <f t="shared" si="6"/>
        <v>１，１７２</v>
      </c>
      <c r="AT30" s="634" t="str">
        <f t="shared" si="6"/>
        <v>１，３１２</v>
      </c>
      <c r="AU30" s="632" t="str">
        <f>DBCS(TEXT(AU18,"###,##0"))</f>
        <v>７８３</v>
      </c>
      <c r="AV30" s="633" t="str">
        <f t="shared" si="6"/>
        <v>９２５</v>
      </c>
      <c r="AW30" s="633" t="str">
        <f t="shared" si="6"/>
        <v>１，０７２</v>
      </c>
      <c r="AX30" s="633" t="str">
        <f t="shared" si="6"/>
        <v>１，２２０</v>
      </c>
      <c r="AY30" s="634" t="str">
        <f t="shared" si="6"/>
        <v>１，３６５</v>
      </c>
      <c r="AZ30" s="302"/>
    </row>
    <row r="31" spans="1:52" ht="15" customHeight="1" thickBot="1">
      <c r="A31" s="950"/>
      <c r="B31" s="950"/>
      <c r="C31" s="16" t="s">
        <v>146</v>
      </c>
      <c r="D31" s="933" t="s">
        <v>147</v>
      </c>
      <c r="E31" s="934"/>
      <c r="F31" s="933" t="s">
        <v>148</v>
      </c>
      <c r="G31" s="934"/>
      <c r="H31" s="935" t="s">
        <v>149</v>
      </c>
      <c r="I31" s="935"/>
      <c r="J31" s="935" t="s">
        <v>150</v>
      </c>
      <c r="K31" s="935"/>
      <c r="L31" s="250"/>
      <c r="M31" s="250"/>
      <c r="O31" s="7">
        <v>0</v>
      </c>
      <c r="P31" s="7" t="str">
        <v>要介護2</v>
      </c>
      <c r="Q31" s="7" t="str">
        <v>９２５</v>
      </c>
      <c r="R31" s="7" t="str">
        <v>９，３７９</v>
      </c>
      <c r="T31" s="7" t="s">
        <v>122</v>
      </c>
      <c r="U31" s="300">
        <v>10.9</v>
      </c>
      <c r="V31" s="635" t="str">
        <f t="shared" si="5"/>
        <v>４，５３４</v>
      </c>
      <c r="W31" s="636" t="str">
        <f t="shared" ref="W31:Z38" si="7">DBCS(TEXT(W19,"###,##0"))</f>
        <v>５，２１０</v>
      </c>
      <c r="X31" s="636" t="str">
        <f t="shared" si="7"/>
        <v>５，８８６</v>
      </c>
      <c r="Y31" s="636" t="str">
        <f t="shared" si="7"/>
        <v>６，５４０</v>
      </c>
      <c r="Z31" s="637" t="str">
        <f t="shared" si="7"/>
        <v>７，２２６</v>
      </c>
      <c r="AA31" s="635" t="str">
        <f>DBCS(TEXT(AA19,"###,##0"))</f>
        <v>４，７５２</v>
      </c>
      <c r="AB31" s="636" t="str">
        <f>DBCS(TEXT(AB19,"###,##0"))</f>
        <v>５，４６０</v>
      </c>
      <c r="AC31" s="636" t="str">
        <f>DBCS(TEXT(AC19,"###,##0"))</f>
        <v>６，１６９</v>
      </c>
      <c r="AD31" s="636" t="str">
        <f>DBCS(TEXT(AD19,"###,##0"))</f>
        <v>６，８５６</v>
      </c>
      <c r="AE31" s="637" t="str">
        <f>DBCS(TEXT(AE19,"###,##0"))</f>
        <v>７，５７５</v>
      </c>
      <c r="AF31" s="635" t="str">
        <f>DBCS(TEXT(AF19,"###,##0"))</f>
        <v>７，１６１</v>
      </c>
      <c r="AG31" s="636" t="str">
        <f>DBCS(TEXT(AG19,"###,##0"))</f>
        <v>８，４５８</v>
      </c>
      <c r="AH31" s="636" t="str">
        <f>DBCS(TEXT(AH19,"###,##0"))</f>
        <v>９，７６６</v>
      </c>
      <c r="AI31" s="636" t="str">
        <f>DBCS(TEXT(AI19,"###,##0"))</f>
        <v>１１，０４１</v>
      </c>
      <c r="AJ31" s="637" t="str">
        <f>DBCS(TEXT(AJ19,"###,##0"))</f>
        <v>１２，３６０</v>
      </c>
      <c r="AK31" s="635" t="str">
        <f>DBCS(TEXT(AK19,"###,##0"))</f>
        <v>７，３９０</v>
      </c>
      <c r="AL31" s="636" t="str">
        <f>DBCS(TEXT(AL19,"###,##0"))</f>
        <v>８，７３０</v>
      </c>
      <c r="AM31" s="636" t="str">
        <f>DBCS(TEXT(AM19,"###,##0"))</f>
        <v>１０，０８２</v>
      </c>
      <c r="AN31" s="636" t="str">
        <f>DBCS(TEXT(AN19,"###,##0"))</f>
        <v>１１，４３４</v>
      </c>
      <c r="AO31" s="637" t="str">
        <f>DBCS(TEXT(AO19,"###,##0"))</f>
        <v>１２，７７４</v>
      </c>
      <c r="AP31" s="635" t="str">
        <f>DBCS(TEXT(AP19,"###,##0"))</f>
        <v>８，２０７</v>
      </c>
      <c r="AQ31" s="636" t="str">
        <f>DBCS(TEXT(AQ19,"###,##0"))</f>
        <v>９，７０１</v>
      </c>
      <c r="AR31" s="636" t="str">
        <f>DBCS(TEXT(AR19,"###,##0"))</f>
        <v>１１，２４８</v>
      </c>
      <c r="AS31" s="636" t="str">
        <f>DBCS(TEXT(AS19,"###,##0"))</f>
        <v>１２，７７４</v>
      </c>
      <c r="AT31" s="637" t="str">
        <f>DBCS(TEXT(AT19,"###,##0"))</f>
        <v>１４，３００</v>
      </c>
      <c r="AU31" s="635" t="str">
        <f>DBCS(TEXT(AU19,"###,##0"))</f>
        <v>８，５３４</v>
      </c>
      <c r="AV31" s="636" t="str">
        <f>DBCS(TEXT(AV19,"###,##0"))</f>
        <v>１０，０８２</v>
      </c>
      <c r="AW31" s="636" t="str">
        <f>DBCS(TEXT(AW19,"###,##0"))</f>
        <v>１１，６８４</v>
      </c>
      <c r="AX31" s="636" t="str">
        <f>DBCS(TEXT(AX19,"###,##0"))</f>
        <v>１３，２９８</v>
      </c>
      <c r="AY31" s="637" t="str">
        <f>DBCS(TEXT(AY19,"###,##0"))</f>
        <v>１４，８７８</v>
      </c>
      <c r="AZ31" s="303"/>
    </row>
    <row r="32" spans="1:52" ht="15" customHeight="1" thickBot="1">
      <c r="A32" s="950" t="s">
        <v>151</v>
      </c>
      <c r="B32" s="950"/>
      <c r="C32" s="264">
        <f t="shared" ref="C32" si="8">SUM(D32:G32)</f>
        <v>1</v>
      </c>
      <c r="D32" s="936"/>
      <c r="E32" s="937"/>
      <c r="F32" s="938">
        <v>1</v>
      </c>
      <c r="G32" s="939"/>
      <c r="H32" s="940"/>
      <c r="I32" s="941"/>
      <c r="J32" s="941"/>
      <c r="K32" s="941"/>
      <c r="L32" s="250"/>
      <c r="M32" s="250"/>
      <c r="O32" s="7">
        <v>0</v>
      </c>
      <c r="P32" s="7" t="str">
        <v>要介護3</v>
      </c>
      <c r="Q32" s="7" t="str">
        <v>１，０７２</v>
      </c>
      <c r="R32" s="7" t="str">
        <v>１０，８７０</v>
      </c>
      <c r="T32" s="7" t="s">
        <v>124</v>
      </c>
      <c r="U32" s="300">
        <v>10.72</v>
      </c>
      <c r="V32" s="635" t="str">
        <f t="shared" si="5"/>
        <v>４，４５９</v>
      </c>
      <c r="W32" s="636" t="str">
        <f t="shared" si="7"/>
        <v>５，１２４</v>
      </c>
      <c r="X32" s="636" t="str">
        <f t="shared" si="7"/>
        <v>５，７８８</v>
      </c>
      <c r="Y32" s="636" t="str">
        <f t="shared" si="7"/>
        <v>６，４３２</v>
      </c>
      <c r="Z32" s="637" t="str">
        <f t="shared" si="7"/>
        <v>７，１０７</v>
      </c>
      <c r="AA32" s="635" t="str">
        <f t="shared" ref="AA32:AY32" si="9">DBCS(TEXT(AA20,"###,##0"))</f>
        <v>４，６７３</v>
      </c>
      <c r="AB32" s="636" t="str">
        <f t="shared" si="9"/>
        <v>５，３７０</v>
      </c>
      <c r="AC32" s="636" t="str">
        <f t="shared" si="9"/>
        <v>６，０６７</v>
      </c>
      <c r="AD32" s="636" t="str">
        <f t="shared" si="9"/>
        <v>６，７４２</v>
      </c>
      <c r="AE32" s="637" t="str">
        <f t="shared" si="9"/>
        <v>７，４５０</v>
      </c>
      <c r="AF32" s="635" t="str">
        <f t="shared" si="9"/>
        <v>７，０４３</v>
      </c>
      <c r="AG32" s="636" t="str">
        <f t="shared" si="9"/>
        <v>８，３１８</v>
      </c>
      <c r="AH32" s="636" t="str">
        <f t="shared" si="9"/>
        <v>９，６０５</v>
      </c>
      <c r="AI32" s="636" t="str">
        <f t="shared" si="9"/>
        <v>１０，８５９</v>
      </c>
      <c r="AJ32" s="637" t="str">
        <f t="shared" si="9"/>
        <v>１２，１５６</v>
      </c>
      <c r="AK32" s="635" t="str">
        <f t="shared" si="9"/>
        <v>７，２６８</v>
      </c>
      <c r="AL32" s="636" t="str">
        <f t="shared" si="9"/>
        <v>８，５８６</v>
      </c>
      <c r="AM32" s="636" t="str">
        <f t="shared" si="9"/>
        <v>９，９１６</v>
      </c>
      <c r="AN32" s="636" t="str">
        <f t="shared" si="9"/>
        <v>１１，２４５</v>
      </c>
      <c r="AO32" s="637" t="str">
        <f t="shared" si="9"/>
        <v>１２，５６３</v>
      </c>
      <c r="AP32" s="635" t="str">
        <f t="shared" si="9"/>
        <v>８，０７２</v>
      </c>
      <c r="AQ32" s="636" t="str">
        <f t="shared" si="9"/>
        <v>９，５４０</v>
      </c>
      <c r="AR32" s="636" t="str">
        <f t="shared" si="9"/>
        <v>１１，０６３</v>
      </c>
      <c r="AS32" s="636" t="str">
        <f t="shared" si="9"/>
        <v>１２，５６３</v>
      </c>
      <c r="AT32" s="637" t="str">
        <f t="shared" si="9"/>
        <v>１４，０６４</v>
      </c>
      <c r="AU32" s="635" t="str">
        <f t="shared" si="9"/>
        <v>８，３９３</v>
      </c>
      <c r="AV32" s="636" t="str">
        <f t="shared" si="9"/>
        <v>９，９１６</v>
      </c>
      <c r="AW32" s="636" t="str">
        <f t="shared" si="9"/>
        <v>１１，４９１</v>
      </c>
      <c r="AX32" s="636" t="str">
        <f t="shared" si="9"/>
        <v>１３，０７８</v>
      </c>
      <c r="AY32" s="637" t="str">
        <f t="shared" si="9"/>
        <v>１４，６３２</v>
      </c>
      <c r="AZ32" s="303"/>
    </row>
    <row r="33" spans="1:52" ht="15" customHeight="1">
      <c r="A33" s="950" t="s">
        <v>152</v>
      </c>
      <c r="B33" s="950"/>
      <c r="C33" s="264">
        <f>SUM(D33:K33)</f>
        <v>3</v>
      </c>
      <c r="D33" s="999"/>
      <c r="E33" s="1000"/>
      <c r="F33" s="944">
        <v>3</v>
      </c>
      <c r="G33" s="945"/>
      <c r="H33" s="942"/>
      <c r="I33" s="951"/>
      <c r="J33" s="942"/>
      <c r="K33" s="943"/>
      <c r="L33" s="250"/>
      <c r="M33" s="250"/>
      <c r="O33" s="7">
        <v>0</v>
      </c>
      <c r="P33" s="7" t="str">
        <v>要介護4</v>
      </c>
      <c r="Q33" s="7" t="str">
        <v>１，２２０</v>
      </c>
      <c r="R33" s="7" t="str">
        <v>１２，３７０</v>
      </c>
      <c r="T33" s="7" t="s">
        <v>126</v>
      </c>
      <c r="U33" s="300">
        <v>10.68</v>
      </c>
      <c r="V33" s="635" t="str">
        <f t="shared" si="5"/>
        <v>４，４４２</v>
      </c>
      <c r="W33" s="636" t="str">
        <f t="shared" si="7"/>
        <v>５，１０５</v>
      </c>
      <c r="X33" s="636" t="str">
        <f t="shared" si="7"/>
        <v>５，７６７</v>
      </c>
      <c r="Y33" s="636" t="str">
        <f t="shared" si="7"/>
        <v>６，４０８</v>
      </c>
      <c r="Z33" s="637" t="str">
        <f t="shared" si="7"/>
        <v>７，０８０</v>
      </c>
      <c r="AA33" s="635" t="str">
        <f t="shared" ref="AA33:AY33" si="10">DBCS(TEXT(AA21,"###,##0"))</f>
        <v>４，６５６</v>
      </c>
      <c r="AB33" s="636" t="str">
        <f t="shared" si="10"/>
        <v>５，３５０</v>
      </c>
      <c r="AC33" s="636" t="str">
        <f t="shared" si="10"/>
        <v>６，０４４</v>
      </c>
      <c r="AD33" s="636" t="str">
        <f t="shared" si="10"/>
        <v>６，７１７</v>
      </c>
      <c r="AE33" s="637" t="str">
        <f t="shared" si="10"/>
        <v>７，４２２</v>
      </c>
      <c r="AF33" s="635" t="str">
        <f t="shared" si="10"/>
        <v>７，０１６</v>
      </c>
      <c r="AG33" s="636" t="str">
        <f t="shared" si="10"/>
        <v>８，２８７</v>
      </c>
      <c r="AH33" s="636" t="str">
        <f t="shared" si="10"/>
        <v>９，５６９</v>
      </c>
      <c r="AI33" s="636" t="str">
        <f t="shared" si="10"/>
        <v>１０，８１８</v>
      </c>
      <c r="AJ33" s="637" t="str">
        <f t="shared" si="10"/>
        <v>１２，１１１</v>
      </c>
      <c r="AK33" s="635" t="str">
        <f t="shared" si="10"/>
        <v>７，２４１</v>
      </c>
      <c r="AL33" s="636" t="str">
        <f t="shared" si="10"/>
        <v>８，５５４</v>
      </c>
      <c r="AM33" s="636" t="str">
        <f t="shared" si="10"/>
        <v>９，８７９</v>
      </c>
      <c r="AN33" s="636" t="str">
        <f t="shared" si="10"/>
        <v>１１，２０３</v>
      </c>
      <c r="AO33" s="637" t="str">
        <f t="shared" si="10"/>
        <v>１２，５１６</v>
      </c>
      <c r="AP33" s="635" t="str">
        <f t="shared" si="10"/>
        <v>８，０４２</v>
      </c>
      <c r="AQ33" s="636" t="str">
        <f t="shared" si="10"/>
        <v>９，５０５</v>
      </c>
      <c r="AR33" s="636" t="str">
        <f t="shared" si="10"/>
        <v>１１，０２１</v>
      </c>
      <c r="AS33" s="636" t="str">
        <f t="shared" si="10"/>
        <v>１２，５１６</v>
      </c>
      <c r="AT33" s="637" t="str">
        <f t="shared" si="10"/>
        <v>１４，０１２</v>
      </c>
      <c r="AU33" s="635" t="str">
        <f t="shared" si="10"/>
        <v>８，３６２</v>
      </c>
      <c r="AV33" s="636" t="str">
        <f t="shared" si="10"/>
        <v>９，８７９</v>
      </c>
      <c r="AW33" s="636" t="str">
        <f t="shared" si="10"/>
        <v>１１，４４８</v>
      </c>
      <c r="AX33" s="636" t="str">
        <f t="shared" si="10"/>
        <v>１３，０２９</v>
      </c>
      <c r="AY33" s="637" t="str">
        <f t="shared" si="10"/>
        <v>１４，５７８</v>
      </c>
      <c r="AZ33" s="303"/>
    </row>
    <row r="34" spans="1:52" ht="15" customHeight="1">
      <c r="A34" s="950" t="s">
        <v>153</v>
      </c>
      <c r="B34" s="950"/>
      <c r="C34" s="264">
        <f>SUM(D34:K34)</f>
        <v>9</v>
      </c>
      <c r="D34" s="999">
        <v>1</v>
      </c>
      <c r="E34" s="1000"/>
      <c r="F34" s="944">
        <v>5</v>
      </c>
      <c r="G34" s="945"/>
      <c r="H34" s="944">
        <v>3</v>
      </c>
      <c r="I34" s="945"/>
      <c r="J34" s="944"/>
      <c r="K34" s="946"/>
      <c r="L34" s="250"/>
      <c r="M34" s="250"/>
      <c r="O34" s="7">
        <v>0</v>
      </c>
      <c r="P34" s="7" t="str">
        <v>要介護5</v>
      </c>
      <c r="Q34" s="7" t="str">
        <v>１，３６５</v>
      </c>
      <c r="R34" s="7" t="str">
        <v>１３，８４１</v>
      </c>
      <c r="T34" s="7" t="s">
        <v>128</v>
      </c>
      <c r="U34" s="300">
        <v>10.54</v>
      </c>
      <c r="V34" s="635" t="str">
        <f t="shared" si="5"/>
        <v>４，３８４</v>
      </c>
      <c r="W34" s="636" t="str">
        <f t="shared" si="7"/>
        <v>５，０３８</v>
      </c>
      <c r="X34" s="636" t="str">
        <f t="shared" si="7"/>
        <v>５，６９１</v>
      </c>
      <c r="Y34" s="636" t="str">
        <f t="shared" si="7"/>
        <v>６，３２４</v>
      </c>
      <c r="Z34" s="637" t="str">
        <f t="shared" si="7"/>
        <v>６，９８８</v>
      </c>
      <c r="AA34" s="635" t="str">
        <f t="shared" ref="AA34:AY34" si="11">DBCS(TEXT(AA22,"###,##0"))</f>
        <v>４，５９５</v>
      </c>
      <c r="AB34" s="636" t="str">
        <f t="shared" si="11"/>
        <v>５，２８０</v>
      </c>
      <c r="AC34" s="636" t="str">
        <f t="shared" si="11"/>
        <v>５，９６５</v>
      </c>
      <c r="AD34" s="636" t="str">
        <f t="shared" si="11"/>
        <v>６，６２９</v>
      </c>
      <c r="AE34" s="637" t="str">
        <f t="shared" si="11"/>
        <v>７，３２５</v>
      </c>
      <c r="AF34" s="635" t="str">
        <f t="shared" si="11"/>
        <v>６，９２４</v>
      </c>
      <c r="AG34" s="636" t="str">
        <f t="shared" si="11"/>
        <v>８，１７９</v>
      </c>
      <c r="AH34" s="636" t="str">
        <f t="shared" si="11"/>
        <v>９，４４３</v>
      </c>
      <c r="AI34" s="636" t="str">
        <f t="shared" si="11"/>
        <v>１０，６７７</v>
      </c>
      <c r="AJ34" s="637" t="str">
        <f t="shared" si="11"/>
        <v>１１，９５２</v>
      </c>
      <c r="AK34" s="635" t="str">
        <f t="shared" si="11"/>
        <v>７，１４６</v>
      </c>
      <c r="AL34" s="636" t="str">
        <f t="shared" si="11"/>
        <v>８，４４２</v>
      </c>
      <c r="AM34" s="636" t="str">
        <f t="shared" si="11"/>
        <v>９，７４９</v>
      </c>
      <c r="AN34" s="636" t="str">
        <f t="shared" si="11"/>
        <v>１１，０５６</v>
      </c>
      <c r="AO34" s="637" t="str">
        <f t="shared" si="11"/>
        <v>１２，３５２</v>
      </c>
      <c r="AP34" s="635" t="str">
        <f t="shared" si="11"/>
        <v>７，９３６</v>
      </c>
      <c r="AQ34" s="636" t="str">
        <f t="shared" si="11"/>
        <v>９，３８０</v>
      </c>
      <c r="AR34" s="636" t="str">
        <f t="shared" si="11"/>
        <v>１０，８７７</v>
      </c>
      <c r="AS34" s="636" t="str">
        <f t="shared" si="11"/>
        <v>１２，３５２</v>
      </c>
      <c r="AT34" s="637" t="str">
        <f t="shared" si="11"/>
        <v>１３，８２８</v>
      </c>
      <c r="AU34" s="635" t="str">
        <f t="shared" si="11"/>
        <v>８，２５２</v>
      </c>
      <c r="AV34" s="636" t="str">
        <f t="shared" si="11"/>
        <v>９，７４９</v>
      </c>
      <c r="AW34" s="636" t="str">
        <f t="shared" si="11"/>
        <v>１１，２９８</v>
      </c>
      <c r="AX34" s="636" t="str">
        <f t="shared" si="11"/>
        <v>１２，８５８</v>
      </c>
      <c r="AY34" s="637" t="str">
        <f t="shared" si="11"/>
        <v>１４，３８７</v>
      </c>
      <c r="AZ34" s="303"/>
    </row>
    <row r="35" spans="1:52" ht="15" customHeight="1">
      <c r="A35" s="950" t="s">
        <v>154</v>
      </c>
      <c r="B35" s="950"/>
      <c r="C35" s="264">
        <f>SUM(D35:K35)</f>
        <v>3</v>
      </c>
      <c r="D35" s="947"/>
      <c r="E35" s="948"/>
      <c r="F35" s="944">
        <v>2</v>
      </c>
      <c r="G35" s="945"/>
      <c r="H35" s="944"/>
      <c r="I35" s="945"/>
      <c r="J35" s="944">
        <v>1</v>
      </c>
      <c r="K35" s="946"/>
      <c r="L35" s="250"/>
      <c r="M35" s="250"/>
      <c r="T35" s="7" t="s">
        <v>130</v>
      </c>
      <c r="U35" s="300">
        <v>10.45</v>
      </c>
      <c r="V35" s="635" t="str">
        <f t="shared" si="5"/>
        <v>４，３４７</v>
      </c>
      <c r="W35" s="636" t="str">
        <f t="shared" si="7"/>
        <v>４，９９５</v>
      </c>
      <c r="X35" s="636" t="str">
        <f t="shared" si="7"/>
        <v>５，６４３</v>
      </c>
      <c r="Y35" s="636" t="str">
        <f t="shared" si="7"/>
        <v>６，２７０</v>
      </c>
      <c r="Z35" s="637" t="str">
        <f t="shared" si="7"/>
        <v>６，９２８</v>
      </c>
      <c r="AA35" s="635" t="str">
        <f t="shared" ref="AA35:AY35" si="12">DBCS(TEXT(AA23,"###,##0"))</f>
        <v>４，５５６</v>
      </c>
      <c r="AB35" s="636" t="str">
        <f t="shared" si="12"/>
        <v>５，２３５</v>
      </c>
      <c r="AC35" s="636" t="str">
        <f t="shared" si="12"/>
        <v>５，９１４</v>
      </c>
      <c r="AD35" s="636" t="str">
        <f t="shared" si="12"/>
        <v>６，５７３</v>
      </c>
      <c r="AE35" s="637" t="str">
        <f t="shared" si="12"/>
        <v>７，２６２</v>
      </c>
      <c r="AF35" s="635" t="str">
        <f t="shared" si="12"/>
        <v>６，８６５</v>
      </c>
      <c r="AG35" s="636" t="str">
        <f t="shared" si="12"/>
        <v>８，１０９</v>
      </c>
      <c r="AH35" s="636" t="str">
        <f t="shared" si="12"/>
        <v>９，３６３</v>
      </c>
      <c r="AI35" s="636" t="str">
        <f t="shared" si="12"/>
        <v>１０，５８５</v>
      </c>
      <c r="AJ35" s="637" t="str">
        <f t="shared" si="12"/>
        <v>１１，８５０</v>
      </c>
      <c r="AK35" s="635" t="str">
        <f t="shared" si="12"/>
        <v>７，０８５</v>
      </c>
      <c r="AL35" s="636" t="str">
        <f t="shared" si="12"/>
        <v>８，３７０</v>
      </c>
      <c r="AM35" s="636" t="str">
        <f t="shared" si="12"/>
        <v>９，６６６</v>
      </c>
      <c r="AN35" s="636" t="str">
        <f t="shared" si="12"/>
        <v>１０，９６２</v>
      </c>
      <c r="AO35" s="637" t="str">
        <f t="shared" si="12"/>
        <v>１２，２４７</v>
      </c>
      <c r="AP35" s="635" t="str">
        <f t="shared" si="12"/>
        <v>７，８６８</v>
      </c>
      <c r="AQ35" s="636" t="str">
        <f t="shared" si="12"/>
        <v>９，３００</v>
      </c>
      <c r="AR35" s="636" t="str">
        <f t="shared" si="12"/>
        <v>１０，７８４</v>
      </c>
      <c r="AS35" s="636" t="str">
        <f t="shared" si="12"/>
        <v>１２，２４７</v>
      </c>
      <c r="AT35" s="637" t="str">
        <f t="shared" si="12"/>
        <v>１３，７１０</v>
      </c>
      <c r="AU35" s="635" t="str">
        <f t="shared" si="12"/>
        <v>８，１８２</v>
      </c>
      <c r="AV35" s="636" t="str">
        <f t="shared" si="12"/>
        <v>９，６６６</v>
      </c>
      <c r="AW35" s="636" t="str">
        <f t="shared" si="12"/>
        <v>１１，２０２</v>
      </c>
      <c r="AX35" s="636" t="str">
        <f t="shared" si="12"/>
        <v>１２，７４９</v>
      </c>
      <c r="AY35" s="637" t="str">
        <f t="shared" si="12"/>
        <v>１４，２６４</v>
      </c>
      <c r="AZ35" s="303"/>
    </row>
    <row r="36" spans="1:52" ht="15" customHeight="1" thickBot="1">
      <c r="A36" s="950" t="s">
        <v>155</v>
      </c>
      <c r="B36" s="950"/>
      <c r="C36" s="264">
        <f>SUM(D36:K36)</f>
        <v>3</v>
      </c>
      <c r="D36" s="947"/>
      <c r="E36" s="948"/>
      <c r="F36" s="931">
        <v>2</v>
      </c>
      <c r="G36" s="1001"/>
      <c r="H36" s="931"/>
      <c r="I36" s="1001"/>
      <c r="J36" s="931">
        <v>1</v>
      </c>
      <c r="K36" s="932"/>
      <c r="L36" s="250"/>
      <c r="M36" s="250"/>
      <c r="N36" s="705" t="s">
        <v>156</v>
      </c>
      <c r="P36" s="769" t="s">
        <v>1919</v>
      </c>
      <c r="Q36" s="658"/>
      <c r="T36" s="7" t="s">
        <v>131</v>
      </c>
      <c r="U36" s="300">
        <v>10.27</v>
      </c>
      <c r="V36" s="635" t="str">
        <f t="shared" si="5"/>
        <v>４，２７２</v>
      </c>
      <c r="W36" s="636" t="str">
        <f t="shared" si="7"/>
        <v>４，９０９</v>
      </c>
      <c r="X36" s="636" t="str">
        <f t="shared" si="7"/>
        <v>５，５４５</v>
      </c>
      <c r="Y36" s="636" t="str">
        <f t="shared" si="7"/>
        <v>６，１６２</v>
      </c>
      <c r="Z36" s="637" t="str">
        <f t="shared" si="7"/>
        <v>６，８０９</v>
      </c>
      <c r="AA36" s="635" t="str">
        <f t="shared" ref="AA36:AY36" si="13">DBCS(TEXT(AA24,"###,##0"))</f>
        <v>４，４７７</v>
      </c>
      <c r="AB36" s="636" t="str">
        <f t="shared" si="13"/>
        <v>５，１４５</v>
      </c>
      <c r="AC36" s="636" t="str">
        <f t="shared" si="13"/>
        <v>５，８１２</v>
      </c>
      <c r="AD36" s="636" t="str">
        <f t="shared" si="13"/>
        <v>６，４５９</v>
      </c>
      <c r="AE36" s="637" t="str">
        <f t="shared" si="13"/>
        <v>７，１３７</v>
      </c>
      <c r="AF36" s="635" t="str">
        <f t="shared" si="13"/>
        <v>６，７４７</v>
      </c>
      <c r="AG36" s="636" t="str">
        <f t="shared" si="13"/>
        <v>７，９６９</v>
      </c>
      <c r="AH36" s="636" t="str">
        <f t="shared" si="13"/>
        <v>９，２０１</v>
      </c>
      <c r="AI36" s="636" t="str">
        <f t="shared" si="13"/>
        <v>１０，４０３</v>
      </c>
      <c r="AJ36" s="637" t="str">
        <f t="shared" si="13"/>
        <v>１１，６４６</v>
      </c>
      <c r="AK36" s="635" t="str">
        <f t="shared" si="13"/>
        <v>６，９６３</v>
      </c>
      <c r="AL36" s="636" t="str">
        <f t="shared" si="13"/>
        <v>８，２２６</v>
      </c>
      <c r="AM36" s="636" t="str">
        <f t="shared" si="13"/>
        <v>９，４９９</v>
      </c>
      <c r="AN36" s="636" t="str">
        <f t="shared" si="13"/>
        <v>１０，７７３</v>
      </c>
      <c r="AO36" s="637" t="str">
        <f t="shared" si="13"/>
        <v>１２，０３６</v>
      </c>
      <c r="AP36" s="635" t="str">
        <f t="shared" si="13"/>
        <v>７，７３３</v>
      </c>
      <c r="AQ36" s="636" t="str">
        <f t="shared" si="13"/>
        <v>９，１４０</v>
      </c>
      <c r="AR36" s="636" t="str">
        <f t="shared" si="13"/>
        <v>１０，５９８</v>
      </c>
      <c r="AS36" s="636" t="str">
        <f t="shared" si="13"/>
        <v>１２，０３６</v>
      </c>
      <c r="AT36" s="637" t="str">
        <f t="shared" si="13"/>
        <v>１３，４７４</v>
      </c>
      <c r="AU36" s="635" t="str">
        <f t="shared" si="13"/>
        <v>８，０４１</v>
      </c>
      <c r="AV36" s="636" t="str">
        <f t="shared" si="13"/>
        <v>９，４９９</v>
      </c>
      <c r="AW36" s="636" t="str">
        <f t="shared" si="13"/>
        <v>１１，００９</v>
      </c>
      <c r="AX36" s="636" t="str">
        <f t="shared" si="13"/>
        <v>１２，５２９</v>
      </c>
      <c r="AY36" s="637" t="str">
        <f t="shared" si="13"/>
        <v>１４，０１８</v>
      </c>
      <c r="AZ36" s="303"/>
    </row>
    <row r="37" spans="1:52" ht="15" customHeight="1" thickBot="1">
      <c r="A37" s="958" t="s">
        <v>157</v>
      </c>
      <c r="B37" s="959"/>
      <c r="C37" s="960" t="s">
        <v>161</v>
      </c>
      <c r="D37" s="961"/>
      <c r="E37" s="962"/>
      <c r="F37" s="250"/>
      <c r="G37" s="250"/>
      <c r="H37" s="250"/>
      <c r="I37" s="250"/>
      <c r="J37" s="250"/>
      <c r="K37" s="250"/>
      <c r="L37" s="250"/>
      <c r="M37" s="250"/>
      <c r="N37" s="706" t="s">
        <v>159</v>
      </c>
      <c r="P37" s="747" t="s">
        <v>581</v>
      </c>
      <c r="Q37" s="770">
        <v>16765</v>
      </c>
      <c r="T37" s="7" t="s">
        <v>134</v>
      </c>
      <c r="U37" s="300">
        <v>10.14</v>
      </c>
      <c r="V37" s="635" t="str">
        <f t="shared" si="5"/>
        <v>４，２１８</v>
      </c>
      <c r="W37" s="636" t="str">
        <f t="shared" si="7"/>
        <v>４，８４６</v>
      </c>
      <c r="X37" s="636" t="str">
        <f t="shared" si="7"/>
        <v>５，４７５</v>
      </c>
      <c r="Y37" s="636" t="str">
        <f t="shared" si="7"/>
        <v>６，０８４</v>
      </c>
      <c r="Z37" s="637" t="str">
        <f t="shared" si="7"/>
        <v>６，７２２</v>
      </c>
      <c r="AA37" s="635" t="str">
        <f t="shared" ref="AA37:AY37" si="14">DBCS(TEXT(AA25,"###,##0"))</f>
        <v>４，４２１</v>
      </c>
      <c r="AB37" s="636" t="str">
        <f t="shared" si="14"/>
        <v>５，０８０</v>
      </c>
      <c r="AC37" s="636" t="str">
        <f t="shared" si="14"/>
        <v>５，７３９</v>
      </c>
      <c r="AD37" s="636" t="str">
        <f t="shared" si="14"/>
        <v>６，３７８</v>
      </c>
      <c r="AE37" s="637" t="str">
        <f t="shared" si="14"/>
        <v>７，０４７</v>
      </c>
      <c r="AF37" s="635" t="str">
        <f t="shared" si="14"/>
        <v>６，６６１</v>
      </c>
      <c r="AG37" s="636" t="str">
        <f t="shared" si="14"/>
        <v>７，８６８</v>
      </c>
      <c r="AH37" s="636" t="str">
        <f t="shared" si="14"/>
        <v>９，０８５</v>
      </c>
      <c r="AI37" s="636" t="str">
        <f t="shared" si="14"/>
        <v>１０，２７１</v>
      </c>
      <c r="AJ37" s="637" t="str">
        <f t="shared" si="14"/>
        <v>１１，４９８</v>
      </c>
      <c r="AK37" s="635" t="str">
        <f t="shared" si="14"/>
        <v>６，８７４</v>
      </c>
      <c r="AL37" s="636" t="str">
        <f t="shared" si="14"/>
        <v>８，１２２</v>
      </c>
      <c r="AM37" s="636" t="str">
        <f t="shared" si="14"/>
        <v>９，３７９</v>
      </c>
      <c r="AN37" s="636" t="str">
        <f t="shared" si="14"/>
        <v>１０，６３６</v>
      </c>
      <c r="AO37" s="637" t="str">
        <f t="shared" si="14"/>
        <v>１１，８８４</v>
      </c>
      <c r="AP37" s="635" t="str">
        <f t="shared" si="14"/>
        <v>７，６３５</v>
      </c>
      <c r="AQ37" s="636" t="str">
        <f t="shared" si="14"/>
        <v>９，０２４</v>
      </c>
      <c r="AR37" s="636" t="str">
        <f t="shared" si="14"/>
        <v>１０，４６４</v>
      </c>
      <c r="AS37" s="636" t="str">
        <f t="shared" si="14"/>
        <v>１１，８８４</v>
      </c>
      <c r="AT37" s="637" t="str">
        <f t="shared" si="14"/>
        <v>１３，３０３</v>
      </c>
      <c r="AU37" s="635" t="str">
        <f t="shared" si="14"/>
        <v>７，９３９</v>
      </c>
      <c r="AV37" s="636" t="str">
        <f t="shared" si="14"/>
        <v>９，３７９</v>
      </c>
      <c r="AW37" s="636" t="str">
        <f t="shared" si="14"/>
        <v>１０，８７０</v>
      </c>
      <c r="AX37" s="636" t="str">
        <f t="shared" si="14"/>
        <v>１２，３７０</v>
      </c>
      <c r="AY37" s="637" t="str">
        <f t="shared" si="14"/>
        <v>１３，８４１</v>
      </c>
      <c r="AZ37" s="303"/>
    </row>
    <row r="38" spans="1:52" ht="15" customHeight="1" thickBot="1">
      <c r="A38" s="511"/>
      <c r="B38" s="511"/>
      <c r="C38" s="250"/>
      <c r="D38" s="250"/>
      <c r="E38" s="250"/>
      <c r="F38" s="250"/>
      <c r="G38" s="250"/>
      <c r="H38" s="250"/>
      <c r="I38" s="250"/>
      <c r="J38" s="250"/>
      <c r="K38" s="250"/>
      <c r="L38" s="250"/>
      <c r="M38" s="250"/>
      <c r="N38" s="706" t="s">
        <v>160</v>
      </c>
      <c r="P38" s="747" t="s">
        <v>602</v>
      </c>
      <c r="Q38" s="770">
        <v>19705</v>
      </c>
      <c r="T38" s="7" t="s">
        <v>137</v>
      </c>
      <c r="U38" s="300">
        <v>10</v>
      </c>
      <c r="V38" s="638" t="str">
        <f t="shared" si="5"/>
        <v>４，１６０</v>
      </c>
      <c r="W38" s="639" t="str">
        <f t="shared" si="7"/>
        <v>４，７８０</v>
      </c>
      <c r="X38" s="639" t="str">
        <f t="shared" si="7"/>
        <v>５，４００</v>
      </c>
      <c r="Y38" s="639" t="str">
        <f t="shared" si="7"/>
        <v>６，０００</v>
      </c>
      <c r="Z38" s="640" t="str">
        <f t="shared" si="7"/>
        <v>６，６３０</v>
      </c>
      <c r="AA38" s="638" t="str">
        <f t="shared" ref="AA38:AY38" si="15">DBCS(TEXT(AA26,"###,##0"))</f>
        <v>４，３６０</v>
      </c>
      <c r="AB38" s="639" t="str">
        <f t="shared" si="15"/>
        <v>５，０１０</v>
      </c>
      <c r="AC38" s="639" t="str">
        <f t="shared" si="15"/>
        <v>５，６６０</v>
      </c>
      <c r="AD38" s="639" t="str">
        <f t="shared" si="15"/>
        <v>６，２９０</v>
      </c>
      <c r="AE38" s="640" t="str">
        <f t="shared" si="15"/>
        <v>６，９５０</v>
      </c>
      <c r="AF38" s="638" t="str">
        <f t="shared" si="15"/>
        <v>６，５７０</v>
      </c>
      <c r="AG38" s="639" t="str">
        <f t="shared" si="15"/>
        <v>７，７６０</v>
      </c>
      <c r="AH38" s="639" t="str">
        <f t="shared" si="15"/>
        <v>８，９６０</v>
      </c>
      <c r="AI38" s="639" t="str">
        <f t="shared" si="15"/>
        <v>１０，１３０</v>
      </c>
      <c r="AJ38" s="640" t="str">
        <f t="shared" si="15"/>
        <v>１１，３４０</v>
      </c>
      <c r="AK38" s="638" t="str">
        <f t="shared" si="15"/>
        <v>６，７８０</v>
      </c>
      <c r="AL38" s="639" t="str">
        <f t="shared" si="15"/>
        <v>８，０１０</v>
      </c>
      <c r="AM38" s="639" t="str">
        <f t="shared" si="15"/>
        <v>９，２５０</v>
      </c>
      <c r="AN38" s="639" t="str">
        <f t="shared" si="15"/>
        <v>１０，４９０</v>
      </c>
      <c r="AO38" s="640" t="str">
        <f t="shared" si="15"/>
        <v>１１，７２０</v>
      </c>
      <c r="AP38" s="638" t="str">
        <f t="shared" si="15"/>
        <v>７，５３０</v>
      </c>
      <c r="AQ38" s="639" t="str">
        <f t="shared" si="15"/>
        <v>８，９００</v>
      </c>
      <c r="AR38" s="639" t="str">
        <f t="shared" si="15"/>
        <v>１０，３２０</v>
      </c>
      <c r="AS38" s="639" t="str">
        <f t="shared" si="15"/>
        <v>１１，７２０</v>
      </c>
      <c r="AT38" s="640" t="str">
        <f t="shared" si="15"/>
        <v>１３，１２０</v>
      </c>
      <c r="AU38" s="638" t="str">
        <f t="shared" si="15"/>
        <v>７，８３０</v>
      </c>
      <c r="AV38" s="639" t="str">
        <f t="shared" si="15"/>
        <v>９，２５０</v>
      </c>
      <c r="AW38" s="639" t="str">
        <f t="shared" si="15"/>
        <v>１０，７２０</v>
      </c>
      <c r="AX38" s="639" t="str">
        <f t="shared" si="15"/>
        <v>１２，２００</v>
      </c>
      <c r="AY38" s="640" t="str">
        <f t="shared" si="15"/>
        <v>１３，６５０</v>
      </c>
      <c r="AZ38" s="303"/>
    </row>
    <row r="39" spans="1:52" ht="15" customHeight="1" thickBot="1">
      <c r="A39" s="258" t="s">
        <v>1961</v>
      </c>
      <c r="B39" s="259"/>
      <c r="C39" s="250"/>
      <c r="D39" s="250"/>
      <c r="E39" s="250"/>
      <c r="F39" s="250"/>
      <c r="G39" s="250"/>
      <c r="H39" s="1005" t="s">
        <v>1920</v>
      </c>
      <c r="I39" s="1006"/>
      <c r="J39" s="560" t="s">
        <v>1705</v>
      </c>
      <c r="K39" s="1003"/>
      <c r="L39" s="1004"/>
      <c r="M39" s="250"/>
      <c r="N39" s="706" t="s">
        <v>161</v>
      </c>
      <c r="P39" s="747" t="s">
        <v>605</v>
      </c>
      <c r="Q39" s="771">
        <v>27048</v>
      </c>
      <c r="S39" s="301" t="s">
        <v>162</v>
      </c>
      <c r="T39" s="4">
        <v>1</v>
      </c>
      <c r="U39" s="4">
        <v>2</v>
      </c>
      <c r="V39" s="4">
        <v>3</v>
      </c>
      <c r="W39" s="4">
        <v>4</v>
      </c>
      <c r="X39" s="4">
        <v>5</v>
      </c>
      <c r="Y39" s="4">
        <v>6</v>
      </c>
      <c r="Z39" s="4">
        <v>7</v>
      </c>
      <c r="AA39" s="4">
        <v>8</v>
      </c>
      <c r="AB39" s="4">
        <v>9</v>
      </c>
      <c r="AC39" s="4">
        <v>10</v>
      </c>
      <c r="AD39" s="4">
        <v>11</v>
      </c>
      <c r="AE39" s="4">
        <v>12</v>
      </c>
      <c r="AF39" s="4">
        <v>13</v>
      </c>
      <c r="AG39" s="4">
        <v>14</v>
      </c>
      <c r="AH39" s="4">
        <v>15</v>
      </c>
      <c r="AI39" s="4">
        <v>16</v>
      </c>
      <c r="AJ39" s="4">
        <v>17</v>
      </c>
      <c r="AK39" s="4">
        <v>18</v>
      </c>
      <c r="AL39" s="4">
        <v>19</v>
      </c>
      <c r="AM39" s="4">
        <v>20</v>
      </c>
      <c r="AN39" s="4">
        <v>21</v>
      </c>
      <c r="AO39" s="4">
        <v>22</v>
      </c>
      <c r="AP39" s="4">
        <v>23</v>
      </c>
      <c r="AQ39" s="4">
        <v>24</v>
      </c>
      <c r="AR39" s="4">
        <v>25</v>
      </c>
      <c r="AS39" s="4">
        <v>26</v>
      </c>
      <c r="AT39" s="4">
        <v>27</v>
      </c>
      <c r="AU39" s="4">
        <v>28</v>
      </c>
      <c r="AV39" s="4">
        <v>29</v>
      </c>
      <c r="AW39" s="4">
        <v>30</v>
      </c>
      <c r="AX39" s="4">
        <v>31</v>
      </c>
      <c r="AY39" s="4">
        <v>32</v>
      </c>
    </row>
    <row r="40" spans="1:52" ht="15" customHeight="1">
      <c r="A40" s="258"/>
      <c r="B40" s="259"/>
      <c r="C40" s="468" t="s">
        <v>163</v>
      </c>
      <c r="D40" s="284" t="s">
        <v>134</v>
      </c>
      <c r="E40" s="469" t="s">
        <v>164</v>
      </c>
      <c r="F40" s="285">
        <f>VLOOKUP(D40,T19:U26,2,FALSE)</f>
        <v>10.14</v>
      </c>
      <c r="G40" s="250"/>
      <c r="H40" s="963" t="s">
        <v>165</v>
      </c>
      <c r="I40" s="964"/>
      <c r="J40" s="606" t="s">
        <v>1955</v>
      </c>
      <c r="K40" s="562" t="str">
        <f>J40</f>
        <v>３，５００</v>
      </c>
      <c r="L40" s="562" t="str">
        <f>J40</f>
        <v>３，５００</v>
      </c>
      <c r="M40" s="250"/>
      <c r="N40" s="706" t="s">
        <v>158</v>
      </c>
      <c r="P40" s="747" t="s">
        <v>608</v>
      </c>
      <c r="Q40" s="772">
        <v>30938</v>
      </c>
      <c r="AZ40" s="607"/>
    </row>
    <row r="41" spans="1:52" ht="15" customHeight="1">
      <c r="A41" s="507" t="s">
        <v>166</v>
      </c>
      <c r="B41" s="507" t="s">
        <v>113</v>
      </c>
      <c r="C41" s="286" t="s">
        <v>114</v>
      </c>
      <c r="D41" s="286" t="s">
        <v>115</v>
      </c>
      <c r="E41" s="286" t="s">
        <v>116</v>
      </c>
      <c r="F41" s="286" t="s">
        <v>117</v>
      </c>
      <c r="G41" s="250"/>
      <c r="H41" s="963" t="s">
        <v>167</v>
      </c>
      <c r="I41" s="964"/>
      <c r="J41" s="606" t="s">
        <v>1955</v>
      </c>
      <c r="K41" s="562" t="str">
        <f t="shared" ref="K41:K49" si="16">J41</f>
        <v>３，５００</v>
      </c>
      <c r="L41" s="562" t="str">
        <f t="shared" ref="L41:L49" si="17">J41</f>
        <v>３，５００</v>
      </c>
      <c r="M41" s="250"/>
      <c r="N41" s="706" t="s">
        <v>155</v>
      </c>
      <c r="P41" s="747" t="s">
        <v>613</v>
      </c>
      <c r="Q41" s="772">
        <v>36217</v>
      </c>
      <c r="T41" s="641"/>
      <c r="U41" s="642" t="s">
        <v>168</v>
      </c>
      <c r="V41" s="642" t="s">
        <v>169</v>
      </c>
      <c r="W41" s="643" t="s">
        <v>1734</v>
      </c>
      <c r="X41" s="643" t="s">
        <v>1719</v>
      </c>
      <c r="Y41" s="642" t="s">
        <v>170</v>
      </c>
      <c r="Z41" s="644" t="s">
        <v>171</v>
      </c>
      <c r="AA41" s="644" t="s">
        <v>172</v>
      </c>
      <c r="AB41" s="645" t="s">
        <v>1720</v>
      </c>
      <c r="AC41" s="645" t="s">
        <v>1721</v>
      </c>
      <c r="AD41" s="645" t="s">
        <v>174</v>
      </c>
      <c r="AE41" s="644" t="s">
        <v>175</v>
      </c>
      <c r="AF41" s="644" t="s">
        <v>176</v>
      </c>
      <c r="AG41" s="644" t="s">
        <v>177</v>
      </c>
      <c r="AH41" s="645" t="s">
        <v>178</v>
      </c>
      <c r="AI41" s="645" t="s">
        <v>1735</v>
      </c>
      <c r="AJ41" s="645" t="s">
        <v>1726</v>
      </c>
      <c r="AK41" s="645" t="s">
        <v>1727</v>
      </c>
      <c r="AL41" s="645" t="s">
        <v>1728</v>
      </c>
      <c r="AM41" s="645" t="s">
        <v>1729</v>
      </c>
      <c r="AN41" s="645" t="s">
        <v>179</v>
      </c>
      <c r="AO41" s="645" t="s">
        <v>180</v>
      </c>
      <c r="AP41" s="645" t="s">
        <v>1730</v>
      </c>
      <c r="AQ41" s="645" t="s">
        <v>1736</v>
      </c>
      <c r="AR41" s="642" t="s">
        <v>1737</v>
      </c>
      <c r="AS41" s="644" t="s">
        <v>182</v>
      </c>
      <c r="AT41" s="645" t="s">
        <v>1738</v>
      </c>
      <c r="AU41" s="753" t="s">
        <v>1908</v>
      </c>
    </row>
    <row r="42" spans="1:52" ht="15" customHeight="1">
      <c r="A42" s="507" t="s">
        <v>183</v>
      </c>
      <c r="B42" s="288" t="str">
        <f>VLOOKUP($D$40,$T$31:$Z$38,3,FALSE)</f>
        <v>４，２１８</v>
      </c>
      <c r="C42" s="288" t="str">
        <f>VLOOKUP($D$40,$T$31:$Z$38,4,FALSE)</f>
        <v>４，８４６</v>
      </c>
      <c r="D42" s="288" t="str">
        <f>VLOOKUP($D$40,$T$31:$Z$38,5,FALSE)</f>
        <v>５，４７５</v>
      </c>
      <c r="E42" s="288" t="str">
        <f>VLOOKUP($D$40,$T$31:$Z$38,6,FALSE)</f>
        <v>６，０８４</v>
      </c>
      <c r="F42" s="288" t="str">
        <f>VLOOKUP($D$40,$T$31:$Z$38,7,FALSE)</f>
        <v>６，７２２</v>
      </c>
      <c r="G42" s="250"/>
      <c r="H42" s="963" t="s">
        <v>184</v>
      </c>
      <c r="I42" s="964"/>
      <c r="J42" s="796" t="s">
        <v>1998</v>
      </c>
      <c r="K42" s="562" t="str">
        <f t="shared" si="16"/>
        <v>１，２００</v>
      </c>
      <c r="L42" s="562" t="str">
        <f t="shared" si="17"/>
        <v>１，２００</v>
      </c>
      <c r="M42" s="250"/>
      <c r="P42" s="20"/>
      <c r="Q42" s="561"/>
      <c r="T42" s="641"/>
      <c r="U42" s="642"/>
      <c r="V42" s="646">
        <v>47</v>
      </c>
      <c r="W42" s="645">
        <v>40</v>
      </c>
      <c r="X42" s="645">
        <v>55</v>
      </c>
      <c r="Y42" s="642">
        <v>60</v>
      </c>
      <c r="Z42" s="642">
        <v>60</v>
      </c>
      <c r="AA42" s="642">
        <v>45</v>
      </c>
      <c r="AB42" s="645">
        <v>56</v>
      </c>
      <c r="AC42" s="645">
        <v>76</v>
      </c>
      <c r="AD42" s="645">
        <v>20</v>
      </c>
      <c r="AE42" s="642">
        <v>22</v>
      </c>
      <c r="AF42" s="642">
        <v>18</v>
      </c>
      <c r="AG42" s="642">
        <v>6</v>
      </c>
      <c r="AH42" s="645">
        <v>200</v>
      </c>
      <c r="AI42" s="645">
        <v>50</v>
      </c>
      <c r="AJ42" s="645">
        <v>20</v>
      </c>
      <c r="AK42" s="645">
        <v>5</v>
      </c>
      <c r="AL42" s="645">
        <v>150</v>
      </c>
      <c r="AM42" s="645">
        <v>160</v>
      </c>
      <c r="AN42" s="645">
        <v>30</v>
      </c>
      <c r="AO42" s="645">
        <v>60</v>
      </c>
      <c r="AP42" s="645">
        <v>3</v>
      </c>
      <c r="AQ42" s="645">
        <v>100</v>
      </c>
      <c r="AR42" s="642">
        <f>IF(N57=0,200,100)</f>
        <v>100</v>
      </c>
      <c r="AS42" s="642">
        <v>50</v>
      </c>
      <c r="AT42" s="645">
        <v>40</v>
      </c>
      <c r="AU42" s="753">
        <v>94</v>
      </c>
    </row>
    <row r="43" spans="1:52" ht="15" customHeight="1">
      <c r="A43" s="507" t="s">
        <v>185</v>
      </c>
      <c r="B43" s="271" t="str">
        <f>VLOOKUP($D$40,$T$31:$AE$38,8,FALSE)</f>
        <v>４，４２１</v>
      </c>
      <c r="C43" s="271" t="str">
        <f>VLOOKUP($D$40,$T$31:$AE$38,9,FALSE)</f>
        <v>５，０８０</v>
      </c>
      <c r="D43" s="271" t="str">
        <f>VLOOKUP($D$40,$T$31:$AE$38,10,FALSE)</f>
        <v>５，７３９</v>
      </c>
      <c r="E43" s="271" t="str">
        <f>VLOOKUP($D$40,$T$31:$AE$38,11,FALSE)</f>
        <v>６，３７８</v>
      </c>
      <c r="F43" s="271" t="str">
        <f>VLOOKUP($D$40,$T$31:$AE$38,12,FALSE)</f>
        <v>７，０４７</v>
      </c>
      <c r="G43" s="250"/>
      <c r="H43" s="963" t="s">
        <v>186</v>
      </c>
      <c r="I43" s="964"/>
      <c r="J43" s="796" t="s">
        <v>1999</v>
      </c>
      <c r="K43" s="562" t="str">
        <f t="shared" si="16"/>
        <v>２００</v>
      </c>
      <c r="L43" s="562" t="str">
        <f t="shared" si="17"/>
        <v>２００</v>
      </c>
      <c r="M43" s="250"/>
      <c r="P43" s="20"/>
      <c r="Q43" s="561"/>
      <c r="T43" s="642" t="s">
        <v>122</v>
      </c>
      <c r="U43" s="647">
        <v>10.9</v>
      </c>
      <c r="V43" s="648">
        <f>ROUNDDOWN($U43*V$42,0)</f>
        <v>512</v>
      </c>
      <c r="W43" s="649">
        <f t="shared" ref="W43:AP50" si="18">ROUNDDOWN($U43*W$42,0)</f>
        <v>436</v>
      </c>
      <c r="X43" s="649">
        <f t="shared" si="18"/>
        <v>599</v>
      </c>
      <c r="Y43" s="648">
        <f t="shared" si="18"/>
        <v>654</v>
      </c>
      <c r="Z43" s="648">
        <f t="shared" si="18"/>
        <v>654</v>
      </c>
      <c r="AA43" s="648">
        <f t="shared" si="18"/>
        <v>490</v>
      </c>
      <c r="AB43" s="649">
        <f t="shared" si="18"/>
        <v>610</v>
      </c>
      <c r="AC43" s="649">
        <f t="shared" si="18"/>
        <v>828</v>
      </c>
      <c r="AD43" s="649">
        <f t="shared" si="18"/>
        <v>218</v>
      </c>
      <c r="AE43" s="648">
        <f t="shared" si="18"/>
        <v>239</v>
      </c>
      <c r="AF43" s="648">
        <f t="shared" si="18"/>
        <v>196</v>
      </c>
      <c r="AG43" s="648">
        <f t="shared" si="18"/>
        <v>65</v>
      </c>
      <c r="AH43" s="649">
        <f t="shared" si="18"/>
        <v>2180</v>
      </c>
      <c r="AI43" s="649">
        <f t="shared" si="18"/>
        <v>545</v>
      </c>
      <c r="AJ43" s="649">
        <f t="shared" si="18"/>
        <v>218</v>
      </c>
      <c r="AK43" s="649">
        <f t="shared" si="18"/>
        <v>54</v>
      </c>
      <c r="AL43" s="649">
        <f t="shared" si="18"/>
        <v>1635</v>
      </c>
      <c r="AM43" s="649">
        <f t="shared" si="18"/>
        <v>1744</v>
      </c>
      <c r="AN43" s="649">
        <f t="shared" si="18"/>
        <v>327</v>
      </c>
      <c r="AO43" s="649">
        <f t="shared" si="18"/>
        <v>654</v>
      </c>
      <c r="AP43" s="649">
        <f t="shared" si="18"/>
        <v>32</v>
      </c>
      <c r="AQ43" s="649">
        <f t="shared" ref="AQ43:AU50" si="19">ROUNDDOWN($U43*AQ$42,0)</f>
        <v>1090</v>
      </c>
      <c r="AR43" s="648">
        <f t="shared" si="19"/>
        <v>1090</v>
      </c>
      <c r="AS43" s="648">
        <f t="shared" si="19"/>
        <v>545</v>
      </c>
      <c r="AT43" s="649">
        <f t="shared" si="19"/>
        <v>436</v>
      </c>
      <c r="AU43" s="754">
        <f t="shared" si="19"/>
        <v>1024</v>
      </c>
    </row>
    <row r="44" spans="1:52" ht="15" customHeight="1">
      <c r="A44" s="507" t="s">
        <v>187</v>
      </c>
      <c r="B44" s="271" t="str">
        <f>VLOOKUP($D$40,$T$31:$AJ$38,13,FALSE)</f>
        <v>６，６６１</v>
      </c>
      <c r="C44" s="271" t="str">
        <f>VLOOKUP($D$40,$T$31:$AJ$38,14,FALSE)</f>
        <v>７，８６８</v>
      </c>
      <c r="D44" s="271" t="str">
        <f>VLOOKUP($D$40,$T$31:$AJ$38,15,FALSE)</f>
        <v>９，０８５</v>
      </c>
      <c r="E44" s="271" t="str">
        <f>VLOOKUP($D$40,$T$31:$AJ$38,16,FALSE)</f>
        <v>１０，２７１</v>
      </c>
      <c r="F44" s="271" t="str">
        <f>VLOOKUP($D$40,$T$31:$AJ$38,17,FALSE)</f>
        <v>１１，４９８</v>
      </c>
      <c r="G44" s="250"/>
      <c r="H44" s="964" t="s">
        <v>188</v>
      </c>
      <c r="I44" s="965"/>
      <c r="J44" s="797" t="s">
        <v>2023</v>
      </c>
      <c r="K44" s="562" t="str">
        <f t="shared" si="16"/>
        <v>５００</v>
      </c>
      <c r="L44" s="562" t="str">
        <f t="shared" si="17"/>
        <v>５００</v>
      </c>
      <c r="M44" s="250"/>
      <c r="P44" s="20"/>
      <c r="Q44" s="561"/>
      <c r="T44" s="642" t="s">
        <v>124</v>
      </c>
      <c r="U44" s="647">
        <v>10.72</v>
      </c>
      <c r="V44" s="648">
        <f>ROUNDDOWN($U44*V$42,0)</f>
        <v>503</v>
      </c>
      <c r="W44" s="649">
        <f t="shared" si="18"/>
        <v>428</v>
      </c>
      <c r="X44" s="649">
        <f t="shared" si="18"/>
        <v>589</v>
      </c>
      <c r="Y44" s="648">
        <f t="shared" si="18"/>
        <v>643</v>
      </c>
      <c r="Z44" s="648">
        <f t="shared" si="18"/>
        <v>643</v>
      </c>
      <c r="AA44" s="648">
        <f t="shared" si="18"/>
        <v>482</v>
      </c>
      <c r="AB44" s="649">
        <f t="shared" si="18"/>
        <v>600</v>
      </c>
      <c r="AC44" s="649">
        <f t="shared" si="18"/>
        <v>814</v>
      </c>
      <c r="AD44" s="649">
        <f t="shared" si="18"/>
        <v>214</v>
      </c>
      <c r="AE44" s="648">
        <f t="shared" si="18"/>
        <v>235</v>
      </c>
      <c r="AF44" s="648">
        <f t="shared" si="18"/>
        <v>192</v>
      </c>
      <c r="AG44" s="648">
        <f t="shared" si="18"/>
        <v>64</v>
      </c>
      <c r="AH44" s="649">
        <f t="shared" si="18"/>
        <v>2144</v>
      </c>
      <c r="AI44" s="649">
        <f t="shared" si="18"/>
        <v>536</v>
      </c>
      <c r="AJ44" s="649">
        <f t="shared" si="18"/>
        <v>214</v>
      </c>
      <c r="AK44" s="649">
        <f t="shared" si="18"/>
        <v>53</v>
      </c>
      <c r="AL44" s="649">
        <f t="shared" si="18"/>
        <v>1608</v>
      </c>
      <c r="AM44" s="649">
        <f t="shared" si="18"/>
        <v>1715</v>
      </c>
      <c r="AN44" s="649">
        <f t="shared" si="18"/>
        <v>321</v>
      </c>
      <c r="AO44" s="649">
        <f t="shared" si="18"/>
        <v>643</v>
      </c>
      <c r="AP44" s="649">
        <f t="shared" si="18"/>
        <v>32</v>
      </c>
      <c r="AQ44" s="649">
        <f t="shared" si="19"/>
        <v>1072</v>
      </c>
      <c r="AR44" s="648">
        <f t="shared" si="19"/>
        <v>1072</v>
      </c>
      <c r="AS44" s="648">
        <f t="shared" si="19"/>
        <v>536</v>
      </c>
      <c r="AT44" s="649">
        <f t="shared" si="19"/>
        <v>428</v>
      </c>
      <c r="AU44" s="754">
        <f t="shared" si="19"/>
        <v>1007</v>
      </c>
    </row>
    <row r="45" spans="1:52" ht="15" customHeight="1">
      <c r="A45" s="507" t="s">
        <v>189</v>
      </c>
      <c r="B45" s="271" t="str">
        <f>VLOOKUP($D$40,$T$31:$AO$38,18,FALSE)</f>
        <v>６，８７４</v>
      </c>
      <c r="C45" s="271" t="str">
        <f>VLOOKUP($D$40,$T$31:$AO$38,19,FALSE)</f>
        <v>８，１２２</v>
      </c>
      <c r="D45" s="271" t="str">
        <f>VLOOKUP($D$40,$T$31:$AO$38,20,FALSE)</f>
        <v>９，３７９</v>
      </c>
      <c r="E45" s="271" t="str">
        <f>VLOOKUP($D$40,$T$31:$AO$38,21,FALSE)</f>
        <v>１０，６３６</v>
      </c>
      <c r="F45" s="271" t="str">
        <f>VLOOKUP($D$40,$T$31:$AO$38,22,FALSE)</f>
        <v>１１，８８４</v>
      </c>
      <c r="G45" s="250"/>
      <c r="H45" s="964" t="s">
        <v>220</v>
      </c>
      <c r="I45" s="965"/>
      <c r="J45" s="797" t="s">
        <v>2024</v>
      </c>
      <c r="K45" s="562" t="str">
        <f t="shared" si="16"/>
        <v>５７０</v>
      </c>
      <c r="L45" s="562" t="str">
        <f t="shared" si="17"/>
        <v>５７０</v>
      </c>
      <c r="M45" s="250"/>
      <c r="P45" s="20"/>
      <c r="T45" s="642" t="s">
        <v>126</v>
      </c>
      <c r="U45" s="647">
        <v>10.68</v>
      </c>
      <c r="V45" s="648">
        <f t="shared" ref="V45:V50" si="20">ROUNDDOWN($U45*V$42,0)</f>
        <v>501</v>
      </c>
      <c r="W45" s="649">
        <f t="shared" si="18"/>
        <v>427</v>
      </c>
      <c r="X45" s="649">
        <f t="shared" si="18"/>
        <v>587</v>
      </c>
      <c r="Y45" s="648">
        <f t="shared" si="18"/>
        <v>640</v>
      </c>
      <c r="Z45" s="648">
        <f t="shared" si="18"/>
        <v>640</v>
      </c>
      <c r="AA45" s="648">
        <f t="shared" si="18"/>
        <v>480</v>
      </c>
      <c r="AB45" s="649">
        <f t="shared" si="18"/>
        <v>598</v>
      </c>
      <c r="AC45" s="649">
        <f t="shared" si="18"/>
        <v>811</v>
      </c>
      <c r="AD45" s="649">
        <f t="shared" si="18"/>
        <v>213</v>
      </c>
      <c r="AE45" s="648">
        <f t="shared" si="18"/>
        <v>234</v>
      </c>
      <c r="AF45" s="648">
        <f t="shared" si="18"/>
        <v>192</v>
      </c>
      <c r="AG45" s="648">
        <f t="shared" si="18"/>
        <v>64</v>
      </c>
      <c r="AH45" s="649">
        <f t="shared" si="18"/>
        <v>2136</v>
      </c>
      <c r="AI45" s="649">
        <f t="shared" si="18"/>
        <v>534</v>
      </c>
      <c r="AJ45" s="649">
        <f t="shared" si="18"/>
        <v>213</v>
      </c>
      <c r="AK45" s="649">
        <f t="shared" si="18"/>
        <v>53</v>
      </c>
      <c r="AL45" s="649">
        <f t="shared" si="18"/>
        <v>1602</v>
      </c>
      <c r="AM45" s="649">
        <f t="shared" si="18"/>
        <v>1708</v>
      </c>
      <c r="AN45" s="649">
        <f t="shared" si="18"/>
        <v>320</v>
      </c>
      <c r="AO45" s="649">
        <f t="shared" si="18"/>
        <v>640</v>
      </c>
      <c r="AP45" s="649">
        <f t="shared" si="18"/>
        <v>32</v>
      </c>
      <c r="AQ45" s="649">
        <f t="shared" si="19"/>
        <v>1068</v>
      </c>
      <c r="AR45" s="648">
        <f t="shared" si="19"/>
        <v>1068</v>
      </c>
      <c r="AS45" s="648">
        <f t="shared" si="19"/>
        <v>534</v>
      </c>
      <c r="AT45" s="649">
        <f t="shared" si="19"/>
        <v>427</v>
      </c>
      <c r="AU45" s="754">
        <f t="shared" si="19"/>
        <v>1003</v>
      </c>
    </row>
    <row r="46" spans="1:52" ht="15" customHeight="1">
      <c r="A46" s="507" t="s">
        <v>191</v>
      </c>
      <c r="B46" s="271" t="str">
        <f>VLOOKUP($D$40,$T$31:$AY$38,23,FALSE)</f>
        <v>７，６３５</v>
      </c>
      <c r="C46" s="271" t="str">
        <f>VLOOKUP($D$40,$T$31:$AY$38,24,FALSE)</f>
        <v>９，０２４</v>
      </c>
      <c r="D46" s="271" t="str">
        <f>VLOOKUP($D$40,$T$31:$AY$38,25,FALSE)</f>
        <v>１０，４６４</v>
      </c>
      <c r="E46" s="271" t="str">
        <f>VLOOKUP($D$40,$T$31:$AY$38,26,FALSE)</f>
        <v>１１，８８４</v>
      </c>
      <c r="F46" s="271" t="str">
        <f>VLOOKUP($D$40,$T$31:$AY$38,27,FALSE)</f>
        <v>１３，３０３</v>
      </c>
      <c r="G46" s="250"/>
      <c r="H46" s="964" t="s">
        <v>192</v>
      </c>
      <c r="I46" s="965"/>
      <c r="J46" s="797" t="s">
        <v>2025</v>
      </c>
      <c r="K46" s="562" t="str">
        <f t="shared" si="16"/>
        <v>６３０</v>
      </c>
      <c r="L46" s="562" t="str">
        <f t="shared" si="17"/>
        <v>６３０</v>
      </c>
      <c r="M46" s="250"/>
      <c r="P46" s="20"/>
      <c r="T46" s="642" t="s">
        <v>128</v>
      </c>
      <c r="U46" s="647">
        <v>10.54</v>
      </c>
      <c r="V46" s="648">
        <f t="shared" si="20"/>
        <v>495</v>
      </c>
      <c r="W46" s="649">
        <f t="shared" si="18"/>
        <v>421</v>
      </c>
      <c r="X46" s="649">
        <f t="shared" si="18"/>
        <v>579</v>
      </c>
      <c r="Y46" s="648">
        <f t="shared" si="18"/>
        <v>632</v>
      </c>
      <c r="Z46" s="648">
        <f t="shared" si="18"/>
        <v>632</v>
      </c>
      <c r="AA46" s="648">
        <f t="shared" si="18"/>
        <v>474</v>
      </c>
      <c r="AB46" s="649">
        <f t="shared" si="18"/>
        <v>590</v>
      </c>
      <c r="AC46" s="649">
        <f t="shared" si="18"/>
        <v>801</v>
      </c>
      <c r="AD46" s="649">
        <f t="shared" si="18"/>
        <v>210</v>
      </c>
      <c r="AE46" s="648">
        <f t="shared" si="18"/>
        <v>231</v>
      </c>
      <c r="AF46" s="648">
        <f t="shared" si="18"/>
        <v>189</v>
      </c>
      <c r="AG46" s="648">
        <f t="shared" si="18"/>
        <v>63</v>
      </c>
      <c r="AH46" s="649">
        <f>ROUNDDOWN($U46*AH$42,0)</f>
        <v>2108</v>
      </c>
      <c r="AI46" s="649">
        <f t="shared" si="18"/>
        <v>527</v>
      </c>
      <c r="AJ46" s="649">
        <f t="shared" si="18"/>
        <v>210</v>
      </c>
      <c r="AK46" s="649">
        <f t="shared" si="18"/>
        <v>52</v>
      </c>
      <c r="AL46" s="649">
        <f t="shared" si="18"/>
        <v>1581</v>
      </c>
      <c r="AM46" s="649">
        <f t="shared" si="18"/>
        <v>1686</v>
      </c>
      <c r="AN46" s="649">
        <f t="shared" si="18"/>
        <v>316</v>
      </c>
      <c r="AO46" s="649">
        <f t="shared" si="18"/>
        <v>632</v>
      </c>
      <c r="AP46" s="649">
        <f t="shared" si="18"/>
        <v>31</v>
      </c>
      <c r="AQ46" s="649">
        <f t="shared" si="19"/>
        <v>1054</v>
      </c>
      <c r="AR46" s="648">
        <f t="shared" si="19"/>
        <v>1054</v>
      </c>
      <c r="AS46" s="648">
        <f t="shared" si="19"/>
        <v>527</v>
      </c>
      <c r="AT46" s="649">
        <f t="shared" si="19"/>
        <v>421</v>
      </c>
      <c r="AU46" s="754">
        <f t="shared" si="19"/>
        <v>990</v>
      </c>
    </row>
    <row r="47" spans="1:52" ht="15" customHeight="1">
      <c r="A47" s="507" t="s">
        <v>193</v>
      </c>
      <c r="B47" s="271" t="str">
        <f>VLOOKUP($D$40,$T$31:$AY$38,28,FALSE)</f>
        <v>７，９３９</v>
      </c>
      <c r="C47" s="608" t="str">
        <f>VLOOKUP($D$40,$T$31:$AY$38,29,FALSE)</f>
        <v>９，３７９</v>
      </c>
      <c r="D47" s="271" t="str">
        <f>VLOOKUP($D$40,$T$31:$AY$38,30,FALSE)</f>
        <v>１０，８７０</v>
      </c>
      <c r="E47" s="271" t="str">
        <f>VLOOKUP($D$40,$T$31:$AY$38,31,FALSE)</f>
        <v>１２，３７０</v>
      </c>
      <c r="F47" s="271" t="str">
        <f>VLOOKUP($D$40,$T$31:$AY$38,32,FALSE)</f>
        <v>１３，８４１</v>
      </c>
      <c r="G47" s="250"/>
      <c r="H47" s="964" t="s">
        <v>194</v>
      </c>
      <c r="I47" s="965"/>
      <c r="J47" s="796" t="s">
        <v>2000</v>
      </c>
      <c r="K47" s="562" t="str">
        <f t="shared" si="16"/>
        <v>１００</v>
      </c>
      <c r="L47" s="562" t="str">
        <f t="shared" si="17"/>
        <v>１００</v>
      </c>
      <c r="M47" s="250"/>
      <c r="P47" s="20"/>
      <c r="T47" s="642" t="s">
        <v>130</v>
      </c>
      <c r="U47" s="647">
        <v>10.45</v>
      </c>
      <c r="V47" s="648">
        <f t="shared" si="20"/>
        <v>491</v>
      </c>
      <c r="W47" s="649">
        <f t="shared" si="18"/>
        <v>418</v>
      </c>
      <c r="X47" s="649">
        <f t="shared" si="18"/>
        <v>574</v>
      </c>
      <c r="Y47" s="648">
        <f t="shared" si="18"/>
        <v>627</v>
      </c>
      <c r="Z47" s="648">
        <f t="shared" si="18"/>
        <v>627</v>
      </c>
      <c r="AA47" s="648">
        <f t="shared" si="18"/>
        <v>470</v>
      </c>
      <c r="AB47" s="649">
        <f t="shared" si="18"/>
        <v>585</v>
      </c>
      <c r="AC47" s="649">
        <f t="shared" si="18"/>
        <v>794</v>
      </c>
      <c r="AD47" s="649">
        <f t="shared" si="18"/>
        <v>209</v>
      </c>
      <c r="AE47" s="648">
        <f t="shared" si="18"/>
        <v>229</v>
      </c>
      <c r="AF47" s="648">
        <f t="shared" si="18"/>
        <v>188</v>
      </c>
      <c r="AG47" s="648">
        <f t="shared" si="18"/>
        <v>62</v>
      </c>
      <c r="AH47" s="649">
        <f t="shared" si="18"/>
        <v>2090</v>
      </c>
      <c r="AI47" s="649">
        <f t="shared" si="18"/>
        <v>522</v>
      </c>
      <c r="AJ47" s="649">
        <f t="shared" si="18"/>
        <v>209</v>
      </c>
      <c r="AK47" s="649">
        <f t="shared" si="18"/>
        <v>52</v>
      </c>
      <c r="AL47" s="649">
        <f t="shared" si="18"/>
        <v>1567</v>
      </c>
      <c r="AM47" s="649">
        <f t="shared" si="18"/>
        <v>1672</v>
      </c>
      <c r="AN47" s="649">
        <f t="shared" si="18"/>
        <v>313</v>
      </c>
      <c r="AO47" s="649">
        <f t="shared" si="18"/>
        <v>627</v>
      </c>
      <c r="AP47" s="649">
        <f t="shared" si="18"/>
        <v>31</v>
      </c>
      <c r="AQ47" s="649">
        <f t="shared" si="19"/>
        <v>1045</v>
      </c>
      <c r="AR47" s="648">
        <f t="shared" si="19"/>
        <v>1045</v>
      </c>
      <c r="AS47" s="648">
        <f t="shared" si="19"/>
        <v>522</v>
      </c>
      <c r="AT47" s="649">
        <f t="shared" si="19"/>
        <v>418</v>
      </c>
      <c r="AU47" s="754">
        <f t="shared" si="19"/>
        <v>982</v>
      </c>
    </row>
    <row r="48" spans="1:52" ht="15" customHeight="1">
      <c r="A48" s="511"/>
      <c r="B48" s="511"/>
      <c r="C48" s="250"/>
      <c r="D48" s="250"/>
      <c r="E48" s="250"/>
      <c r="F48" s="250"/>
      <c r="G48" s="250"/>
      <c r="H48" s="964" t="s">
        <v>195</v>
      </c>
      <c r="I48" s="965"/>
      <c r="J48" s="796" t="s">
        <v>2001</v>
      </c>
      <c r="K48" s="562" t="str">
        <f t="shared" si="16"/>
        <v>５０</v>
      </c>
      <c r="L48" s="562" t="str">
        <f t="shared" si="17"/>
        <v>５０</v>
      </c>
      <c r="M48" s="250"/>
      <c r="P48" s="20"/>
      <c r="T48" s="642" t="s">
        <v>131</v>
      </c>
      <c r="U48" s="647">
        <v>10.27</v>
      </c>
      <c r="V48" s="648">
        <f t="shared" si="20"/>
        <v>482</v>
      </c>
      <c r="W48" s="649">
        <f t="shared" si="18"/>
        <v>410</v>
      </c>
      <c r="X48" s="649">
        <f t="shared" si="18"/>
        <v>564</v>
      </c>
      <c r="Y48" s="648">
        <f t="shared" si="18"/>
        <v>616</v>
      </c>
      <c r="Z48" s="648">
        <f t="shared" si="18"/>
        <v>616</v>
      </c>
      <c r="AA48" s="648">
        <f t="shared" si="18"/>
        <v>462</v>
      </c>
      <c r="AB48" s="649">
        <f t="shared" si="18"/>
        <v>575</v>
      </c>
      <c r="AC48" s="649">
        <f t="shared" si="18"/>
        <v>780</v>
      </c>
      <c r="AD48" s="649">
        <f t="shared" si="18"/>
        <v>205</v>
      </c>
      <c r="AE48" s="648">
        <f t="shared" si="18"/>
        <v>225</v>
      </c>
      <c r="AF48" s="648">
        <f t="shared" si="18"/>
        <v>184</v>
      </c>
      <c r="AG48" s="648">
        <f t="shared" si="18"/>
        <v>61</v>
      </c>
      <c r="AH48" s="649">
        <f t="shared" si="18"/>
        <v>2054</v>
      </c>
      <c r="AI48" s="649">
        <f t="shared" si="18"/>
        <v>513</v>
      </c>
      <c r="AJ48" s="649">
        <f t="shared" si="18"/>
        <v>205</v>
      </c>
      <c r="AK48" s="649">
        <f t="shared" si="18"/>
        <v>51</v>
      </c>
      <c r="AL48" s="649">
        <f t="shared" si="18"/>
        <v>1540</v>
      </c>
      <c r="AM48" s="649">
        <f t="shared" si="18"/>
        <v>1643</v>
      </c>
      <c r="AN48" s="649">
        <f t="shared" si="18"/>
        <v>308</v>
      </c>
      <c r="AO48" s="649">
        <f t="shared" si="18"/>
        <v>616</v>
      </c>
      <c r="AP48" s="649">
        <f t="shared" si="18"/>
        <v>30</v>
      </c>
      <c r="AQ48" s="649">
        <f t="shared" si="19"/>
        <v>1027</v>
      </c>
      <c r="AR48" s="648">
        <f t="shared" si="19"/>
        <v>1027</v>
      </c>
      <c r="AS48" s="648">
        <f t="shared" si="19"/>
        <v>513</v>
      </c>
      <c r="AT48" s="649">
        <f t="shared" si="19"/>
        <v>410</v>
      </c>
      <c r="AU48" s="754">
        <f t="shared" si="19"/>
        <v>965</v>
      </c>
    </row>
    <row r="49" spans="1:47" ht="15" customHeight="1" thickBot="1">
      <c r="A49" s="966" t="s">
        <v>168</v>
      </c>
      <c r="B49" s="966"/>
      <c r="C49" s="8" t="s">
        <v>196</v>
      </c>
      <c r="D49" s="9" t="s">
        <v>197</v>
      </c>
      <c r="E49" s="9" t="s">
        <v>198</v>
      </c>
      <c r="F49" s="250"/>
      <c r="G49" s="250"/>
      <c r="H49" s="964" t="s">
        <v>199</v>
      </c>
      <c r="I49" s="965"/>
      <c r="J49" s="805" t="s">
        <v>1999</v>
      </c>
      <c r="K49" s="562" t="str">
        <f t="shared" si="16"/>
        <v>２００</v>
      </c>
      <c r="L49" s="562" t="str">
        <f t="shared" si="17"/>
        <v>２００</v>
      </c>
      <c r="M49" s="250"/>
      <c r="P49" s="20"/>
      <c r="T49" s="642" t="s">
        <v>134</v>
      </c>
      <c r="U49" s="647">
        <v>10.14</v>
      </c>
      <c r="V49" s="648">
        <f t="shared" si="20"/>
        <v>476</v>
      </c>
      <c r="W49" s="649">
        <f t="shared" si="18"/>
        <v>405</v>
      </c>
      <c r="X49" s="649">
        <f t="shared" si="18"/>
        <v>557</v>
      </c>
      <c r="Y49" s="648">
        <f t="shared" si="18"/>
        <v>608</v>
      </c>
      <c r="Z49" s="648">
        <f t="shared" si="18"/>
        <v>608</v>
      </c>
      <c r="AA49" s="648">
        <f t="shared" si="18"/>
        <v>456</v>
      </c>
      <c r="AB49" s="649">
        <f t="shared" si="18"/>
        <v>567</v>
      </c>
      <c r="AC49" s="649">
        <f t="shared" si="18"/>
        <v>770</v>
      </c>
      <c r="AD49" s="649">
        <f t="shared" si="18"/>
        <v>202</v>
      </c>
      <c r="AE49" s="648">
        <f t="shared" si="18"/>
        <v>223</v>
      </c>
      <c r="AF49" s="648">
        <f t="shared" si="18"/>
        <v>182</v>
      </c>
      <c r="AG49" s="648">
        <f t="shared" si="18"/>
        <v>60</v>
      </c>
      <c r="AH49" s="649">
        <f t="shared" si="18"/>
        <v>2028</v>
      </c>
      <c r="AI49" s="649">
        <f t="shared" si="18"/>
        <v>507</v>
      </c>
      <c r="AJ49" s="649">
        <f t="shared" si="18"/>
        <v>202</v>
      </c>
      <c r="AK49" s="649">
        <f t="shared" si="18"/>
        <v>50</v>
      </c>
      <c r="AL49" s="649">
        <f t="shared" si="18"/>
        <v>1521</v>
      </c>
      <c r="AM49" s="649">
        <f t="shared" si="18"/>
        <v>1622</v>
      </c>
      <c r="AN49" s="649">
        <f t="shared" si="18"/>
        <v>304</v>
      </c>
      <c r="AO49" s="649">
        <f t="shared" si="18"/>
        <v>608</v>
      </c>
      <c r="AP49" s="649">
        <f t="shared" si="18"/>
        <v>30</v>
      </c>
      <c r="AQ49" s="649">
        <f t="shared" si="19"/>
        <v>1014</v>
      </c>
      <c r="AR49" s="648">
        <f t="shared" si="19"/>
        <v>1014</v>
      </c>
      <c r="AS49" s="648">
        <f t="shared" si="19"/>
        <v>507</v>
      </c>
      <c r="AT49" s="649">
        <f t="shared" si="19"/>
        <v>405</v>
      </c>
      <c r="AU49" s="754">
        <f t="shared" si="19"/>
        <v>953</v>
      </c>
    </row>
    <row r="50" spans="1:47" ht="15" customHeight="1" thickBot="1">
      <c r="A50" s="830" t="s">
        <v>1876</v>
      </c>
      <c r="B50" s="831"/>
      <c r="C50" s="189" t="s">
        <v>76</v>
      </c>
      <c r="D50" s="271" t="str">
        <f>DBCS(W42)</f>
        <v>４０</v>
      </c>
      <c r="E50" s="271" t="str">
        <f>VLOOKUP($D$40,$T$55:$AL$62,4,FALSE)</f>
        <v>４０５</v>
      </c>
      <c r="F50" s="250"/>
      <c r="G50" s="250"/>
      <c r="H50" s="964" t="s">
        <v>2034</v>
      </c>
      <c r="I50" s="965"/>
      <c r="J50" s="805" t="s">
        <v>1999</v>
      </c>
      <c r="K50" s="250"/>
      <c r="L50" s="250"/>
      <c r="M50" s="250"/>
      <c r="R50" s="4"/>
      <c r="S50" s="4"/>
      <c r="T50" s="642" t="s">
        <v>137</v>
      </c>
      <c r="U50" s="647">
        <v>10</v>
      </c>
      <c r="V50" s="648">
        <f t="shared" si="20"/>
        <v>470</v>
      </c>
      <c r="W50" s="649">
        <f t="shared" si="18"/>
        <v>400</v>
      </c>
      <c r="X50" s="649">
        <f t="shared" si="18"/>
        <v>550</v>
      </c>
      <c r="Y50" s="648">
        <f t="shared" si="18"/>
        <v>600</v>
      </c>
      <c r="Z50" s="648">
        <f t="shared" si="18"/>
        <v>600</v>
      </c>
      <c r="AA50" s="648">
        <f t="shared" si="18"/>
        <v>450</v>
      </c>
      <c r="AB50" s="649">
        <f t="shared" si="18"/>
        <v>560</v>
      </c>
      <c r="AC50" s="649">
        <f t="shared" si="18"/>
        <v>760</v>
      </c>
      <c r="AD50" s="649">
        <f t="shared" si="18"/>
        <v>200</v>
      </c>
      <c r="AE50" s="648">
        <f t="shared" si="18"/>
        <v>220</v>
      </c>
      <c r="AF50" s="648">
        <f t="shared" si="18"/>
        <v>180</v>
      </c>
      <c r="AG50" s="648">
        <f t="shared" si="18"/>
        <v>60</v>
      </c>
      <c r="AH50" s="649">
        <f t="shared" si="18"/>
        <v>2000</v>
      </c>
      <c r="AI50" s="649">
        <f t="shared" si="18"/>
        <v>500</v>
      </c>
      <c r="AJ50" s="649">
        <f t="shared" si="18"/>
        <v>200</v>
      </c>
      <c r="AK50" s="649">
        <f t="shared" si="18"/>
        <v>50</v>
      </c>
      <c r="AL50" s="649">
        <f t="shared" si="18"/>
        <v>1500</v>
      </c>
      <c r="AM50" s="649">
        <f t="shared" si="18"/>
        <v>1600</v>
      </c>
      <c r="AN50" s="649">
        <f t="shared" si="18"/>
        <v>300</v>
      </c>
      <c r="AO50" s="649">
        <f t="shared" si="18"/>
        <v>600</v>
      </c>
      <c r="AP50" s="649">
        <f t="shared" si="18"/>
        <v>30</v>
      </c>
      <c r="AQ50" s="649">
        <f t="shared" si="19"/>
        <v>1000</v>
      </c>
      <c r="AR50" s="648">
        <f t="shared" si="19"/>
        <v>1000</v>
      </c>
      <c r="AS50" s="648">
        <f t="shared" si="19"/>
        <v>500</v>
      </c>
      <c r="AT50" s="649">
        <f t="shared" si="19"/>
        <v>400</v>
      </c>
      <c r="AU50" s="754">
        <f t="shared" si="19"/>
        <v>940</v>
      </c>
    </row>
    <row r="51" spans="1:47" ht="15" customHeight="1">
      <c r="A51" s="830" t="s">
        <v>1809</v>
      </c>
      <c r="B51" s="831"/>
      <c r="C51" s="189" t="s">
        <v>76</v>
      </c>
      <c r="D51" s="271" t="str">
        <f>DBCS(X42)</f>
        <v>５５</v>
      </c>
      <c r="E51" s="271" t="str">
        <f>VLOOKUP($D$40,$T$55:$AL$62,5,FALSE)</f>
        <v>５５７</v>
      </c>
      <c r="F51" s="250"/>
      <c r="G51" s="250"/>
      <c r="H51" s="250"/>
      <c r="I51" s="250"/>
      <c r="J51" s="250"/>
      <c r="K51" s="250"/>
      <c r="L51" s="250"/>
      <c r="M51" s="250"/>
      <c r="R51" s="4"/>
      <c r="S51" s="4"/>
      <c r="T51" s="289"/>
      <c r="U51" s="290"/>
      <c r="V51" s="615"/>
      <c r="W51" s="615"/>
      <c r="X51" s="615"/>
      <c r="Y51" s="615"/>
      <c r="Z51" s="615"/>
      <c r="AA51" s="615"/>
      <c r="AB51" s="615"/>
      <c r="AC51" s="615"/>
      <c r="AD51" s="615"/>
      <c r="AE51" s="615"/>
      <c r="AF51" s="615"/>
      <c r="AG51" s="615"/>
      <c r="AH51" s="615"/>
      <c r="AI51" s="615"/>
      <c r="AJ51" s="615"/>
      <c r="AK51" s="615"/>
      <c r="AL51" s="615"/>
    </row>
    <row r="52" spans="1:47" ht="15" customHeight="1">
      <c r="A52" s="830" t="s">
        <v>1810</v>
      </c>
      <c r="B52" s="831"/>
      <c r="C52" s="189"/>
      <c r="D52" s="271" t="str">
        <f>DBCS(Y42)</f>
        <v>６０</v>
      </c>
      <c r="E52" s="271" t="str">
        <f>VLOOKUP($D$40,$T$55:$AL$62,6,FALSE)</f>
        <v>６０８</v>
      </c>
      <c r="F52" s="250"/>
      <c r="G52" s="250"/>
      <c r="H52" s="966" t="s">
        <v>168</v>
      </c>
      <c r="I52" s="966"/>
      <c r="J52" s="966"/>
      <c r="K52" s="9" t="s">
        <v>197</v>
      </c>
      <c r="L52" s="9" t="s">
        <v>198</v>
      </c>
      <c r="M52" s="250"/>
      <c r="N52" s="705" t="s">
        <v>200</v>
      </c>
    </row>
    <row r="53" spans="1:47" ht="15" customHeight="1">
      <c r="A53" s="830" t="s">
        <v>1811</v>
      </c>
      <c r="B53" s="831"/>
      <c r="C53" s="189" t="s">
        <v>76</v>
      </c>
      <c r="D53" s="271" t="str">
        <f>DBCS(Z42)</f>
        <v>６０</v>
      </c>
      <c r="E53" s="271" t="str">
        <f>VLOOKUP($D$40,$T$55:$AL$62,7,FALSE)</f>
        <v>６０８</v>
      </c>
      <c r="F53" s="250"/>
      <c r="G53" s="250"/>
      <c r="H53" s="830" t="s">
        <v>202</v>
      </c>
      <c r="I53" s="1002"/>
      <c r="J53" s="831"/>
      <c r="K53" s="271" t="str">
        <f>DBCS(V42)</f>
        <v>４７</v>
      </c>
      <c r="L53" s="271" t="str">
        <f>VLOOKUP($D$40,$T$55:$AK$62,3,FALSE)</f>
        <v>４７６</v>
      </c>
      <c r="M53" s="250"/>
      <c r="N53" s="250" t="s">
        <v>203</v>
      </c>
      <c r="O53" s="310" t="s">
        <v>71</v>
      </c>
      <c r="S53" s="4"/>
    </row>
    <row r="54" spans="1:47" ht="15" customHeight="1">
      <c r="A54" s="830" t="s">
        <v>1812</v>
      </c>
      <c r="B54" s="831"/>
      <c r="C54" s="189"/>
      <c r="D54" s="271" t="str">
        <f>DBCS(AA42)</f>
        <v>４５</v>
      </c>
      <c r="E54" s="271" t="str">
        <f>VLOOKUP($D$40,$T$55:$AL$62,8,FALSE)</f>
        <v>４５６</v>
      </c>
      <c r="F54" s="250"/>
      <c r="G54" s="250"/>
      <c r="H54" s="1010" t="s">
        <v>1907</v>
      </c>
      <c r="I54" s="1011"/>
      <c r="J54" s="1012"/>
      <c r="K54" s="752" t="str">
        <f>DBCS(AU42)</f>
        <v>９４</v>
      </c>
      <c r="L54" s="752" t="str">
        <f>VLOOKUP($D$40,$T$55:$AU$62,28,FALSE)</f>
        <v>９５３</v>
      </c>
      <c r="M54" s="250"/>
      <c r="N54" s="707">
        <f>IF(C55="有",1,0)</f>
        <v>1</v>
      </c>
      <c r="O54" s="651" t="s">
        <v>213</v>
      </c>
      <c r="P54" s="656">
        <v>56</v>
      </c>
      <c r="Q54" s="1007" t="s">
        <v>205</v>
      </c>
      <c r="R54" s="1008"/>
      <c r="S54" s="1009"/>
      <c r="T54" s="650"/>
      <c r="U54" s="651" t="s">
        <v>168</v>
      </c>
      <c r="V54" s="651" t="s">
        <v>169</v>
      </c>
      <c r="W54" s="643" t="s">
        <v>1734</v>
      </c>
      <c r="X54" s="643" t="s">
        <v>1719</v>
      </c>
      <c r="Y54" s="651" t="s">
        <v>170</v>
      </c>
      <c r="Z54" s="652" t="s">
        <v>201</v>
      </c>
      <c r="AA54" s="652" t="s">
        <v>172</v>
      </c>
      <c r="AB54" s="643" t="s">
        <v>173</v>
      </c>
      <c r="AC54" s="645" t="s">
        <v>1721</v>
      </c>
      <c r="AD54" s="643" t="s">
        <v>174</v>
      </c>
      <c r="AE54" s="652" t="s">
        <v>206</v>
      </c>
      <c r="AF54" s="652" t="s">
        <v>207</v>
      </c>
      <c r="AG54" s="652" t="s">
        <v>208</v>
      </c>
      <c r="AH54" s="643" t="s">
        <v>178</v>
      </c>
      <c r="AI54" s="645" t="s">
        <v>1735</v>
      </c>
      <c r="AJ54" s="643" t="s">
        <v>1726</v>
      </c>
      <c r="AK54" s="643" t="s">
        <v>1727</v>
      </c>
      <c r="AL54" s="643" t="s">
        <v>1728</v>
      </c>
      <c r="AM54" s="643" t="s">
        <v>1729</v>
      </c>
      <c r="AN54" s="643" t="s">
        <v>209</v>
      </c>
      <c r="AO54" s="643" t="s">
        <v>210</v>
      </c>
      <c r="AP54" s="643" t="s">
        <v>210</v>
      </c>
      <c r="AQ54" s="645" t="s">
        <v>1736</v>
      </c>
      <c r="AR54" s="652" t="s">
        <v>181</v>
      </c>
      <c r="AS54" s="652" t="s">
        <v>182</v>
      </c>
      <c r="AT54" s="643" t="s">
        <v>1739</v>
      </c>
      <c r="AU54" s="753" t="s">
        <v>1908</v>
      </c>
    </row>
    <row r="55" spans="1:47" ht="15" customHeight="1">
      <c r="A55" s="830" t="s">
        <v>1813</v>
      </c>
      <c r="B55" s="831"/>
      <c r="C55" s="189" t="s">
        <v>76</v>
      </c>
      <c r="D55" s="271" t="str">
        <f>DBCS(AB42)</f>
        <v>５６</v>
      </c>
      <c r="E55" s="271" t="str">
        <f>VLOOKUP($D$40,$T$55:$AL$62,9,FALSE)</f>
        <v>５６７</v>
      </c>
      <c r="F55" s="250"/>
      <c r="G55" s="250"/>
      <c r="H55" s="250"/>
      <c r="I55" s="250"/>
      <c r="J55" s="250"/>
      <c r="K55" s="250"/>
      <c r="L55" s="250"/>
      <c r="M55" s="250"/>
      <c r="N55" s="707">
        <f>IF(C56="有",1,0)</f>
        <v>0</v>
      </c>
      <c r="O55" s="651" t="s">
        <v>214</v>
      </c>
      <c r="P55" s="656">
        <v>85</v>
      </c>
      <c r="Q55" s="1007" t="s">
        <v>212</v>
      </c>
      <c r="R55" s="1008"/>
      <c r="S55" s="1009"/>
      <c r="T55" s="653" t="s">
        <v>122</v>
      </c>
      <c r="U55" s="654">
        <v>10.9</v>
      </c>
      <c r="V55" s="655" t="str">
        <f>DBCS(TEXT(V43,"###,##0"))</f>
        <v>５１２</v>
      </c>
      <c r="W55" s="682" t="str">
        <f t="shared" ref="W55:AT55" si="21">DBCS(TEXT(W43,"###,##0"))</f>
        <v>４３６</v>
      </c>
      <c r="X55" s="682" t="str">
        <f t="shared" si="21"/>
        <v>５９９</v>
      </c>
      <c r="Y55" s="655" t="str">
        <f t="shared" si="21"/>
        <v>６５４</v>
      </c>
      <c r="Z55" s="655" t="str">
        <f t="shared" si="21"/>
        <v>６５４</v>
      </c>
      <c r="AA55" s="655" t="str">
        <f t="shared" si="21"/>
        <v>４９０</v>
      </c>
      <c r="AB55" s="682" t="str">
        <f t="shared" si="21"/>
        <v>６１０</v>
      </c>
      <c r="AC55" s="682" t="str">
        <f t="shared" si="21"/>
        <v>８２８</v>
      </c>
      <c r="AD55" s="682" t="str">
        <f t="shared" si="21"/>
        <v>２１８</v>
      </c>
      <c r="AE55" s="655" t="str">
        <f t="shared" si="21"/>
        <v>２３９</v>
      </c>
      <c r="AF55" s="655" t="str">
        <f t="shared" si="21"/>
        <v>１９６</v>
      </c>
      <c r="AG55" s="655" t="str">
        <f t="shared" si="21"/>
        <v>６５</v>
      </c>
      <c r="AH55" s="682" t="str">
        <f t="shared" si="21"/>
        <v>２，１８０</v>
      </c>
      <c r="AI55" s="682" t="str">
        <f t="shared" si="21"/>
        <v>５４５</v>
      </c>
      <c r="AJ55" s="682" t="str">
        <f t="shared" si="21"/>
        <v>２１８</v>
      </c>
      <c r="AK55" s="682" t="str">
        <f t="shared" si="21"/>
        <v>５４</v>
      </c>
      <c r="AL55" s="682" t="str">
        <f t="shared" si="21"/>
        <v>１，６３５</v>
      </c>
      <c r="AM55" s="682" t="str">
        <f t="shared" si="21"/>
        <v>１，７４４</v>
      </c>
      <c r="AN55" s="682" t="str">
        <f t="shared" si="21"/>
        <v>３２７</v>
      </c>
      <c r="AO55" s="682" t="str">
        <f t="shared" si="21"/>
        <v>６５４</v>
      </c>
      <c r="AP55" s="682" t="str">
        <f t="shared" si="21"/>
        <v>３２</v>
      </c>
      <c r="AQ55" s="682" t="str">
        <f t="shared" si="21"/>
        <v>１，０９０</v>
      </c>
      <c r="AR55" s="655" t="str">
        <f t="shared" si="21"/>
        <v>１，０９０</v>
      </c>
      <c r="AS55" s="655" t="str">
        <f t="shared" si="21"/>
        <v>５４５</v>
      </c>
      <c r="AT55" s="682" t="str">
        <f t="shared" si="21"/>
        <v>４３６</v>
      </c>
      <c r="AU55" s="755" t="str">
        <f t="shared" ref="AU55:AU62" si="22">DBCS(TEXT(AU43,"###,##0"))</f>
        <v>１，０２４</v>
      </c>
    </row>
    <row r="56" spans="1:47" ht="15" customHeight="1">
      <c r="A56" s="830" t="s">
        <v>1814</v>
      </c>
      <c r="B56" s="831"/>
      <c r="C56" s="189"/>
      <c r="D56" s="271" t="str">
        <f>DBCS(AC42)</f>
        <v>７６</v>
      </c>
      <c r="E56" s="271" t="str">
        <f>VLOOKUP($D$40,$T$55:$AL$62,10,FALSE)</f>
        <v>７７０</v>
      </c>
      <c r="F56" s="250"/>
      <c r="G56" s="250"/>
      <c r="H56" s="250"/>
      <c r="I56" s="250"/>
      <c r="J56" s="250"/>
      <c r="K56" s="250"/>
      <c r="L56" s="250"/>
      <c r="M56" s="250"/>
      <c r="N56" s="707">
        <f>IF(C57="有",1,0)</f>
        <v>0</v>
      </c>
      <c r="O56" s="651" t="s">
        <v>211</v>
      </c>
      <c r="P56" s="656">
        <v>20</v>
      </c>
      <c r="Q56" s="1007" t="s">
        <v>205</v>
      </c>
      <c r="R56" s="1008"/>
      <c r="S56" s="1009"/>
      <c r="T56" s="653" t="s">
        <v>124</v>
      </c>
      <c r="U56" s="654">
        <v>10.72</v>
      </c>
      <c r="V56" s="655" t="str">
        <f>DBCS(TEXT(V44,"###,##0"))</f>
        <v>５０３</v>
      </c>
      <c r="W56" s="682" t="str">
        <f t="shared" ref="W56:AT61" si="23">DBCS(TEXT(W44,"###,##0"))</f>
        <v>４２８</v>
      </c>
      <c r="X56" s="682" t="str">
        <f t="shared" si="23"/>
        <v>５８９</v>
      </c>
      <c r="Y56" s="655" t="str">
        <f t="shared" si="23"/>
        <v>６４３</v>
      </c>
      <c r="Z56" s="655" t="str">
        <f t="shared" si="23"/>
        <v>６４３</v>
      </c>
      <c r="AA56" s="655" t="str">
        <f t="shared" si="23"/>
        <v>４８２</v>
      </c>
      <c r="AB56" s="682" t="str">
        <f t="shared" si="23"/>
        <v>６００</v>
      </c>
      <c r="AC56" s="682" t="str">
        <f t="shared" si="23"/>
        <v>８１４</v>
      </c>
      <c r="AD56" s="682" t="str">
        <f t="shared" si="23"/>
        <v>２１４</v>
      </c>
      <c r="AE56" s="655" t="str">
        <f t="shared" si="23"/>
        <v>２３５</v>
      </c>
      <c r="AF56" s="655" t="str">
        <f t="shared" si="23"/>
        <v>１９２</v>
      </c>
      <c r="AG56" s="655" t="str">
        <f t="shared" si="23"/>
        <v>６４</v>
      </c>
      <c r="AH56" s="682" t="str">
        <f t="shared" si="23"/>
        <v>２，１４４</v>
      </c>
      <c r="AI56" s="682" t="str">
        <f t="shared" si="23"/>
        <v>５３６</v>
      </c>
      <c r="AJ56" s="682" t="str">
        <f t="shared" si="23"/>
        <v>２１４</v>
      </c>
      <c r="AK56" s="682" t="str">
        <f t="shared" si="23"/>
        <v>５３</v>
      </c>
      <c r="AL56" s="682" t="str">
        <f t="shared" si="23"/>
        <v>１，６０８</v>
      </c>
      <c r="AM56" s="682" t="str">
        <f t="shared" si="23"/>
        <v>１，７１５</v>
      </c>
      <c r="AN56" s="682" t="str">
        <f t="shared" si="23"/>
        <v>３２１</v>
      </c>
      <c r="AO56" s="682" t="str">
        <f t="shared" si="23"/>
        <v>６４３</v>
      </c>
      <c r="AP56" s="682" t="str">
        <f t="shared" si="23"/>
        <v>３２</v>
      </c>
      <c r="AQ56" s="682" t="str">
        <f t="shared" si="23"/>
        <v>１，０７２</v>
      </c>
      <c r="AR56" s="655" t="str">
        <f t="shared" si="23"/>
        <v>１，０７２</v>
      </c>
      <c r="AS56" s="655" t="str">
        <f t="shared" si="23"/>
        <v>５３６</v>
      </c>
      <c r="AT56" s="682" t="str">
        <f t="shared" si="23"/>
        <v>４２８</v>
      </c>
      <c r="AU56" s="755" t="str">
        <f t="shared" si="22"/>
        <v>１，００７</v>
      </c>
    </row>
    <row r="57" spans="1:47" ht="15" customHeight="1">
      <c r="A57" s="830" t="s">
        <v>1722</v>
      </c>
      <c r="B57" s="831"/>
      <c r="C57" s="189"/>
      <c r="D57" s="271" t="str">
        <f>DBCS(AD42)</f>
        <v>２０</v>
      </c>
      <c r="E57" s="271" t="str">
        <f>VLOOKUP($D$40,$T$55:$AL$62,11,FALSE)</f>
        <v>２０２</v>
      </c>
      <c r="F57" s="250"/>
      <c r="G57" s="250"/>
      <c r="H57" s="250"/>
      <c r="I57" s="250"/>
      <c r="J57" s="250"/>
      <c r="K57" s="250"/>
      <c r="L57" s="250"/>
      <c r="M57" s="250"/>
      <c r="N57" s="707">
        <f>SUM(N54:N56)</f>
        <v>1</v>
      </c>
      <c r="O57" s="651" t="s">
        <v>83</v>
      </c>
      <c r="P57" s="656" t="s">
        <v>83</v>
      </c>
      <c r="Q57" s="660" t="s">
        <v>83</v>
      </c>
      <c r="R57" s="657"/>
      <c r="S57" s="657"/>
      <c r="T57" s="651" t="s">
        <v>126</v>
      </c>
      <c r="U57" s="654">
        <v>10.68</v>
      </c>
      <c r="V57" s="655" t="str">
        <f>DBCS(TEXT(V45,"###,##0"))</f>
        <v>５０１</v>
      </c>
      <c r="W57" s="682" t="str">
        <f t="shared" ref="V57:AK60" si="24">DBCS(TEXT(W45,"###,##0"))</f>
        <v>４２７</v>
      </c>
      <c r="X57" s="682" t="str">
        <f t="shared" si="24"/>
        <v>５８７</v>
      </c>
      <c r="Y57" s="655" t="str">
        <f t="shared" si="24"/>
        <v>６４０</v>
      </c>
      <c r="Z57" s="655" t="str">
        <f t="shared" si="24"/>
        <v>６４０</v>
      </c>
      <c r="AA57" s="655" t="str">
        <f t="shared" si="24"/>
        <v>４８０</v>
      </c>
      <c r="AB57" s="682" t="str">
        <f t="shared" si="24"/>
        <v>５９８</v>
      </c>
      <c r="AC57" s="682" t="str">
        <f t="shared" si="24"/>
        <v>８１１</v>
      </c>
      <c r="AD57" s="682" t="str">
        <f t="shared" si="24"/>
        <v>２１３</v>
      </c>
      <c r="AE57" s="655" t="str">
        <f t="shared" si="24"/>
        <v>２３４</v>
      </c>
      <c r="AF57" s="655" t="str">
        <f t="shared" si="24"/>
        <v>１９２</v>
      </c>
      <c r="AG57" s="655" t="str">
        <f t="shared" si="24"/>
        <v>６４</v>
      </c>
      <c r="AH57" s="682" t="str">
        <f t="shared" si="24"/>
        <v>２，１３６</v>
      </c>
      <c r="AI57" s="682" t="str">
        <f t="shared" si="24"/>
        <v>５３４</v>
      </c>
      <c r="AJ57" s="682" t="str">
        <f t="shared" si="24"/>
        <v>２１３</v>
      </c>
      <c r="AK57" s="682" t="str">
        <f t="shared" si="24"/>
        <v>５３</v>
      </c>
      <c r="AL57" s="682" t="str">
        <f t="shared" si="23"/>
        <v>１，６０２</v>
      </c>
      <c r="AM57" s="682" t="str">
        <f t="shared" si="23"/>
        <v>１，７０８</v>
      </c>
      <c r="AN57" s="682" t="str">
        <f t="shared" si="23"/>
        <v>３２０</v>
      </c>
      <c r="AO57" s="682" t="str">
        <f t="shared" si="23"/>
        <v>６４０</v>
      </c>
      <c r="AP57" s="682" t="str">
        <f t="shared" si="23"/>
        <v>３２</v>
      </c>
      <c r="AQ57" s="682" t="str">
        <f t="shared" si="23"/>
        <v>１，０６８</v>
      </c>
      <c r="AR57" s="655" t="str">
        <f t="shared" si="23"/>
        <v>１，０６８</v>
      </c>
      <c r="AS57" s="655" t="str">
        <f t="shared" si="23"/>
        <v>５３４</v>
      </c>
      <c r="AT57" s="682" t="str">
        <f t="shared" si="23"/>
        <v>４２７</v>
      </c>
      <c r="AU57" s="755" t="str">
        <f t="shared" si="22"/>
        <v>１，００３</v>
      </c>
    </row>
    <row r="58" spans="1:47" ht="15" customHeight="1">
      <c r="A58" s="830" t="s">
        <v>1815</v>
      </c>
      <c r="B58" s="831"/>
      <c r="C58" s="189"/>
      <c r="D58" s="271" t="str">
        <f>DBCS(AE42)</f>
        <v>２２</v>
      </c>
      <c r="E58" s="271" t="str">
        <f>VLOOKUP($D$40,$T$55:$AL$62,12,FALSE)</f>
        <v>２２３</v>
      </c>
      <c r="F58" s="250"/>
      <c r="G58" s="250"/>
      <c r="H58" s="250"/>
      <c r="I58" s="250"/>
      <c r="J58" s="250"/>
      <c r="K58" s="250"/>
      <c r="L58" s="250"/>
      <c r="M58" s="250"/>
      <c r="N58" s="708">
        <f>SUM(N54:N55)</f>
        <v>1</v>
      </c>
      <c r="O58" s="659" t="s">
        <v>213</v>
      </c>
      <c r="P58" s="656">
        <v>22</v>
      </c>
      <c r="Q58" s="1007" t="s">
        <v>1766</v>
      </c>
      <c r="R58" s="1008"/>
      <c r="S58" s="1009"/>
      <c r="T58" s="651" t="s">
        <v>128</v>
      </c>
      <c r="U58" s="654">
        <v>10.54</v>
      </c>
      <c r="V58" s="655" t="str">
        <f>DBCS(TEXT(V46,"###,##0"))</f>
        <v>４９５</v>
      </c>
      <c r="W58" s="682" t="str">
        <f t="shared" si="23"/>
        <v>４２１</v>
      </c>
      <c r="X58" s="682" t="str">
        <f t="shared" si="23"/>
        <v>５７９</v>
      </c>
      <c r="Y58" s="655" t="str">
        <f t="shared" si="23"/>
        <v>６３２</v>
      </c>
      <c r="Z58" s="655" t="str">
        <f t="shared" si="23"/>
        <v>６３２</v>
      </c>
      <c r="AA58" s="655" t="str">
        <f t="shared" si="23"/>
        <v>４７４</v>
      </c>
      <c r="AB58" s="682" t="str">
        <f t="shared" si="23"/>
        <v>５９０</v>
      </c>
      <c r="AC58" s="682" t="str">
        <f t="shared" si="23"/>
        <v>８０１</v>
      </c>
      <c r="AD58" s="682" t="str">
        <f t="shared" si="23"/>
        <v>２１０</v>
      </c>
      <c r="AE58" s="655" t="str">
        <f t="shared" si="23"/>
        <v>２３１</v>
      </c>
      <c r="AF58" s="655" t="str">
        <f t="shared" si="23"/>
        <v>１８９</v>
      </c>
      <c r="AG58" s="655" t="str">
        <f t="shared" si="23"/>
        <v>６３</v>
      </c>
      <c r="AH58" s="682" t="str">
        <f t="shared" si="23"/>
        <v>２，１０８</v>
      </c>
      <c r="AI58" s="682" t="str">
        <f t="shared" si="23"/>
        <v>５２７</v>
      </c>
      <c r="AJ58" s="682" t="str">
        <f t="shared" si="23"/>
        <v>２１０</v>
      </c>
      <c r="AK58" s="682" t="str">
        <f t="shared" si="23"/>
        <v>５２</v>
      </c>
      <c r="AL58" s="682" t="str">
        <f t="shared" si="23"/>
        <v>１，５８１</v>
      </c>
      <c r="AM58" s="682" t="str">
        <f t="shared" si="23"/>
        <v>１，６８６</v>
      </c>
      <c r="AN58" s="682" t="str">
        <f t="shared" si="23"/>
        <v>３１６</v>
      </c>
      <c r="AO58" s="682" t="str">
        <f t="shared" si="23"/>
        <v>６３２</v>
      </c>
      <c r="AP58" s="682" t="str">
        <f t="shared" si="23"/>
        <v>３１</v>
      </c>
      <c r="AQ58" s="682" t="str">
        <f t="shared" si="23"/>
        <v>１，０５４</v>
      </c>
      <c r="AR58" s="655" t="str">
        <f t="shared" si="23"/>
        <v>１，０５４</v>
      </c>
      <c r="AS58" s="655" t="str">
        <f t="shared" si="23"/>
        <v>５２７</v>
      </c>
      <c r="AT58" s="682" t="str">
        <f t="shared" si="23"/>
        <v>４２１</v>
      </c>
      <c r="AU58" s="755" t="str">
        <f t="shared" si="22"/>
        <v>９９０</v>
      </c>
    </row>
    <row r="59" spans="1:47" ht="15" customHeight="1">
      <c r="A59" s="830" t="s">
        <v>1816</v>
      </c>
      <c r="B59" s="831"/>
      <c r="C59" s="189"/>
      <c r="D59" s="271" t="str">
        <f>DBCS(AF42)</f>
        <v>１８</v>
      </c>
      <c r="E59" s="271" t="str">
        <f>VLOOKUP($D$40,$T$55:$AL$62,13,FALSE)</f>
        <v>１８２</v>
      </c>
      <c r="F59" s="250"/>
      <c r="G59" s="250"/>
      <c r="H59" s="250"/>
      <c r="I59" s="250"/>
      <c r="J59" s="250"/>
      <c r="K59" s="250"/>
      <c r="L59" s="250"/>
      <c r="M59" s="250"/>
      <c r="N59" s="708"/>
      <c r="O59" s="659" t="s">
        <v>214</v>
      </c>
      <c r="P59" s="656">
        <v>18</v>
      </c>
      <c r="Q59" s="1007" t="s">
        <v>569</v>
      </c>
      <c r="R59" s="1008"/>
      <c r="S59" s="1009"/>
      <c r="T59" s="651" t="s">
        <v>130</v>
      </c>
      <c r="U59" s="654">
        <v>10.45</v>
      </c>
      <c r="V59" s="655" t="str">
        <f>DBCS(TEXT(V47,"###,##0"))</f>
        <v>４９１</v>
      </c>
      <c r="W59" s="682" t="str">
        <f t="shared" si="23"/>
        <v>４１８</v>
      </c>
      <c r="X59" s="682" t="str">
        <f t="shared" si="23"/>
        <v>５７４</v>
      </c>
      <c r="Y59" s="655" t="str">
        <f t="shared" si="23"/>
        <v>６２７</v>
      </c>
      <c r="Z59" s="655" t="str">
        <f t="shared" si="23"/>
        <v>６２７</v>
      </c>
      <c r="AA59" s="655" t="str">
        <f t="shared" si="23"/>
        <v>４７０</v>
      </c>
      <c r="AB59" s="682" t="str">
        <f t="shared" si="23"/>
        <v>５８５</v>
      </c>
      <c r="AC59" s="682" t="str">
        <f t="shared" si="23"/>
        <v>７９４</v>
      </c>
      <c r="AD59" s="682" t="str">
        <f t="shared" si="23"/>
        <v>２０９</v>
      </c>
      <c r="AE59" s="655" t="str">
        <f t="shared" si="23"/>
        <v>２２９</v>
      </c>
      <c r="AF59" s="655" t="str">
        <f t="shared" si="23"/>
        <v>１８８</v>
      </c>
      <c r="AG59" s="655" t="str">
        <f t="shared" si="23"/>
        <v>６２</v>
      </c>
      <c r="AH59" s="682" t="str">
        <f t="shared" si="23"/>
        <v>２，０９０</v>
      </c>
      <c r="AI59" s="682" t="str">
        <f t="shared" si="23"/>
        <v>５２２</v>
      </c>
      <c r="AJ59" s="682" t="str">
        <f t="shared" si="23"/>
        <v>２０９</v>
      </c>
      <c r="AK59" s="682" t="str">
        <f t="shared" si="23"/>
        <v>５２</v>
      </c>
      <c r="AL59" s="682" t="str">
        <f t="shared" si="23"/>
        <v>１，５６７</v>
      </c>
      <c r="AM59" s="682" t="str">
        <f t="shared" si="23"/>
        <v>１，６７２</v>
      </c>
      <c r="AN59" s="682" t="str">
        <f t="shared" si="23"/>
        <v>３１３</v>
      </c>
      <c r="AO59" s="682" t="str">
        <f t="shared" si="23"/>
        <v>６２７</v>
      </c>
      <c r="AP59" s="682" t="str">
        <f t="shared" si="23"/>
        <v>３１</v>
      </c>
      <c r="AQ59" s="682" t="str">
        <f t="shared" si="23"/>
        <v>１，０４５</v>
      </c>
      <c r="AR59" s="655" t="str">
        <f t="shared" si="23"/>
        <v>１，０４５</v>
      </c>
      <c r="AS59" s="655" t="str">
        <f t="shared" si="23"/>
        <v>５２２</v>
      </c>
      <c r="AT59" s="682" t="str">
        <f t="shared" si="23"/>
        <v>４１８</v>
      </c>
      <c r="AU59" s="755" t="str">
        <f t="shared" si="22"/>
        <v>９８２</v>
      </c>
    </row>
    <row r="60" spans="1:47" ht="15" customHeight="1">
      <c r="A60" s="830" t="s">
        <v>1817</v>
      </c>
      <c r="B60" s="831"/>
      <c r="C60" s="189"/>
      <c r="D60" s="271" t="str">
        <f>DBCS(AG42)</f>
        <v>６</v>
      </c>
      <c r="E60" s="271" t="str">
        <f>VLOOKUP($D$40,$T$55:$AL$62,14,FALSE)</f>
        <v>６０</v>
      </c>
      <c r="F60" s="250"/>
      <c r="G60" s="250"/>
      <c r="H60" s="250"/>
      <c r="I60" s="250"/>
      <c r="J60" s="250"/>
      <c r="K60" s="250"/>
      <c r="L60" s="250"/>
      <c r="M60" s="250"/>
      <c r="N60" s="708"/>
      <c r="O60" s="659" t="s">
        <v>211</v>
      </c>
      <c r="P60" s="656">
        <v>6</v>
      </c>
      <c r="Q60" s="1007" t="s">
        <v>1767</v>
      </c>
      <c r="R60" s="1008"/>
      <c r="S60" s="1009"/>
      <c r="T60" s="651" t="s">
        <v>131</v>
      </c>
      <c r="U60" s="654">
        <v>10.27</v>
      </c>
      <c r="V60" s="655" t="str">
        <f t="shared" si="24"/>
        <v>４８２</v>
      </c>
      <c r="W60" s="682" t="str">
        <f t="shared" si="23"/>
        <v>４１０</v>
      </c>
      <c r="X60" s="682" t="str">
        <f t="shared" si="23"/>
        <v>５６４</v>
      </c>
      <c r="Y60" s="655" t="str">
        <f t="shared" si="23"/>
        <v>６１６</v>
      </c>
      <c r="Z60" s="655" t="str">
        <f t="shared" si="23"/>
        <v>６１６</v>
      </c>
      <c r="AA60" s="655" t="str">
        <f t="shared" si="23"/>
        <v>４６２</v>
      </c>
      <c r="AB60" s="682" t="str">
        <f t="shared" si="23"/>
        <v>５７５</v>
      </c>
      <c r="AC60" s="682" t="str">
        <f t="shared" si="23"/>
        <v>７８０</v>
      </c>
      <c r="AD60" s="682" t="str">
        <f t="shared" si="23"/>
        <v>２０５</v>
      </c>
      <c r="AE60" s="655" t="str">
        <f t="shared" si="23"/>
        <v>２２５</v>
      </c>
      <c r="AF60" s="655" t="str">
        <f t="shared" si="23"/>
        <v>１８４</v>
      </c>
      <c r="AG60" s="655" t="str">
        <f t="shared" si="23"/>
        <v>６１</v>
      </c>
      <c r="AH60" s="682" t="str">
        <f t="shared" si="23"/>
        <v>２，０５４</v>
      </c>
      <c r="AI60" s="682" t="str">
        <f t="shared" si="23"/>
        <v>５１３</v>
      </c>
      <c r="AJ60" s="682" t="str">
        <f t="shared" si="23"/>
        <v>２０５</v>
      </c>
      <c r="AK60" s="682" t="str">
        <f t="shared" si="23"/>
        <v>５１</v>
      </c>
      <c r="AL60" s="682" t="str">
        <f t="shared" si="23"/>
        <v>１，５４０</v>
      </c>
      <c r="AM60" s="682" t="str">
        <f t="shared" si="23"/>
        <v>１，６４３</v>
      </c>
      <c r="AN60" s="682" t="str">
        <f t="shared" si="23"/>
        <v>３０８</v>
      </c>
      <c r="AO60" s="682" t="str">
        <f t="shared" si="23"/>
        <v>６１６</v>
      </c>
      <c r="AP60" s="682" t="str">
        <f t="shared" si="23"/>
        <v>３０</v>
      </c>
      <c r="AQ60" s="682" t="str">
        <f t="shared" si="23"/>
        <v>１，０２７</v>
      </c>
      <c r="AR60" s="655" t="str">
        <f t="shared" si="23"/>
        <v>１，０２７</v>
      </c>
      <c r="AS60" s="655" t="str">
        <f t="shared" si="23"/>
        <v>５１３</v>
      </c>
      <c r="AT60" s="682" t="str">
        <f t="shared" si="23"/>
        <v>４１０</v>
      </c>
      <c r="AU60" s="755" t="str">
        <f t="shared" si="22"/>
        <v>９６５</v>
      </c>
    </row>
    <row r="61" spans="1:47" ht="15" customHeight="1">
      <c r="A61" s="830" t="s">
        <v>1818</v>
      </c>
      <c r="B61" s="831"/>
      <c r="C61" s="189"/>
      <c r="D61" s="271" t="str">
        <f>DBCS(AH42)</f>
        <v>２００</v>
      </c>
      <c r="E61" s="271" t="str">
        <f>VLOOKUP($D$40,$T$55:$AL$62,15,FALSE)</f>
        <v>２，０２８</v>
      </c>
      <c r="F61" s="250"/>
      <c r="G61" s="250"/>
      <c r="H61" s="250"/>
      <c r="I61" s="250"/>
      <c r="J61" s="250"/>
      <c r="K61" s="250"/>
      <c r="L61" s="250"/>
      <c r="M61" s="250"/>
      <c r="N61" s="708"/>
      <c r="O61" s="651" t="s">
        <v>83</v>
      </c>
      <c r="P61" s="656" t="s">
        <v>83</v>
      </c>
      <c r="Q61" s="660" t="s">
        <v>83</v>
      </c>
      <c r="R61" s="650"/>
      <c r="S61" s="658"/>
      <c r="T61" s="651" t="s">
        <v>134</v>
      </c>
      <c r="U61" s="654">
        <v>10.14</v>
      </c>
      <c r="V61" s="655" t="str">
        <f>DBCS(TEXT(V49,"###,##0"))</f>
        <v>４７６</v>
      </c>
      <c r="W61" s="682" t="str">
        <f t="shared" si="23"/>
        <v>４０５</v>
      </c>
      <c r="X61" s="682" t="str">
        <f t="shared" si="23"/>
        <v>５５７</v>
      </c>
      <c r="Y61" s="655" t="str">
        <f t="shared" si="23"/>
        <v>６０８</v>
      </c>
      <c r="Z61" s="655" t="str">
        <f t="shared" si="23"/>
        <v>６０８</v>
      </c>
      <c r="AA61" s="655" t="str">
        <f t="shared" si="23"/>
        <v>４５６</v>
      </c>
      <c r="AB61" s="682" t="str">
        <f t="shared" si="23"/>
        <v>５６７</v>
      </c>
      <c r="AC61" s="682" t="str">
        <f t="shared" si="23"/>
        <v>７７０</v>
      </c>
      <c r="AD61" s="682" t="str">
        <f t="shared" si="23"/>
        <v>２０２</v>
      </c>
      <c r="AE61" s="655" t="str">
        <f t="shared" si="23"/>
        <v>２２３</v>
      </c>
      <c r="AF61" s="655" t="str">
        <f t="shared" si="23"/>
        <v>１８２</v>
      </c>
      <c r="AG61" s="655" t="str">
        <f t="shared" si="23"/>
        <v>６０</v>
      </c>
      <c r="AH61" s="682" t="str">
        <f t="shared" si="23"/>
        <v>２，０２８</v>
      </c>
      <c r="AI61" s="682" t="str">
        <f t="shared" si="23"/>
        <v>５０７</v>
      </c>
      <c r="AJ61" s="682" t="str">
        <f t="shared" si="23"/>
        <v>２０２</v>
      </c>
      <c r="AK61" s="682" t="str">
        <f t="shared" si="23"/>
        <v>５０</v>
      </c>
      <c r="AL61" s="682" t="str">
        <f t="shared" si="23"/>
        <v>１，５２１</v>
      </c>
      <c r="AM61" s="682" t="str">
        <f t="shared" si="23"/>
        <v>１，６２２</v>
      </c>
      <c r="AN61" s="682" t="str">
        <f t="shared" si="23"/>
        <v>３０４</v>
      </c>
      <c r="AO61" s="682" t="str">
        <f t="shared" si="23"/>
        <v>６０８</v>
      </c>
      <c r="AP61" s="682" t="str">
        <f t="shared" si="23"/>
        <v>３０</v>
      </c>
      <c r="AQ61" s="682" t="str">
        <f t="shared" si="23"/>
        <v>１，０１４</v>
      </c>
      <c r="AR61" s="655" t="str">
        <f t="shared" si="23"/>
        <v>１，０１４</v>
      </c>
      <c r="AS61" s="655" t="str">
        <f t="shared" si="23"/>
        <v>５０７</v>
      </c>
      <c r="AT61" s="682" t="str">
        <f t="shared" si="23"/>
        <v>４０５</v>
      </c>
      <c r="AU61" s="755" t="str">
        <f t="shared" si="22"/>
        <v>９５３</v>
      </c>
    </row>
    <row r="62" spans="1:47" ht="15" customHeight="1">
      <c r="A62" s="830" t="s">
        <v>1725</v>
      </c>
      <c r="B62" s="831"/>
      <c r="C62" s="189"/>
      <c r="D62" s="271" t="str">
        <f>DBCS(AI42)</f>
        <v>５０</v>
      </c>
      <c r="E62" s="271" t="str">
        <f>VLOOKUP($D$40,$T$55:$AL$62,16,FALSE)</f>
        <v>５０７</v>
      </c>
      <c r="F62" s="250"/>
      <c r="G62" s="250"/>
      <c r="H62" s="250"/>
      <c r="I62" s="250"/>
      <c r="J62" s="250"/>
      <c r="K62" s="250"/>
      <c r="L62" s="250"/>
      <c r="M62" s="250"/>
      <c r="S62" s="4"/>
      <c r="T62" s="651" t="s">
        <v>137</v>
      </c>
      <c r="U62" s="654">
        <v>10</v>
      </c>
      <c r="V62" s="655" t="str">
        <f>DBCS(TEXT(V50,"###,##0"))</f>
        <v>４７０</v>
      </c>
      <c r="W62" s="682" t="str">
        <f t="shared" ref="W62:AT62" si="25">DBCS(TEXT(W50,"###,##0"))</f>
        <v>４００</v>
      </c>
      <c r="X62" s="682" t="str">
        <f t="shared" si="25"/>
        <v>５５０</v>
      </c>
      <c r="Y62" s="655" t="str">
        <f t="shared" si="25"/>
        <v>６００</v>
      </c>
      <c r="Z62" s="655" t="str">
        <f t="shared" si="25"/>
        <v>６００</v>
      </c>
      <c r="AA62" s="655" t="str">
        <f t="shared" si="25"/>
        <v>４５０</v>
      </c>
      <c r="AB62" s="682" t="str">
        <f t="shared" si="25"/>
        <v>５６０</v>
      </c>
      <c r="AC62" s="682" t="str">
        <f t="shared" si="25"/>
        <v>７６０</v>
      </c>
      <c r="AD62" s="682" t="str">
        <f t="shared" si="25"/>
        <v>２００</v>
      </c>
      <c r="AE62" s="655" t="str">
        <f t="shared" si="25"/>
        <v>２２０</v>
      </c>
      <c r="AF62" s="655" t="str">
        <f t="shared" si="25"/>
        <v>１８０</v>
      </c>
      <c r="AG62" s="655" t="str">
        <f t="shared" si="25"/>
        <v>６０</v>
      </c>
      <c r="AH62" s="682" t="str">
        <f t="shared" si="25"/>
        <v>２，０００</v>
      </c>
      <c r="AI62" s="682" t="str">
        <f t="shared" si="25"/>
        <v>５００</v>
      </c>
      <c r="AJ62" s="682" t="str">
        <f t="shared" si="25"/>
        <v>２００</v>
      </c>
      <c r="AK62" s="682" t="str">
        <f t="shared" si="25"/>
        <v>５０</v>
      </c>
      <c r="AL62" s="682" t="str">
        <f t="shared" si="25"/>
        <v>１，５００</v>
      </c>
      <c r="AM62" s="682" t="str">
        <f t="shared" si="25"/>
        <v>１，６００</v>
      </c>
      <c r="AN62" s="682" t="str">
        <f t="shared" si="25"/>
        <v>３００</v>
      </c>
      <c r="AO62" s="682" t="str">
        <f t="shared" si="25"/>
        <v>６００</v>
      </c>
      <c r="AP62" s="682" t="str">
        <f t="shared" si="25"/>
        <v>３０</v>
      </c>
      <c r="AQ62" s="682" t="str">
        <f t="shared" si="25"/>
        <v>１，０００</v>
      </c>
      <c r="AR62" s="655" t="str">
        <f t="shared" si="25"/>
        <v>１，０００</v>
      </c>
      <c r="AS62" s="655" t="str">
        <f t="shared" si="25"/>
        <v>５００</v>
      </c>
      <c r="AT62" s="682" t="str">
        <f t="shared" si="25"/>
        <v>４００</v>
      </c>
      <c r="AU62" s="755" t="str">
        <f t="shared" si="22"/>
        <v>９４０</v>
      </c>
    </row>
    <row r="63" spans="1:47" ht="15" customHeight="1">
      <c r="A63" s="830" t="s">
        <v>1819</v>
      </c>
      <c r="B63" s="831"/>
      <c r="C63" s="189"/>
      <c r="D63" s="271" t="str">
        <f>DBCS(AJ42)</f>
        <v>２０</v>
      </c>
      <c r="E63" s="271" t="str">
        <f>VLOOKUP($D$40,$T$55:$AL$62,17,FALSE)</f>
        <v>２０２</v>
      </c>
      <c r="F63" s="250"/>
      <c r="G63" s="250"/>
      <c r="H63" s="250"/>
      <c r="I63" s="250"/>
      <c r="J63" s="250"/>
      <c r="K63" s="250"/>
      <c r="L63" s="250"/>
      <c r="M63" s="250"/>
      <c r="S63" s="301" t="s">
        <v>162</v>
      </c>
      <c r="T63" s="4">
        <v>1</v>
      </c>
      <c r="U63" s="4">
        <v>2</v>
      </c>
      <c r="V63" s="4">
        <v>3</v>
      </c>
      <c r="W63" s="4">
        <v>4</v>
      </c>
      <c r="X63" s="4">
        <v>5</v>
      </c>
      <c r="Y63" s="4">
        <v>6</v>
      </c>
      <c r="Z63" s="4">
        <v>7</v>
      </c>
      <c r="AA63" s="4">
        <v>8</v>
      </c>
      <c r="AB63" s="4">
        <v>9</v>
      </c>
      <c r="AC63" s="4">
        <v>10</v>
      </c>
      <c r="AD63" s="4">
        <v>11</v>
      </c>
      <c r="AE63" s="4">
        <v>12</v>
      </c>
      <c r="AF63" s="4">
        <v>13</v>
      </c>
      <c r="AG63" s="4">
        <v>14</v>
      </c>
      <c r="AH63" s="4">
        <v>15</v>
      </c>
      <c r="AI63" s="4">
        <v>16</v>
      </c>
      <c r="AJ63" s="4">
        <v>17</v>
      </c>
      <c r="AK63" s="4">
        <v>18</v>
      </c>
      <c r="AL63" s="4">
        <v>19</v>
      </c>
      <c r="AM63" s="4">
        <v>20</v>
      </c>
      <c r="AN63" s="4">
        <v>21</v>
      </c>
      <c r="AO63" s="4">
        <v>22</v>
      </c>
      <c r="AP63" s="4">
        <v>23</v>
      </c>
      <c r="AQ63" s="4">
        <v>24</v>
      </c>
      <c r="AR63" s="4">
        <v>25</v>
      </c>
      <c r="AS63" s="4">
        <v>26</v>
      </c>
      <c r="AT63" s="4">
        <v>27</v>
      </c>
      <c r="AU63" s="4">
        <v>28</v>
      </c>
    </row>
    <row r="64" spans="1:47" ht="15" customHeight="1">
      <c r="A64" s="830" t="s">
        <v>1820</v>
      </c>
      <c r="B64" s="831"/>
      <c r="C64" s="189"/>
      <c r="D64" s="271" t="str">
        <f>DBCS(AK42)</f>
        <v>５</v>
      </c>
      <c r="E64" s="271" t="str">
        <f>VLOOKUP($D$40,$T$55:$AL$62,18,FALSE)</f>
        <v>５０</v>
      </c>
      <c r="F64" s="250"/>
      <c r="G64" s="250"/>
      <c r="H64" s="250"/>
      <c r="I64" s="250"/>
      <c r="J64" s="250"/>
      <c r="K64" s="250"/>
      <c r="L64" s="250"/>
      <c r="M64" s="250"/>
    </row>
    <row r="65" spans="1:43" ht="15" customHeight="1">
      <c r="A65" s="830" t="s">
        <v>1821</v>
      </c>
      <c r="B65" s="831"/>
      <c r="C65" s="189" t="s">
        <v>76</v>
      </c>
      <c r="D65" s="271" t="str">
        <f>DBCS(AL42)</f>
        <v>１５０</v>
      </c>
      <c r="E65" s="271" t="str">
        <f>VLOOKUP($D$40,$T$55:$AL$62,19,FALSE)</f>
        <v>１，５２１</v>
      </c>
      <c r="F65" s="250"/>
      <c r="G65" s="250"/>
      <c r="H65" s="250"/>
      <c r="I65" s="250"/>
      <c r="J65" s="250"/>
      <c r="K65" s="250"/>
      <c r="L65" s="250"/>
      <c r="M65" s="250"/>
      <c r="S65" s="4"/>
    </row>
    <row r="66" spans="1:43" ht="15" customHeight="1">
      <c r="A66" s="830" t="s">
        <v>1822</v>
      </c>
      <c r="B66" s="831"/>
      <c r="C66" s="189"/>
      <c r="D66" s="271" t="str">
        <f>DBCS(AM42)</f>
        <v>１６０</v>
      </c>
      <c r="E66" s="271" t="str">
        <f>VLOOKUP($D$40,$T$55:$AT$62,20,FALSE)</f>
        <v>１，６２２</v>
      </c>
      <c r="F66" s="250"/>
      <c r="G66" s="250"/>
      <c r="H66" s="250"/>
      <c r="I66" s="250"/>
      <c r="J66" s="250"/>
      <c r="K66" s="250"/>
      <c r="L66" s="250"/>
      <c r="M66" s="250"/>
      <c r="N66" s="705" t="s">
        <v>71</v>
      </c>
      <c r="S66" s="4"/>
      <c r="U66" s="838" t="s">
        <v>215</v>
      </c>
      <c r="V66" s="839"/>
      <c r="W66" s="839"/>
      <c r="X66" s="839"/>
      <c r="Y66" s="839"/>
      <c r="Z66" s="839"/>
      <c r="AA66" s="840"/>
      <c r="AC66" s="838" t="s">
        <v>216</v>
      </c>
      <c r="AD66" s="839"/>
      <c r="AE66" s="839"/>
      <c r="AF66" s="839"/>
      <c r="AG66" s="839"/>
      <c r="AH66" s="839"/>
      <c r="AI66" s="840"/>
      <c r="AK66" s="838" t="s">
        <v>217</v>
      </c>
      <c r="AL66" s="839"/>
      <c r="AM66" s="839"/>
      <c r="AN66" s="839"/>
      <c r="AO66" s="839"/>
      <c r="AP66" s="839"/>
      <c r="AQ66" s="840"/>
    </row>
    <row r="67" spans="1:43" ht="15" customHeight="1">
      <c r="A67" s="830" t="s">
        <v>1823</v>
      </c>
      <c r="B67" s="831"/>
      <c r="C67" s="189"/>
      <c r="D67" s="271" t="str">
        <f>DBCS(AN42)</f>
        <v>３０</v>
      </c>
      <c r="E67" s="271" t="str">
        <f>VLOOKUP($D$40,$T$55:$AT$62,21,FALSE)</f>
        <v>３０４</v>
      </c>
      <c r="F67" s="250"/>
      <c r="G67" s="250"/>
      <c r="H67" s="250"/>
      <c r="I67" s="250"/>
      <c r="J67" s="250"/>
      <c r="K67" s="250"/>
      <c r="L67" s="250"/>
      <c r="M67" s="250"/>
      <c r="N67" s="705"/>
      <c r="S67" s="4"/>
      <c r="U67" s="609"/>
      <c r="V67" s="610"/>
      <c r="W67" s="610"/>
      <c r="X67" s="610"/>
      <c r="Y67" s="610"/>
      <c r="Z67" s="610"/>
      <c r="AA67" s="611"/>
      <c r="AC67" s="609"/>
      <c r="AD67" s="610"/>
      <c r="AE67" s="610"/>
      <c r="AF67" s="610"/>
      <c r="AG67" s="610"/>
      <c r="AH67" s="610"/>
      <c r="AI67" s="611"/>
      <c r="AK67" s="609"/>
      <c r="AL67" s="610"/>
      <c r="AM67" s="610"/>
      <c r="AN67" s="610"/>
      <c r="AO67" s="610"/>
      <c r="AP67" s="610"/>
      <c r="AQ67" s="611"/>
    </row>
    <row r="68" spans="1:43" ht="15" customHeight="1">
      <c r="A68" s="830" t="s">
        <v>1824</v>
      </c>
      <c r="B68" s="831"/>
      <c r="C68" s="189"/>
      <c r="D68" s="271" t="str">
        <f>DBCS(AO42)</f>
        <v>６０</v>
      </c>
      <c r="E68" s="271" t="str">
        <f>VLOOKUP($D$40,$T$55:$AT$62,22,FALSE)</f>
        <v>６０８</v>
      </c>
      <c r="F68" s="250"/>
      <c r="G68" s="250"/>
      <c r="H68" s="250"/>
      <c r="I68" s="250"/>
      <c r="J68" s="250"/>
      <c r="K68" s="250"/>
      <c r="L68" s="250"/>
      <c r="M68" s="250"/>
      <c r="N68" s="709" t="s">
        <v>219</v>
      </c>
      <c r="O68" s="846" t="str">
        <f>D74</f>
        <v>9.2%（1ヶ月の利用合計単位数に乗じる）</v>
      </c>
      <c r="P68" s="847"/>
      <c r="Q68" s="847"/>
      <c r="R68" s="847"/>
      <c r="S68" s="848"/>
      <c r="T68" s="7" t="s">
        <v>168</v>
      </c>
      <c r="U68" s="6" t="s">
        <v>184</v>
      </c>
      <c r="V68" s="6" t="s">
        <v>188</v>
      </c>
      <c r="W68" s="6" t="s">
        <v>220</v>
      </c>
      <c r="X68" s="6" t="s">
        <v>192</v>
      </c>
      <c r="Y68" s="7" t="s">
        <v>221</v>
      </c>
      <c r="Z68" s="7" t="s">
        <v>222</v>
      </c>
      <c r="AA68" s="6" t="s">
        <v>199</v>
      </c>
      <c r="AB68" s="7" t="s">
        <v>168</v>
      </c>
      <c r="AC68" s="6" t="s">
        <v>184</v>
      </c>
      <c r="AD68" s="6" t="s">
        <v>188</v>
      </c>
      <c r="AE68" s="6" t="s">
        <v>220</v>
      </c>
      <c r="AF68" s="6" t="s">
        <v>192</v>
      </c>
      <c r="AG68" s="7" t="s">
        <v>221</v>
      </c>
      <c r="AH68" s="7" t="s">
        <v>222</v>
      </c>
      <c r="AI68" s="6" t="s">
        <v>199</v>
      </c>
      <c r="AJ68" s="7" t="s">
        <v>168</v>
      </c>
      <c r="AK68" s="6" t="s">
        <v>184</v>
      </c>
      <c r="AL68" s="6" t="s">
        <v>188</v>
      </c>
      <c r="AM68" s="6" t="s">
        <v>220</v>
      </c>
      <c r="AN68" s="6" t="s">
        <v>192</v>
      </c>
      <c r="AO68" s="7" t="s">
        <v>221</v>
      </c>
      <c r="AP68" s="7" t="s">
        <v>222</v>
      </c>
      <c r="AQ68" s="6" t="s">
        <v>199</v>
      </c>
    </row>
    <row r="69" spans="1:43" ht="15" customHeight="1">
      <c r="A69" s="830" t="s">
        <v>1825</v>
      </c>
      <c r="B69" s="831"/>
      <c r="C69" s="189"/>
      <c r="D69" s="271" t="str">
        <f>DBCS(AP42)</f>
        <v>３</v>
      </c>
      <c r="E69" s="271" t="str">
        <f>VLOOKUP($D$40,$T$55:$AT$62,23,FALSE)</f>
        <v>３０</v>
      </c>
      <c r="F69" s="973" t="str">
        <f>Q57</f>
        <v>-</v>
      </c>
      <c r="G69" s="973"/>
      <c r="H69" s="973"/>
      <c r="I69" s="973"/>
      <c r="J69" s="973"/>
      <c r="K69" s="973"/>
      <c r="L69" s="973"/>
      <c r="M69" s="250"/>
      <c r="N69" s="709" t="s">
        <v>224</v>
      </c>
      <c r="O69" s="846" t="str">
        <f>D75</f>
        <v>9.0%（1ヶ月の利用合計単位数に乗じる）</v>
      </c>
      <c r="P69" s="847"/>
      <c r="Q69" s="847"/>
      <c r="R69" s="847"/>
      <c r="S69" s="848"/>
      <c r="T69" s="7" t="s">
        <v>122</v>
      </c>
      <c r="U69" s="447" t="s">
        <v>225</v>
      </c>
      <c r="V69" s="447">
        <v>380</v>
      </c>
      <c r="W69" s="447">
        <v>400</v>
      </c>
      <c r="X69" s="447">
        <v>490</v>
      </c>
      <c r="Y69" s="447" t="s">
        <v>226</v>
      </c>
      <c r="Z69" s="447" t="s">
        <v>227</v>
      </c>
      <c r="AA69" s="447" t="s">
        <v>228</v>
      </c>
      <c r="AB69" s="7" t="s">
        <v>122</v>
      </c>
      <c r="AC69" s="447" t="s">
        <v>229</v>
      </c>
      <c r="AD69" s="447">
        <v>380</v>
      </c>
      <c r="AE69" s="447">
        <v>400</v>
      </c>
      <c r="AF69" s="447">
        <v>490</v>
      </c>
      <c r="AG69" s="447" t="s">
        <v>230</v>
      </c>
      <c r="AH69" s="447" t="s">
        <v>231</v>
      </c>
      <c r="AI69" s="447" t="s">
        <v>232</v>
      </c>
      <c r="AJ69" s="7" t="s">
        <v>122</v>
      </c>
      <c r="AK69" s="447" t="s">
        <v>232</v>
      </c>
      <c r="AL69" s="447">
        <v>380</v>
      </c>
      <c r="AM69" s="447">
        <v>400</v>
      </c>
      <c r="AN69" s="447">
        <v>490</v>
      </c>
      <c r="AO69" s="447" t="s">
        <v>233</v>
      </c>
      <c r="AP69" s="447" t="s">
        <v>234</v>
      </c>
      <c r="AQ69" s="447" t="s">
        <v>235</v>
      </c>
    </row>
    <row r="70" spans="1:43" ht="15" customHeight="1">
      <c r="A70" s="830" t="s">
        <v>1731</v>
      </c>
      <c r="B70" s="831"/>
      <c r="C70" s="189"/>
      <c r="D70" s="271" t="str">
        <f>DBCS(AQ42)</f>
        <v>１００</v>
      </c>
      <c r="E70" s="271" t="str">
        <f>VLOOKUP($D$40,$T$55:$AT$62,24,FALSE)</f>
        <v>１，０１４</v>
      </c>
      <c r="F70" s="973" t="str">
        <f>Q58</f>
        <v>介護職員の総数のうち、介護福祉士の占める割合が１００分の７０以上であるか、勤続１０年以上の介護福祉士が１００分の２５以上である場合に加算の対象となります。</v>
      </c>
      <c r="G70" s="973"/>
      <c r="H70" s="973"/>
      <c r="I70" s="973"/>
      <c r="J70" s="973"/>
      <c r="K70" s="973"/>
      <c r="L70" s="973"/>
      <c r="M70" s="250"/>
      <c r="N70" s="709" t="s">
        <v>237</v>
      </c>
      <c r="O70" s="846" t="str">
        <f>D76</f>
        <v>8.0%（1ヶ月の利用合計単位数に乗じる）</v>
      </c>
      <c r="P70" s="847"/>
      <c r="Q70" s="847"/>
      <c r="R70" s="847"/>
      <c r="S70" s="848"/>
      <c r="T70" s="7" t="s">
        <v>124</v>
      </c>
      <c r="U70" s="447" t="s">
        <v>238</v>
      </c>
      <c r="V70" s="447">
        <v>380</v>
      </c>
      <c r="W70" s="447">
        <v>400</v>
      </c>
      <c r="X70" s="447">
        <v>480</v>
      </c>
      <c r="Y70" s="447" t="s">
        <v>239</v>
      </c>
      <c r="Z70" s="447" t="s">
        <v>240</v>
      </c>
      <c r="AA70" s="447" t="s">
        <v>229</v>
      </c>
      <c r="AB70" s="7" t="s">
        <v>124</v>
      </c>
      <c r="AC70" s="447" t="s">
        <v>225</v>
      </c>
      <c r="AD70" s="447">
        <v>380</v>
      </c>
      <c r="AE70" s="447">
        <v>400</v>
      </c>
      <c r="AF70" s="447">
        <v>480</v>
      </c>
      <c r="AG70" s="447" t="s">
        <v>241</v>
      </c>
      <c r="AH70" s="447" t="s">
        <v>242</v>
      </c>
      <c r="AI70" s="447" t="s">
        <v>228</v>
      </c>
      <c r="AJ70" s="7" t="s">
        <v>124</v>
      </c>
      <c r="AK70" s="447" t="s">
        <v>228</v>
      </c>
      <c r="AL70" s="447">
        <v>380</v>
      </c>
      <c r="AM70" s="447">
        <v>400</v>
      </c>
      <c r="AN70" s="447">
        <v>480</v>
      </c>
      <c r="AO70" s="447" t="s">
        <v>230</v>
      </c>
      <c r="AP70" s="447" t="s">
        <v>231</v>
      </c>
      <c r="AQ70" s="447" t="s">
        <v>232</v>
      </c>
    </row>
    <row r="71" spans="1:43" ht="15" customHeight="1">
      <c r="A71" s="830" t="s">
        <v>1732</v>
      </c>
      <c r="B71" s="831"/>
      <c r="C71" s="189"/>
      <c r="D71" s="271" t="str">
        <f>DBCS(AR42)</f>
        <v>１００</v>
      </c>
      <c r="E71" s="271" t="str">
        <f>VLOOKUP($D$40,$T$55:$AT$62,25,FALSE)</f>
        <v>１，０１４</v>
      </c>
      <c r="F71" s="510"/>
      <c r="G71" s="510"/>
      <c r="H71" s="510"/>
      <c r="I71" s="510"/>
      <c r="J71" s="510"/>
      <c r="K71" s="510"/>
      <c r="L71" s="510"/>
      <c r="M71" s="250"/>
      <c r="N71" s="710" t="s">
        <v>83</v>
      </c>
      <c r="O71" s="6" t="s">
        <v>83</v>
      </c>
      <c r="P71" s="846" t="s">
        <v>251</v>
      </c>
      <c r="Q71" s="847"/>
      <c r="R71" s="847"/>
      <c r="S71" s="848"/>
      <c r="T71" s="7" t="s">
        <v>126</v>
      </c>
      <c r="U71" s="447" t="s">
        <v>252</v>
      </c>
      <c r="V71" s="447" t="s">
        <v>1977</v>
      </c>
      <c r="W71" s="447" t="s">
        <v>1977</v>
      </c>
      <c r="X71" s="447" t="s">
        <v>1978</v>
      </c>
      <c r="Y71" s="447" t="s">
        <v>256</v>
      </c>
      <c r="Z71" s="447" t="s">
        <v>1960</v>
      </c>
      <c r="AA71" s="447" t="s">
        <v>255</v>
      </c>
      <c r="AB71" s="7" t="s">
        <v>126</v>
      </c>
      <c r="AC71" s="447" t="s">
        <v>252</v>
      </c>
      <c r="AD71" s="447" t="s">
        <v>1977</v>
      </c>
      <c r="AE71" s="447" t="s">
        <v>1977</v>
      </c>
      <c r="AF71" s="447" t="s">
        <v>1978</v>
      </c>
      <c r="AG71" s="447" t="s">
        <v>256</v>
      </c>
      <c r="AH71" s="447" t="s">
        <v>1960</v>
      </c>
      <c r="AI71" s="447" t="s">
        <v>255</v>
      </c>
      <c r="AJ71" s="7" t="s">
        <v>126</v>
      </c>
      <c r="AK71" s="447" t="s">
        <v>252</v>
      </c>
      <c r="AL71" s="447" t="s">
        <v>1977</v>
      </c>
      <c r="AM71" s="447" t="s">
        <v>1977</v>
      </c>
      <c r="AN71" s="447" t="s">
        <v>1978</v>
      </c>
      <c r="AO71" s="447" t="s">
        <v>256</v>
      </c>
      <c r="AP71" s="447" t="s">
        <v>1960</v>
      </c>
      <c r="AQ71" s="447" t="s">
        <v>255</v>
      </c>
    </row>
    <row r="72" spans="1:43" ht="15" customHeight="1">
      <c r="A72" s="830" t="s">
        <v>1826</v>
      </c>
      <c r="B72" s="831"/>
      <c r="C72" s="189" t="s">
        <v>76</v>
      </c>
      <c r="D72" s="271" t="str">
        <f>DBCS(AS42)</f>
        <v>５０</v>
      </c>
      <c r="E72" s="271" t="str">
        <f>VLOOKUP($D$40,$T$55:$AT$62,26,FALSE)</f>
        <v>５０７</v>
      </c>
      <c r="F72" s="973" t="str">
        <f>Q59</f>
        <v>介護職員の総数のうち、介護福祉士の占める割合が１００分の５０以上である場合に加算の対象となります。</v>
      </c>
      <c r="G72" s="973"/>
      <c r="H72" s="973"/>
      <c r="I72" s="973"/>
      <c r="J72" s="973"/>
      <c r="K72" s="973"/>
      <c r="L72" s="973"/>
      <c r="M72" s="250"/>
      <c r="T72" s="7" t="s">
        <v>128</v>
      </c>
      <c r="U72" s="447" t="s">
        <v>246</v>
      </c>
      <c r="V72" s="447">
        <v>370</v>
      </c>
      <c r="W72" s="447">
        <v>400</v>
      </c>
      <c r="X72" s="447">
        <v>470</v>
      </c>
      <c r="Y72" s="447" t="s">
        <v>247</v>
      </c>
      <c r="Z72" s="447" t="s">
        <v>248</v>
      </c>
      <c r="AA72" s="447" t="s">
        <v>238</v>
      </c>
      <c r="AB72" s="7" t="s">
        <v>128</v>
      </c>
      <c r="AC72" s="447" t="s">
        <v>243</v>
      </c>
      <c r="AD72" s="447">
        <v>370</v>
      </c>
      <c r="AE72" s="447">
        <v>400</v>
      </c>
      <c r="AF72" s="447">
        <v>470</v>
      </c>
      <c r="AG72" s="447" t="s">
        <v>239</v>
      </c>
      <c r="AH72" s="447" t="s">
        <v>240</v>
      </c>
      <c r="AI72" s="447" t="s">
        <v>225</v>
      </c>
      <c r="AJ72" s="7" t="s">
        <v>128</v>
      </c>
      <c r="AK72" s="447" t="s">
        <v>225</v>
      </c>
      <c r="AL72" s="447">
        <v>370</v>
      </c>
      <c r="AM72" s="447">
        <v>400</v>
      </c>
      <c r="AN72" s="447">
        <v>470</v>
      </c>
      <c r="AO72" s="447" t="s">
        <v>226</v>
      </c>
      <c r="AP72" s="447" t="s">
        <v>227</v>
      </c>
      <c r="AQ72" s="447" t="s">
        <v>229</v>
      </c>
    </row>
    <row r="73" spans="1:43" ht="15" customHeight="1">
      <c r="A73" s="830" t="s">
        <v>1827</v>
      </c>
      <c r="B73" s="831"/>
      <c r="C73" s="189" t="s">
        <v>76</v>
      </c>
      <c r="D73" s="271" t="str">
        <f>DBCS(AT42)</f>
        <v>４０</v>
      </c>
      <c r="E73" s="271" t="str">
        <f>VLOOKUP($D$40,$T$55:$AT$62,27,FALSE)</f>
        <v>４０５</v>
      </c>
      <c r="F73" s="510"/>
      <c r="G73" s="510"/>
      <c r="H73" s="510"/>
      <c r="I73" s="510"/>
      <c r="J73" s="510"/>
      <c r="K73" s="510"/>
      <c r="L73" s="510"/>
      <c r="M73" s="250"/>
      <c r="T73" s="7" t="s">
        <v>130</v>
      </c>
      <c r="U73" s="447" t="s">
        <v>252</v>
      </c>
      <c r="V73" s="447">
        <v>370</v>
      </c>
      <c r="W73" s="447">
        <v>400</v>
      </c>
      <c r="X73" s="447">
        <v>470</v>
      </c>
      <c r="Y73" s="447" t="s">
        <v>253</v>
      </c>
      <c r="Z73" s="447" t="s">
        <v>254</v>
      </c>
      <c r="AA73" s="447" t="s">
        <v>243</v>
      </c>
      <c r="AB73" s="7" t="s">
        <v>130</v>
      </c>
      <c r="AC73" s="447" t="s">
        <v>246</v>
      </c>
      <c r="AD73" s="447">
        <v>370</v>
      </c>
      <c r="AE73" s="447">
        <v>400</v>
      </c>
      <c r="AF73" s="447">
        <v>470</v>
      </c>
      <c r="AG73" s="447" t="s">
        <v>244</v>
      </c>
      <c r="AH73" s="447" t="s">
        <v>245</v>
      </c>
      <c r="AI73" s="447" t="s">
        <v>238</v>
      </c>
      <c r="AJ73" s="7" t="s">
        <v>130</v>
      </c>
      <c r="AK73" s="447" t="s">
        <v>238</v>
      </c>
      <c r="AL73" s="447">
        <v>370</v>
      </c>
      <c r="AM73" s="447">
        <v>400</v>
      </c>
      <c r="AN73" s="447">
        <v>470</v>
      </c>
      <c r="AO73" s="447" t="s">
        <v>239</v>
      </c>
      <c r="AP73" s="447" t="s">
        <v>240</v>
      </c>
      <c r="AQ73" s="447" t="s">
        <v>225</v>
      </c>
    </row>
    <row r="74" spans="1:43" ht="15" customHeight="1">
      <c r="A74" s="828" t="s">
        <v>1962</v>
      </c>
      <c r="B74" s="829"/>
      <c r="C74" s="189"/>
      <c r="D74" s="825" t="s">
        <v>1965</v>
      </c>
      <c r="E74" s="826"/>
      <c r="F74" s="832" t="str">
        <f>DBCS("（１ヶ月の利用合計単位数＋１ヶ月の利用合計単位数×９．２%"&amp;【マスター】!F78&amp;""&amp;【マスター】!F80&amp;"）×　地域単価")</f>
        <v>（１ヶ月の利用合計単位数＋１ヶ月の利用合計単位数×９．２％）×　地域単価</v>
      </c>
      <c r="G74" s="833"/>
      <c r="H74" s="833"/>
      <c r="I74" s="833"/>
      <c r="J74" s="833"/>
      <c r="K74" s="833"/>
      <c r="L74" s="833"/>
      <c r="M74" s="834"/>
      <c r="T74" s="7" t="s">
        <v>131</v>
      </c>
      <c r="U74" s="447">
        <v>950</v>
      </c>
      <c r="V74" s="447">
        <v>360</v>
      </c>
      <c r="W74" s="447">
        <v>400</v>
      </c>
      <c r="X74" s="447">
        <v>460</v>
      </c>
      <c r="Y74" s="447" t="s">
        <v>255</v>
      </c>
      <c r="Z74" s="447" t="s">
        <v>256</v>
      </c>
      <c r="AA74" s="447" t="s">
        <v>246</v>
      </c>
      <c r="AB74" s="7" t="s">
        <v>131</v>
      </c>
      <c r="AC74" s="447" t="s">
        <v>252</v>
      </c>
      <c r="AD74" s="447">
        <v>360</v>
      </c>
      <c r="AE74" s="447">
        <v>400</v>
      </c>
      <c r="AF74" s="447">
        <v>460</v>
      </c>
      <c r="AG74" s="447" t="s">
        <v>247</v>
      </c>
      <c r="AH74" s="447" t="s">
        <v>248</v>
      </c>
      <c r="AI74" s="447" t="s">
        <v>243</v>
      </c>
      <c r="AJ74" s="7" t="s">
        <v>131</v>
      </c>
      <c r="AK74" s="447" t="s">
        <v>243</v>
      </c>
      <c r="AL74" s="447">
        <v>360</v>
      </c>
      <c r="AM74" s="447">
        <v>400</v>
      </c>
      <c r="AN74" s="447">
        <v>460</v>
      </c>
      <c r="AO74" s="447" t="s">
        <v>244</v>
      </c>
      <c r="AP74" s="447" t="s">
        <v>245</v>
      </c>
      <c r="AQ74" s="447" t="s">
        <v>238</v>
      </c>
    </row>
    <row r="75" spans="1:43" ht="15" customHeight="1">
      <c r="A75" s="828" t="s">
        <v>1963</v>
      </c>
      <c r="B75" s="829"/>
      <c r="C75" s="189" t="s">
        <v>76</v>
      </c>
      <c r="D75" s="825" t="s">
        <v>1966</v>
      </c>
      <c r="E75" s="826"/>
      <c r="F75" s="832" t="str">
        <f>DBCS("（１ヶ月の利用合計単位数＋１ヶ月の利用合計単位数×９．０%"&amp;【マスター】!F78&amp;""&amp;【マスター】!F80&amp;"）×　地域単価")</f>
        <v>（１ヶ月の利用合計単位数＋１ヶ月の利用合計単位数×９．０％）×　地域単価</v>
      </c>
      <c r="G75" s="833"/>
      <c r="H75" s="833"/>
      <c r="I75" s="833"/>
      <c r="J75" s="833"/>
      <c r="K75" s="833"/>
      <c r="L75" s="833"/>
      <c r="M75" s="834"/>
      <c r="T75" s="7" t="s">
        <v>134</v>
      </c>
      <c r="U75" s="447" t="s">
        <v>225</v>
      </c>
      <c r="V75" s="447" t="s">
        <v>1944</v>
      </c>
      <c r="W75" s="447" t="s">
        <v>1945</v>
      </c>
      <c r="X75" s="447" t="s">
        <v>1946</v>
      </c>
      <c r="Y75" s="447" t="s">
        <v>1947</v>
      </c>
      <c r="Z75" s="447" t="s">
        <v>1947</v>
      </c>
      <c r="AA75" s="447" t="s">
        <v>1948</v>
      </c>
      <c r="AB75" s="7" t="s">
        <v>134</v>
      </c>
      <c r="AC75" s="447" t="s">
        <v>225</v>
      </c>
      <c r="AD75" s="447" t="s">
        <v>1944</v>
      </c>
      <c r="AE75" s="447" t="s">
        <v>1945</v>
      </c>
      <c r="AF75" s="447" t="s">
        <v>1946</v>
      </c>
      <c r="AG75" s="447" t="s">
        <v>1947</v>
      </c>
      <c r="AH75" s="447" t="s">
        <v>1947</v>
      </c>
      <c r="AI75" s="447" t="s">
        <v>1948</v>
      </c>
      <c r="AJ75" s="7" t="s">
        <v>134</v>
      </c>
      <c r="AK75" s="447" t="s">
        <v>225</v>
      </c>
      <c r="AL75" s="447" t="s">
        <v>1944</v>
      </c>
      <c r="AM75" s="447" t="s">
        <v>1945</v>
      </c>
      <c r="AN75" s="447" t="s">
        <v>1946</v>
      </c>
      <c r="AO75" s="447" t="s">
        <v>1947</v>
      </c>
      <c r="AP75" s="447" t="s">
        <v>1947</v>
      </c>
      <c r="AQ75" s="447" t="s">
        <v>1948</v>
      </c>
    </row>
    <row r="76" spans="1:43" ht="15" customHeight="1">
      <c r="A76" s="828" t="s">
        <v>1964</v>
      </c>
      <c r="B76" s="829"/>
      <c r="C76" s="189"/>
      <c r="D76" s="825" t="s">
        <v>1967</v>
      </c>
      <c r="E76" s="826"/>
      <c r="F76" s="832" t="str">
        <f>DBCS("（１ヶ月の利用合計単位数＋１ヶ月の利用合計単位数×８．０%"&amp;【マスター】!F79&amp;""&amp;【マスター】!F81&amp;"）×　地域単価")</f>
        <v>（１ヶ月の利用合計単位数＋１ヶ月の利用合計単位数×８．０％）×　地域単価</v>
      </c>
      <c r="G76" s="833"/>
      <c r="H76" s="833"/>
      <c r="I76" s="833"/>
      <c r="J76" s="833"/>
      <c r="K76" s="833"/>
      <c r="L76" s="833"/>
      <c r="M76" s="834"/>
      <c r="T76" s="7" t="s">
        <v>137</v>
      </c>
      <c r="U76" s="447">
        <v>800</v>
      </c>
      <c r="V76" s="447">
        <v>350</v>
      </c>
      <c r="W76" s="447">
        <v>400</v>
      </c>
      <c r="X76" s="447">
        <v>450</v>
      </c>
      <c r="Y76" s="447" t="s">
        <v>257</v>
      </c>
      <c r="Z76" s="447" t="s">
        <v>233</v>
      </c>
      <c r="AA76" s="447">
        <v>950</v>
      </c>
      <c r="AB76" s="7" t="s">
        <v>137</v>
      </c>
      <c r="AC76" s="447">
        <v>900</v>
      </c>
      <c r="AD76" s="447">
        <v>350</v>
      </c>
      <c r="AE76" s="447">
        <v>400</v>
      </c>
      <c r="AF76" s="447">
        <v>450</v>
      </c>
      <c r="AG76" s="447" t="s">
        <v>255</v>
      </c>
      <c r="AH76" s="447" t="s">
        <v>256</v>
      </c>
      <c r="AI76" s="447" t="s">
        <v>252</v>
      </c>
      <c r="AJ76" s="7" t="s">
        <v>137</v>
      </c>
      <c r="AK76" s="447" t="s">
        <v>252</v>
      </c>
      <c r="AL76" s="447">
        <v>350</v>
      </c>
      <c r="AM76" s="447">
        <v>400</v>
      </c>
      <c r="AN76" s="447">
        <v>450</v>
      </c>
      <c r="AO76" s="447" t="s">
        <v>253</v>
      </c>
      <c r="AP76" s="447" t="s">
        <v>254</v>
      </c>
      <c r="AQ76" s="447" t="s">
        <v>246</v>
      </c>
    </row>
    <row r="77" spans="1:43" ht="15" customHeight="1">
      <c r="A77" s="828" t="s">
        <v>249</v>
      </c>
      <c r="B77" s="829"/>
      <c r="C77" s="189"/>
      <c r="D77" s="827" t="s">
        <v>250</v>
      </c>
      <c r="E77" s="827"/>
      <c r="F77" s="250"/>
      <c r="G77" s="250"/>
      <c r="H77" s="250"/>
      <c r="I77" s="250"/>
      <c r="J77" s="250"/>
      <c r="K77" s="250"/>
      <c r="L77" s="250"/>
      <c r="M77" s="250"/>
      <c r="T77" s="5"/>
    </row>
    <row r="78" spans="1:43" ht="15" customHeight="1">
      <c r="A78" s="830"/>
      <c r="B78" s="831"/>
      <c r="C78" s="189"/>
      <c r="D78" s="827"/>
      <c r="E78" s="827"/>
      <c r="F78" s="250"/>
      <c r="G78" s="250"/>
      <c r="H78" s="250"/>
      <c r="I78" s="250"/>
      <c r="J78" s="250"/>
      <c r="K78" s="250"/>
      <c r="L78" s="250"/>
      <c r="M78" s="250"/>
      <c r="N78" s="492"/>
      <c r="T78" s="448"/>
      <c r="U78" s="448" t="s">
        <v>261</v>
      </c>
      <c r="V78" s="448" t="s">
        <v>262</v>
      </c>
      <c r="W78" s="448" t="s">
        <v>263</v>
      </c>
      <c r="X78" s="448" t="s">
        <v>264</v>
      </c>
      <c r="Y78" s="448" t="s">
        <v>265</v>
      </c>
      <c r="Z78" s="448" t="s">
        <v>266</v>
      </c>
      <c r="AA78" s="448" t="s">
        <v>267</v>
      </c>
      <c r="AB78" s="448" t="s">
        <v>268</v>
      </c>
      <c r="AC78" s="448" t="s">
        <v>269</v>
      </c>
      <c r="AD78" s="6" t="s">
        <v>270</v>
      </c>
    </row>
    <row r="79" spans="1:43" ht="15" customHeight="1">
      <c r="A79" s="830"/>
      <c r="B79" s="831"/>
      <c r="C79" s="189"/>
      <c r="D79" s="827"/>
      <c r="E79" s="827"/>
      <c r="F79" s="250"/>
      <c r="G79" s="250"/>
      <c r="H79" s="250"/>
      <c r="I79" s="250"/>
      <c r="J79" s="250"/>
      <c r="K79" s="250"/>
      <c r="L79" s="250"/>
      <c r="M79" s="250"/>
      <c r="N79" s="492"/>
      <c r="T79" s="448" t="s">
        <v>275</v>
      </c>
      <c r="U79" s="448" t="str">
        <f>J40</f>
        <v>３，５００</v>
      </c>
      <c r="V79" s="448" t="str">
        <f>J41</f>
        <v>３，５００</v>
      </c>
      <c r="W79" s="448" t="str">
        <f>J42</f>
        <v>１，２００</v>
      </c>
      <c r="X79" s="449" t="str">
        <f>J43</f>
        <v>２００</v>
      </c>
      <c r="Y79" s="448" t="str">
        <f>J44</f>
        <v>５００</v>
      </c>
      <c r="Z79" s="448" t="str">
        <f>J45</f>
        <v>５７０</v>
      </c>
      <c r="AA79" s="448" t="str">
        <f>J46</f>
        <v>６３０</v>
      </c>
      <c r="AB79" s="450" t="str">
        <f>J47</f>
        <v>１００</v>
      </c>
      <c r="AC79" s="448" t="str">
        <f>J49</f>
        <v>２００</v>
      </c>
      <c r="AD79" s="451" t="str">
        <f>J48</f>
        <v>５０</v>
      </c>
    </row>
    <row r="80" spans="1:43" ht="15" customHeight="1">
      <c r="A80" s="835"/>
      <c r="B80" s="836"/>
      <c r="C80" s="745"/>
      <c r="D80" s="837"/>
      <c r="E80" s="837"/>
      <c r="F80" s="250"/>
      <c r="G80" s="250"/>
      <c r="H80" s="250"/>
      <c r="I80" s="250"/>
      <c r="J80" s="250"/>
      <c r="K80" s="250"/>
      <c r="L80" s="250"/>
      <c r="M80" s="250"/>
      <c r="N80" s="492"/>
      <c r="T80" s="448" t="s">
        <v>277</v>
      </c>
      <c r="U80" s="448" t="str">
        <f>K40</f>
        <v>３，５００</v>
      </c>
      <c r="V80" s="448" t="str">
        <f>K41</f>
        <v>３，５００</v>
      </c>
      <c r="W80" s="448" t="str">
        <f>K42</f>
        <v>１，２００</v>
      </c>
      <c r="X80" s="452" t="str">
        <f>K43</f>
        <v>２００</v>
      </c>
      <c r="Y80" s="448" t="str">
        <f>K44</f>
        <v>５００</v>
      </c>
      <c r="Z80" s="448" t="str">
        <f>K45</f>
        <v>５７０</v>
      </c>
      <c r="AA80" s="448" t="str">
        <f>K46</f>
        <v>６３０</v>
      </c>
      <c r="AB80" s="450" t="str">
        <f>K47</f>
        <v>１００</v>
      </c>
      <c r="AC80" s="448" t="str">
        <f>K49</f>
        <v>２００</v>
      </c>
      <c r="AD80" s="451" t="str">
        <f>K48</f>
        <v>５０</v>
      </c>
    </row>
    <row r="81" spans="1:30" ht="15" customHeight="1" thickBot="1">
      <c r="A81" s="511"/>
      <c r="B81" s="511"/>
      <c r="C81" s="250"/>
      <c r="D81" s="250"/>
      <c r="E81" s="250"/>
      <c r="F81" s="250"/>
      <c r="G81" s="250"/>
      <c r="H81" s="250"/>
      <c r="I81" s="250"/>
      <c r="J81" s="250"/>
      <c r="K81" s="250"/>
      <c r="L81" s="250"/>
      <c r="M81" s="250"/>
      <c r="T81" s="448" t="s">
        <v>280</v>
      </c>
      <c r="U81" s="448" t="str">
        <f>L40</f>
        <v>３，５００</v>
      </c>
      <c r="V81" s="448" t="str">
        <f>L41</f>
        <v>３，５００</v>
      </c>
      <c r="W81" s="448" t="str">
        <f>L42</f>
        <v>１，２００</v>
      </c>
      <c r="X81" s="452" t="str">
        <f>L43</f>
        <v>２００</v>
      </c>
      <c r="Y81" s="448" t="str">
        <f>L44</f>
        <v>５００</v>
      </c>
      <c r="Z81" s="448" t="str">
        <f>L45</f>
        <v>５７０</v>
      </c>
      <c r="AA81" s="448" t="str">
        <f>L46</f>
        <v>６３０</v>
      </c>
      <c r="AB81" s="450" t="str">
        <f>L47</f>
        <v>１００</v>
      </c>
      <c r="AC81" s="448" t="str">
        <f>L49</f>
        <v>２００</v>
      </c>
      <c r="AD81" s="451" t="str">
        <f>L48</f>
        <v>５０</v>
      </c>
    </row>
    <row r="82" spans="1:30" ht="15" customHeight="1" thickBot="1">
      <c r="A82" s="966" t="s">
        <v>258</v>
      </c>
      <c r="B82" s="830"/>
      <c r="C82" s="977" t="s">
        <v>259</v>
      </c>
      <c r="D82" s="978"/>
      <c r="E82" s="250" t="s">
        <v>260</v>
      </c>
      <c r="F82" s="250"/>
      <c r="G82" s="250"/>
      <c r="H82" s="250"/>
      <c r="I82" s="250"/>
      <c r="J82" s="250"/>
      <c r="K82" s="250"/>
      <c r="L82" s="250"/>
      <c r="M82" s="250"/>
    </row>
    <row r="83" spans="1:30" ht="15" customHeight="1" thickBot="1">
      <c r="A83" s="511"/>
      <c r="B83" s="511"/>
      <c r="C83" s="260"/>
      <c r="D83" s="260"/>
      <c r="E83" s="250"/>
      <c r="F83" s="250"/>
      <c r="G83" s="250"/>
      <c r="H83" s="250"/>
      <c r="I83" s="250"/>
      <c r="J83" s="250"/>
      <c r="K83" s="250"/>
      <c r="L83" s="250"/>
      <c r="M83" s="250"/>
      <c r="N83" s="705" t="s">
        <v>274</v>
      </c>
    </row>
    <row r="84" spans="1:30" ht="15" customHeight="1" thickBot="1">
      <c r="A84" s="966" t="s">
        <v>271</v>
      </c>
      <c r="B84" s="830"/>
      <c r="C84" s="979" t="s">
        <v>272</v>
      </c>
      <c r="D84" s="980"/>
      <c r="E84" s="980"/>
      <c r="F84" s="980"/>
      <c r="G84" s="980"/>
      <c r="H84" s="980"/>
      <c r="I84" s="981"/>
      <c r="J84" s="250" t="s">
        <v>273</v>
      </c>
      <c r="K84" s="250"/>
      <c r="L84" s="250"/>
      <c r="M84" s="250"/>
      <c r="N84" s="706" t="s">
        <v>276</v>
      </c>
    </row>
    <row r="85" spans="1:30" ht="15" customHeight="1" thickBot="1">
      <c r="A85" s="511"/>
      <c r="B85" s="511"/>
      <c r="C85" s="250"/>
      <c r="D85" s="250"/>
      <c r="E85" s="250"/>
      <c r="F85" s="250"/>
      <c r="G85" s="250"/>
      <c r="H85" s="250"/>
      <c r="I85" s="250"/>
      <c r="J85" s="250"/>
      <c r="K85" s="250"/>
      <c r="L85" s="250"/>
      <c r="M85" s="250"/>
      <c r="N85" s="706" t="s">
        <v>279</v>
      </c>
    </row>
    <row r="86" spans="1:30" ht="15" customHeight="1" thickBot="1">
      <c r="A86" s="966" t="s">
        <v>2002</v>
      </c>
      <c r="B86" s="966"/>
      <c r="C86" s="15" t="s">
        <v>278</v>
      </c>
      <c r="D86" s="816" t="s">
        <v>2003</v>
      </c>
      <c r="E86" s="817"/>
      <c r="F86" s="817"/>
      <c r="G86" s="818"/>
      <c r="H86" s="818"/>
      <c r="I86" s="819"/>
      <c r="J86" s="250"/>
      <c r="K86" s="250"/>
      <c r="L86" s="250"/>
      <c r="M86" s="250"/>
      <c r="N86" s="706" t="s">
        <v>283</v>
      </c>
    </row>
    <row r="87" spans="1:30" ht="15" customHeight="1" thickBot="1">
      <c r="A87" s="966"/>
      <c r="B87" s="966"/>
      <c r="C87" s="15" t="s">
        <v>281</v>
      </c>
      <c r="D87" s="820" t="s">
        <v>2004</v>
      </c>
      <c r="E87" s="821"/>
      <c r="F87" s="822"/>
      <c r="G87" s="974" t="s">
        <v>1956</v>
      </c>
      <c r="H87" s="975"/>
      <c r="I87" s="976"/>
      <c r="J87" s="806" t="s">
        <v>2005</v>
      </c>
      <c r="K87" s="265" t="s">
        <v>93</v>
      </c>
      <c r="L87" s="279" t="s">
        <v>1924</v>
      </c>
      <c r="M87" s="250"/>
      <c r="N87" s="706" t="s">
        <v>284</v>
      </c>
    </row>
    <row r="88" spans="1:30" ht="15" customHeight="1" thickBot="1">
      <c r="A88" s="815"/>
      <c r="B88" s="815"/>
      <c r="C88" s="15" t="s">
        <v>278</v>
      </c>
      <c r="D88" s="816"/>
      <c r="E88" s="817"/>
      <c r="F88" s="817"/>
      <c r="G88" s="818"/>
      <c r="H88" s="818"/>
      <c r="I88" s="819"/>
      <c r="J88" s="250"/>
      <c r="K88" s="250"/>
      <c r="L88" s="250"/>
      <c r="M88" s="250"/>
      <c r="N88" s="706" t="s">
        <v>285</v>
      </c>
    </row>
    <row r="89" spans="1:30" ht="15" customHeight="1" thickBot="1">
      <c r="A89" s="815"/>
      <c r="B89" s="815"/>
      <c r="C89" s="15" t="s">
        <v>281</v>
      </c>
      <c r="D89" s="820"/>
      <c r="E89" s="821"/>
      <c r="F89" s="822"/>
      <c r="G89" s="823" t="s">
        <v>282</v>
      </c>
      <c r="H89" s="824"/>
      <c r="I89" s="824"/>
      <c r="J89" s="278"/>
      <c r="K89" s="265" t="s">
        <v>93</v>
      </c>
      <c r="L89" s="279"/>
      <c r="M89" s="250"/>
      <c r="N89" s="706" t="s">
        <v>287</v>
      </c>
    </row>
    <row r="90" spans="1:30" ht="15" customHeight="1" thickBot="1">
      <c r="A90" s="966" t="s">
        <v>286</v>
      </c>
      <c r="B90" s="966"/>
      <c r="C90" s="10" t="s">
        <v>278</v>
      </c>
      <c r="D90" s="816" t="s">
        <v>1925</v>
      </c>
      <c r="E90" s="817"/>
      <c r="F90" s="817"/>
      <c r="G90" s="818"/>
      <c r="H90" s="818"/>
      <c r="I90" s="819"/>
      <c r="J90" s="250"/>
      <c r="K90" s="250"/>
      <c r="L90" s="250"/>
      <c r="M90" s="250"/>
      <c r="N90" s="706"/>
    </row>
    <row r="91" spans="1:30" ht="15" customHeight="1" thickBot="1">
      <c r="A91" s="966"/>
      <c r="B91" s="966"/>
      <c r="C91" s="10" t="s">
        <v>281</v>
      </c>
      <c r="D91" s="820" t="s">
        <v>1926</v>
      </c>
      <c r="E91" s="821"/>
      <c r="F91" s="822"/>
      <c r="G91" s="823" t="s">
        <v>282</v>
      </c>
      <c r="H91" s="824"/>
      <c r="I91" s="824"/>
      <c r="J91" s="278" t="s">
        <v>1716</v>
      </c>
      <c r="K91" s="265" t="s">
        <v>93</v>
      </c>
      <c r="L91" s="279" t="s">
        <v>1717</v>
      </c>
      <c r="M91" s="250"/>
      <c r="N91" s="706"/>
    </row>
    <row r="92" spans="1:30" ht="15" customHeight="1">
      <c r="A92" s="511"/>
      <c r="B92" s="511"/>
      <c r="C92" s="250"/>
      <c r="D92" s="250"/>
      <c r="E92" s="250"/>
      <c r="F92" s="250"/>
      <c r="G92" s="250"/>
      <c r="H92" s="250"/>
      <c r="I92" s="250"/>
      <c r="J92" s="250"/>
      <c r="K92" s="250"/>
      <c r="L92" s="250"/>
      <c r="M92" s="250"/>
      <c r="N92" s="706"/>
    </row>
    <row r="93" spans="1:30" ht="15" customHeight="1" thickBot="1">
      <c r="A93" s="507" t="s">
        <v>288</v>
      </c>
      <c r="B93" s="237" t="s">
        <v>289</v>
      </c>
      <c r="C93" s="843" t="s">
        <v>288</v>
      </c>
      <c r="D93" s="843"/>
      <c r="E93" s="237" t="s">
        <v>289</v>
      </c>
      <c r="F93" s="250"/>
      <c r="G93" s="250"/>
      <c r="H93" s="250"/>
      <c r="I93" s="250"/>
      <c r="J93" s="250"/>
      <c r="K93" s="250"/>
      <c r="L93" s="250"/>
      <c r="M93" s="250"/>
      <c r="N93" s="706"/>
    </row>
    <row r="94" spans="1:30" ht="15" customHeight="1">
      <c r="A94" s="507" t="s">
        <v>290</v>
      </c>
      <c r="B94" s="272">
        <v>1</v>
      </c>
      <c r="C94" s="844" t="s">
        <v>291</v>
      </c>
      <c r="D94" s="845"/>
      <c r="E94" s="272">
        <v>0</v>
      </c>
      <c r="F94" s="250"/>
      <c r="G94" s="250"/>
      <c r="H94" s="250"/>
      <c r="I94" s="250"/>
      <c r="J94" s="250"/>
      <c r="K94" s="250"/>
      <c r="L94" s="250"/>
      <c r="M94" s="250"/>
    </row>
    <row r="95" spans="1:30" ht="15" customHeight="1">
      <c r="A95" s="507" t="s">
        <v>292</v>
      </c>
      <c r="B95" s="273">
        <v>0</v>
      </c>
      <c r="C95" s="844" t="s">
        <v>293</v>
      </c>
      <c r="D95" s="845"/>
      <c r="E95" s="273">
        <v>1</v>
      </c>
      <c r="F95" s="250"/>
      <c r="G95" s="250"/>
      <c r="H95" s="250"/>
      <c r="I95" s="250"/>
      <c r="J95" s="250"/>
      <c r="K95" s="250"/>
      <c r="L95" s="250"/>
      <c r="M95" s="250"/>
    </row>
    <row r="96" spans="1:30" ht="15" customHeight="1" thickBot="1">
      <c r="A96" s="507" t="s">
        <v>294</v>
      </c>
      <c r="B96" s="273">
        <v>1</v>
      </c>
      <c r="C96" s="844" t="s">
        <v>295</v>
      </c>
      <c r="D96" s="845"/>
      <c r="E96" s="274">
        <v>1</v>
      </c>
      <c r="F96" s="250"/>
      <c r="G96" s="250"/>
      <c r="H96" s="250"/>
      <c r="I96" s="250"/>
      <c r="J96" s="250"/>
      <c r="K96" s="250"/>
      <c r="L96" s="250"/>
      <c r="M96" s="250"/>
    </row>
    <row r="97" spans="1:13" ht="15" customHeight="1" thickBot="1">
      <c r="A97" s="507" t="s">
        <v>296</v>
      </c>
      <c r="B97" s="274">
        <v>1</v>
      </c>
      <c r="C97" s="250"/>
      <c r="D97" s="250"/>
      <c r="E97" s="250"/>
      <c r="F97" s="250"/>
      <c r="G97" s="250"/>
      <c r="H97" s="250"/>
      <c r="I97" s="250"/>
      <c r="J97" s="250"/>
      <c r="K97" s="250"/>
      <c r="L97" s="250"/>
      <c r="M97" s="250"/>
    </row>
    <row r="98" spans="1:13" ht="15" customHeight="1" thickBot="1">
      <c r="A98" s="511"/>
      <c r="B98" s="511"/>
      <c r="C98" s="250"/>
      <c r="D98" s="250"/>
      <c r="E98" s="250"/>
      <c r="F98" s="250"/>
      <c r="G98" s="250"/>
      <c r="H98" s="250"/>
      <c r="I98" s="250"/>
      <c r="J98" s="250"/>
      <c r="K98" s="250"/>
      <c r="L98" s="250"/>
      <c r="M98" s="250"/>
    </row>
    <row r="99" spans="1:13" ht="15" customHeight="1">
      <c r="A99" s="966" t="s">
        <v>297</v>
      </c>
      <c r="B99" s="830"/>
      <c r="C99" s="990" t="s">
        <v>1957</v>
      </c>
      <c r="D99" s="984"/>
      <c r="E99" s="984"/>
      <c r="F99" s="984"/>
      <c r="G99" s="984"/>
      <c r="H99" s="985"/>
      <c r="I99" s="250"/>
      <c r="J99" s="250"/>
      <c r="K99" s="250"/>
      <c r="L99" s="250"/>
      <c r="M99" s="250"/>
    </row>
    <row r="100" spans="1:13" ht="15" customHeight="1" thickBot="1">
      <c r="A100" s="966" t="s">
        <v>298</v>
      </c>
      <c r="B100" s="830"/>
      <c r="C100" s="991" t="s">
        <v>1958</v>
      </c>
      <c r="D100" s="992"/>
      <c r="E100" s="992"/>
      <c r="F100" s="992"/>
      <c r="G100" s="992"/>
      <c r="H100" s="993"/>
      <c r="I100" s="250"/>
      <c r="J100" s="250"/>
      <c r="K100" s="250"/>
      <c r="L100" s="250"/>
      <c r="M100" s="250"/>
    </row>
    <row r="101" spans="1:13" ht="15" customHeight="1">
      <c r="A101" s="511"/>
      <c r="B101" s="511"/>
      <c r="C101" s="250"/>
      <c r="D101" s="250"/>
      <c r="E101" s="250"/>
      <c r="F101" s="250"/>
      <c r="G101" s="250"/>
      <c r="H101" s="250"/>
      <c r="I101" s="250"/>
      <c r="J101" s="250"/>
      <c r="K101" s="250"/>
      <c r="L101" s="250"/>
      <c r="M101" s="250"/>
    </row>
    <row r="102" spans="1:13" ht="15" customHeight="1" thickBot="1">
      <c r="A102" s="511"/>
      <c r="B102" s="511"/>
      <c r="C102" s="250"/>
      <c r="D102" s="250"/>
      <c r="E102" s="250"/>
      <c r="F102" s="250"/>
      <c r="G102" s="250"/>
      <c r="H102" s="250"/>
      <c r="I102" s="250"/>
      <c r="J102" s="250"/>
      <c r="K102" s="250"/>
      <c r="L102" s="250"/>
      <c r="M102" s="250"/>
    </row>
    <row r="103" spans="1:13" ht="15" customHeight="1" thickBot="1">
      <c r="A103" s="304" t="s">
        <v>299</v>
      </c>
      <c r="B103" s="988" t="s">
        <v>300</v>
      </c>
      <c r="C103" s="989"/>
      <c r="D103" s="93" t="s">
        <v>79</v>
      </c>
      <c r="E103" s="275">
        <f>IF(D12="","",D12)</f>
        <v>1</v>
      </c>
      <c r="F103" s="18" t="s">
        <v>67</v>
      </c>
      <c r="G103" s="275">
        <f>IF(F12="","",F12)</f>
        <v>6</v>
      </c>
      <c r="H103" s="18" t="s">
        <v>68</v>
      </c>
      <c r="I103" s="275">
        <f>IF(H12="","",H12)</f>
        <v>1</v>
      </c>
      <c r="J103" s="19" t="s">
        <v>91</v>
      </c>
      <c r="K103" s="250"/>
      <c r="L103" s="250"/>
      <c r="M103" s="250"/>
    </row>
    <row r="104" spans="1:13" ht="15" customHeight="1" thickBot="1">
      <c r="A104" s="511"/>
      <c r="B104" s="261" t="s">
        <v>301</v>
      </c>
      <c r="C104" s="262"/>
      <c r="D104" s="739"/>
      <c r="E104" s="263"/>
      <c r="F104" s="259"/>
      <c r="G104" s="263"/>
      <c r="H104" s="259"/>
      <c r="I104" s="263"/>
      <c r="J104" s="250"/>
      <c r="K104" s="250"/>
      <c r="L104" s="250"/>
      <c r="M104" s="250"/>
    </row>
    <row r="105" spans="1:13" ht="15" customHeight="1" thickBot="1">
      <c r="A105" s="511"/>
      <c r="B105" s="841" t="s">
        <v>302</v>
      </c>
      <c r="C105" s="842"/>
      <c r="D105" s="807" t="s">
        <v>79</v>
      </c>
      <c r="E105" s="808">
        <v>1</v>
      </c>
      <c r="F105" s="18" t="s">
        <v>67</v>
      </c>
      <c r="G105" s="808">
        <v>8</v>
      </c>
      <c r="H105" s="790" t="s">
        <v>1959</v>
      </c>
      <c r="I105" s="808">
        <v>1</v>
      </c>
      <c r="J105" s="19" t="s">
        <v>91</v>
      </c>
      <c r="K105" s="250"/>
      <c r="L105" s="250"/>
      <c r="M105" s="250"/>
    </row>
    <row r="106" spans="1:13" ht="15" customHeight="1">
      <c r="A106" s="511"/>
      <c r="B106" s="841" t="s">
        <v>302</v>
      </c>
      <c r="C106" s="842"/>
      <c r="D106" s="508" t="s">
        <v>79</v>
      </c>
      <c r="E106" s="277">
        <v>2</v>
      </c>
      <c r="F106" s="14" t="s">
        <v>67</v>
      </c>
      <c r="G106" s="277">
        <v>1</v>
      </c>
      <c r="H106" s="14" t="s">
        <v>68</v>
      </c>
      <c r="I106" s="277">
        <v>1</v>
      </c>
      <c r="J106" s="10" t="s">
        <v>91</v>
      </c>
      <c r="K106" s="250"/>
      <c r="L106" s="250"/>
      <c r="M106" s="250"/>
    </row>
    <row r="107" spans="1:13" ht="15" customHeight="1">
      <c r="A107" s="511"/>
      <c r="B107" s="841" t="s">
        <v>302</v>
      </c>
      <c r="C107" s="842"/>
      <c r="D107" s="508" t="s">
        <v>79</v>
      </c>
      <c r="E107" s="277">
        <v>2</v>
      </c>
      <c r="F107" s="14" t="s">
        <v>67</v>
      </c>
      <c r="G107" s="277">
        <v>3</v>
      </c>
      <c r="H107" s="14" t="s">
        <v>68</v>
      </c>
      <c r="I107" s="277">
        <v>1</v>
      </c>
      <c r="J107" s="10" t="s">
        <v>91</v>
      </c>
      <c r="K107" s="250"/>
      <c r="L107" s="250"/>
      <c r="M107" s="250"/>
    </row>
    <row r="108" spans="1:13" ht="15" customHeight="1">
      <c r="A108" s="511"/>
      <c r="B108" s="841" t="s">
        <v>302</v>
      </c>
      <c r="C108" s="842"/>
      <c r="D108" s="508" t="s">
        <v>79</v>
      </c>
      <c r="E108" s="277">
        <v>2</v>
      </c>
      <c r="F108" s="14" t="s">
        <v>67</v>
      </c>
      <c r="G108" s="277">
        <v>8</v>
      </c>
      <c r="H108" s="14" t="s">
        <v>68</v>
      </c>
      <c r="I108" s="277">
        <v>1</v>
      </c>
      <c r="J108" s="10" t="s">
        <v>91</v>
      </c>
      <c r="K108" s="250"/>
      <c r="L108" s="250"/>
      <c r="M108" s="250"/>
    </row>
    <row r="109" spans="1:13" ht="15" customHeight="1">
      <c r="A109" s="511"/>
      <c r="B109" s="841" t="s">
        <v>302</v>
      </c>
      <c r="C109" s="842"/>
      <c r="D109" s="508" t="s">
        <v>79</v>
      </c>
      <c r="E109" s="277">
        <v>2</v>
      </c>
      <c r="F109" s="14" t="s">
        <v>67</v>
      </c>
      <c r="G109" s="277">
        <v>10</v>
      </c>
      <c r="H109" s="14" t="s">
        <v>68</v>
      </c>
      <c r="I109" s="277">
        <v>1</v>
      </c>
      <c r="J109" s="10" t="s">
        <v>91</v>
      </c>
      <c r="K109" s="250"/>
      <c r="L109" s="250"/>
      <c r="M109" s="250"/>
    </row>
    <row r="110" spans="1:13" ht="15" customHeight="1">
      <c r="A110" s="511"/>
      <c r="B110" s="841" t="s">
        <v>302</v>
      </c>
      <c r="C110" s="842"/>
      <c r="D110" s="508" t="s">
        <v>79</v>
      </c>
      <c r="E110" s="277">
        <v>4</v>
      </c>
      <c r="F110" s="14" t="s">
        <v>67</v>
      </c>
      <c r="G110" s="277">
        <v>8</v>
      </c>
      <c r="H110" s="14" t="s">
        <v>68</v>
      </c>
      <c r="I110" s="277">
        <v>1</v>
      </c>
      <c r="J110" s="10" t="s">
        <v>91</v>
      </c>
      <c r="K110" s="250"/>
      <c r="L110" s="250"/>
      <c r="M110" s="250"/>
    </row>
    <row r="111" spans="1:13" ht="15" customHeight="1">
      <c r="A111" s="511"/>
      <c r="B111" s="841" t="s">
        <v>302</v>
      </c>
      <c r="C111" s="842"/>
      <c r="D111" s="508" t="s">
        <v>79</v>
      </c>
      <c r="E111" s="277">
        <v>4</v>
      </c>
      <c r="F111" s="14" t="s">
        <v>67</v>
      </c>
      <c r="G111" s="277">
        <v>10</v>
      </c>
      <c r="H111" s="14" t="s">
        <v>68</v>
      </c>
      <c r="I111" s="277">
        <v>1</v>
      </c>
      <c r="J111" s="10" t="s">
        <v>91</v>
      </c>
      <c r="K111" s="250"/>
      <c r="L111" s="250"/>
      <c r="M111" s="250"/>
    </row>
    <row r="112" spans="1:13" ht="15" customHeight="1">
      <c r="A112" s="511"/>
      <c r="B112" s="841" t="s">
        <v>302</v>
      </c>
      <c r="C112" s="842"/>
      <c r="D112" s="508" t="s">
        <v>79</v>
      </c>
      <c r="E112" s="277">
        <v>5</v>
      </c>
      <c r="F112" s="14" t="s">
        <v>67</v>
      </c>
      <c r="G112" s="277">
        <v>4</v>
      </c>
      <c r="H112" s="14" t="s">
        <v>68</v>
      </c>
      <c r="I112" s="277">
        <v>1</v>
      </c>
      <c r="J112" s="10" t="s">
        <v>91</v>
      </c>
      <c r="K112" s="250"/>
      <c r="L112" s="250"/>
      <c r="M112" s="250"/>
    </row>
    <row r="113" spans="1:13" ht="15" customHeight="1">
      <c r="A113" s="511"/>
      <c r="B113" s="841" t="s">
        <v>302</v>
      </c>
      <c r="C113" s="842"/>
      <c r="D113" s="738" t="s">
        <v>79</v>
      </c>
      <c r="E113" s="277">
        <v>6</v>
      </c>
      <c r="F113" s="14" t="s">
        <v>67</v>
      </c>
      <c r="G113" s="277">
        <v>4</v>
      </c>
      <c r="H113" s="14" t="s">
        <v>68</v>
      </c>
      <c r="I113" s="277">
        <v>1</v>
      </c>
      <c r="J113" s="10" t="s">
        <v>91</v>
      </c>
      <c r="K113" s="250"/>
      <c r="L113" s="250"/>
      <c r="M113" s="250"/>
    </row>
    <row r="114" spans="1:13" ht="15" customHeight="1">
      <c r="A114" s="511"/>
      <c r="B114" s="841" t="s">
        <v>302</v>
      </c>
      <c r="C114" s="842"/>
      <c r="D114" s="738" t="s">
        <v>79</v>
      </c>
      <c r="E114" s="277">
        <v>6</v>
      </c>
      <c r="F114" s="14" t="s">
        <v>67</v>
      </c>
      <c r="G114" s="277">
        <v>6</v>
      </c>
      <c r="H114" s="14" t="s">
        <v>68</v>
      </c>
      <c r="I114" s="277">
        <v>1</v>
      </c>
      <c r="J114" s="10" t="s">
        <v>91</v>
      </c>
      <c r="K114" s="250"/>
      <c r="L114" s="250"/>
      <c r="M114" s="250"/>
    </row>
    <row r="115" spans="1:13" ht="15" customHeight="1">
      <c r="A115" s="511"/>
      <c r="B115" s="841" t="s">
        <v>302</v>
      </c>
      <c r="C115" s="842"/>
      <c r="D115" s="738" t="s">
        <v>79</v>
      </c>
      <c r="E115" s="277">
        <v>7</v>
      </c>
      <c r="F115" s="14" t="s">
        <v>67</v>
      </c>
      <c r="G115" s="277">
        <v>4</v>
      </c>
      <c r="H115" s="14" t="s">
        <v>68</v>
      </c>
      <c r="I115" s="277">
        <v>1</v>
      </c>
      <c r="J115" s="10" t="s">
        <v>91</v>
      </c>
      <c r="K115" s="250"/>
      <c r="L115" s="250"/>
      <c r="M115" s="250"/>
    </row>
    <row r="116" spans="1:13" ht="15" customHeight="1">
      <c r="A116" s="511"/>
      <c r="B116" s="841" t="s">
        <v>302</v>
      </c>
      <c r="C116" s="842"/>
      <c r="D116" s="738"/>
      <c r="E116" s="277"/>
      <c r="F116" s="14" t="s">
        <v>67</v>
      </c>
      <c r="G116" s="277"/>
      <c r="H116" s="14" t="s">
        <v>68</v>
      </c>
      <c r="I116" s="277">
        <v>1</v>
      </c>
      <c r="J116" s="10" t="s">
        <v>91</v>
      </c>
      <c r="K116" s="250"/>
      <c r="L116" s="250"/>
      <c r="M116" s="250"/>
    </row>
    <row r="117" spans="1:13" ht="15" customHeight="1">
      <c r="A117" s="511"/>
      <c r="B117" s="841" t="s">
        <v>302</v>
      </c>
      <c r="C117" s="842"/>
      <c r="D117" s="738"/>
      <c r="E117" s="277"/>
      <c r="F117" s="14" t="s">
        <v>67</v>
      </c>
      <c r="G117" s="277"/>
      <c r="H117" s="14" t="s">
        <v>68</v>
      </c>
      <c r="I117" s="277">
        <v>1</v>
      </c>
      <c r="J117" s="10" t="s">
        <v>91</v>
      </c>
      <c r="K117" s="250"/>
      <c r="L117" s="250"/>
      <c r="M117" s="250"/>
    </row>
    <row r="118" spans="1:13" ht="15" customHeight="1">
      <c r="A118" s="511"/>
      <c r="B118" s="841" t="s">
        <v>302</v>
      </c>
      <c r="C118" s="842"/>
      <c r="D118" s="738"/>
      <c r="E118" s="277"/>
      <c r="F118" s="14" t="s">
        <v>67</v>
      </c>
      <c r="G118" s="277"/>
      <c r="H118" s="14" t="s">
        <v>68</v>
      </c>
      <c r="I118" s="277">
        <v>1</v>
      </c>
      <c r="J118" s="10" t="s">
        <v>91</v>
      </c>
      <c r="K118" s="250"/>
      <c r="L118" s="250"/>
      <c r="M118" s="250"/>
    </row>
    <row r="119" spans="1:13" ht="15" customHeight="1">
      <c r="A119" s="511"/>
      <c r="B119" s="841" t="s">
        <v>302</v>
      </c>
      <c r="C119" s="842"/>
      <c r="D119" s="738"/>
      <c r="E119" s="277"/>
      <c r="F119" s="14" t="s">
        <v>67</v>
      </c>
      <c r="G119" s="277"/>
      <c r="H119" s="14" t="s">
        <v>68</v>
      </c>
      <c r="I119" s="277">
        <v>1</v>
      </c>
      <c r="J119" s="10" t="s">
        <v>91</v>
      </c>
      <c r="K119" s="250"/>
      <c r="L119" s="250"/>
      <c r="M119" s="250"/>
    </row>
    <row r="120" spans="1:13" ht="15" customHeight="1">
      <c r="A120" s="511"/>
      <c r="B120" s="841" t="s">
        <v>302</v>
      </c>
      <c r="C120" s="842"/>
      <c r="D120" s="738"/>
      <c r="E120" s="277"/>
      <c r="F120" s="14" t="s">
        <v>67</v>
      </c>
      <c r="G120" s="277"/>
      <c r="H120" s="14" t="s">
        <v>68</v>
      </c>
      <c r="I120" s="277">
        <v>1</v>
      </c>
      <c r="J120" s="10" t="s">
        <v>91</v>
      </c>
      <c r="K120" s="250"/>
      <c r="L120" s="250"/>
      <c r="M120" s="250"/>
    </row>
    <row r="121" spans="1:13" ht="15" customHeight="1">
      <c r="A121" s="511"/>
      <c r="B121" s="841" t="s">
        <v>302</v>
      </c>
      <c r="C121" s="842"/>
      <c r="D121" s="738"/>
      <c r="E121" s="277"/>
      <c r="F121" s="14" t="s">
        <v>67</v>
      </c>
      <c r="G121" s="277"/>
      <c r="H121" s="14" t="s">
        <v>68</v>
      </c>
      <c r="I121" s="277">
        <v>1</v>
      </c>
      <c r="J121" s="10" t="s">
        <v>91</v>
      </c>
      <c r="K121" s="250"/>
      <c r="L121" s="250"/>
      <c r="M121" s="250"/>
    </row>
    <row r="122" spans="1:13" ht="15" customHeight="1">
      <c r="A122" s="511"/>
      <c r="B122" s="841" t="s">
        <v>302</v>
      </c>
      <c r="C122" s="842"/>
      <c r="D122" s="738"/>
      <c r="E122" s="277"/>
      <c r="F122" s="14" t="s">
        <v>67</v>
      </c>
      <c r="G122" s="792"/>
      <c r="H122" s="14" t="s">
        <v>68</v>
      </c>
      <c r="I122" s="794"/>
      <c r="J122" s="10" t="s">
        <v>91</v>
      </c>
      <c r="K122" s="250"/>
      <c r="L122" s="250"/>
      <c r="M122" s="250"/>
    </row>
    <row r="123" spans="1:13" ht="15" customHeight="1">
      <c r="A123" s="511"/>
      <c r="B123" s="841" t="s">
        <v>302</v>
      </c>
      <c r="C123" s="842"/>
      <c r="D123" s="508"/>
      <c r="E123" s="277"/>
      <c r="F123" s="14" t="s">
        <v>67</v>
      </c>
      <c r="G123" s="793"/>
      <c r="H123" s="14" t="s">
        <v>68</v>
      </c>
      <c r="I123" s="795"/>
      <c r="J123" s="10" t="s">
        <v>91</v>
      </c>
      <c r="K123" s="250"/>
      <c r="L123" s="250"/>
      <c r="M123" s="250"/>
    </row>
    <row r="124" spans="1:13" ht="15" customHeight="1">
      <c r="A124" s="511"/>
      <c r="B124" s="841" t="s">
        <v>302</v>
      </c>
      <c r="C124" s="842"/>
      <c r="D124" s="508"/>
      <c r="E124" s="277"/>
      <c r="F124" s="14" t="s">
        <v>67</v>
      </c>
      <c r="G124" s="793"/>
      <c r="H124" s="14" t="s">
        <v>68</v>
      </c>
      <c r="I124" s="795"/>
      <c r="J124" s="10" t="s">
        <v>91</v>
      </c>
      <c r="K124" s="250"/>
      <c r="L124" s="250"/>
      <c r="M124" s="250"/>
    </row>
    <row r="125" spans="1:13" ht="15" customHeight="1">
      <c r="A125" s="511"/>
      <c r="B125" s="841" t="s">
        <v>302</v>
      </c>
      <c r="C125" s="842"/>
      <c r="D125" s="508"/>
      <c r="E125" s="277"/>
      <c r="F125" s="14" t="s">
        <v>67</v>
      </c>
      <c r="G125" s="793"/>
      <c r="H125" s="14" t="s">
        <v>68</v>
      </c>
      <c r="I125" s="795"/>
      <c r="J125" s="10" t="s">
        <v>91</v>
      </c>
      <c r="K125" s="250"/>
      <c r="L125" s="250"/>
      <c r="M125" s="250"/>
    </row>
    <row r="126" spans="1:13" ht="15" customHeight="1">
      <c r="A126" s="511"/>
      <c r="B126" s="841" t="s">
        <v>302</v>
      </c>
      <c r="C126" s="842"/>
      <c r="D126" s="508"/>
      <c r="E126" s="277"/>
      <c r="F126" s="14" t="s">
        <v>67</v>
      </c>
      <c r="G126" s="793"/>
      <c r="H126" s="14" t="s">
        <v>68</v>
      </c>
      <c r="I126" s="795"/>
      <c r="J126" s="10" t="s">
        <v>91</v>
      </c>
      <c r="K126" s="250"/>
      <c r="L126" s="250"/>
      <c r="M126" s="250"/>
    </row>
    <row r="127" spans="1:13" ht="15" customHeight="1">
      <c r="A127" s="511"/>
      <c r="B127" s="841" t="s">
        <v>302</v>
      </c>
      <c r="C127" s="842"/>
      <c r="D127" s="508"/>
      <c r="E127" s="277"/>
      <c r="F127" s="14" t="s">
        <v>67</v>
      </c>
      <c r="G127" s="793"/>
      <c r="H127" s="14" t="s">
        <v>68</v>
      </c>
      <c r="I127" s="795"/>
      <c r="J127" s="10" t="s">
        <v>91</v>
      </c>
      <c r="K127" s="250"/>
      <c r="L127" s="250"/>
      <c r="M127" s="250"/>
    </row>
    <row r="128" spans="1:13" ht="15" customHeight="1">
      <c r="A128" s="511"/>
      <c r="B128" s="841" t="s">
        <v>302</v>
      </c>
      <c r="C128" s="842"/>
      <c r="D128" s="508"/>
      <c r="E128" s="277"/>
      <c r="F128" s="14" t="s">
        <v>67</v>
      </c>
      <c r="G128" s="793"/>
      <c r="H128" s="14" t="s">
        <v>68</v>
      </c>
      <c r="I128" s="795"/>
      <c r="J128" s="10" t="s">
        <v>91</v>
      </c>
      <c r="K128" s="250"/>
      <c r="L128" s="250"/>
      <c r="M128" s="250"/>
    </row>
    <row r="129" spans="1:13" ht="15" customHeight="1">
      <c r="A129" s="511"/>
      <c r="B129" s="841" t="s">
        <v>302</v>
      </c>
      <c r="C129" s="842"/>
      <c r="D129" s="738"/>
      <c r="E129" s="277"/>
      <c r="F129" s="14" t="s">
        <v>67</v>
      </c>
      <c r="G129" s="277"/>
      <c r="H129" s="14" t="s">
        <v>68</v>
      </c>
      <c r="I129" s="277"/>
      <c r="J129" s="10" t="s">
        <v>91</v>
      </c>
      <c r="K129" s="250"/>
      <c r="L129" s="250"/>
      <c r="M129" s="250"/>
    </row>
    <row r="130" spans="1:13" ht="15" customHeight="1">
      <c r="A130" s="511"/>
      <c r="B130" s="841" t="s">
        <v>302</v>
      </c>
      <c r="C130" s="842"/>
      <c r="D130" s="738"/>
      <c r="E130" s="277"/>
      <c r="F130" s="14" t="s">
        <v>67</v>
      </c>
      <c r="G130" s="277"/>
      <c r="H130" s="14" t="s">
        <v>68</v>
      </c>
      <c r="I130" s="277"/>
      <c r="J130" s="10" t="s">
        <v>91</v>
      </c>
      <c r="K130" s="250"/>
      <c r="L130" s="250"/>
      <c r="M130" s="250"/>
    </row>
    <row r="131" spans="1:13" ht="15" customHeight="1">
      <c r="A131" s="511"/>
      <c r="B131" s="841" t="s">
        <v>302</v>
      </c>
      <c r="C131" s="842"/>
      <c r="D131" s="738"/>
      <c r="E131" s="277"/>
      <c r="F131" s="14" t="s">
        <v>67</v>
      </c>
      <c r="G131" s="277"/>
      <c r="H131" s="14" t="s">
        <v>68</v>
      </c>
      <c r="I131" s="277"/>
      <c r="J131" s="10" t="s">
        <v>91</v>
      </c>
      <c r="K131" s="250"/>
      <c r="L131" s="250"/>
      <c r="M131" s="250"/>
    </row>
    <row r="132" spans="1:13" ht="15" customHeight="1">
      <c r="A132" s="511"/>
      <c r="B132" s="841" t="s">
        <v>302</v>
      </c>
      <c r="C132" s="842"/>
      <c r="D132" s="738"/>
      <c r="E132" s="277"/>
      <c r="F132" s="14" t="s">
        <v>67</v>
      </c>
      <c r="G132" s="277"/>
      <c r="H132" s="14" t="s">
        <v>68</v>
      </c>
      <c r="I132" s="277"/>
      <c r="J132" s="10" t="s">
        <v>91</v>
      </c>
      <c r="K132" s="250"/>
      <c r="L132" s="250"/>
      <c r="M132" s="250"/>
    </row>
    <row r="133" spans="1:13" ht="15" customHeight="1">
      <c r="A133" s="511"/>
      <c r="B133" s="841" t="s">
        <v>302</v>
      </c>
      <c r="C133" s="842"/>
      <c r="D133" s="738"/>
      <c r="E133" s="277"/>
      <c r="F133" s="14" t="s">
        <v>67</v>
      </c>
      <c r="G133" s="277"/>
      <c r="H133" s="14" t="s">
        <v>68</v>
      </c>
      <c r="I133" s="277"/>
      <c r="J133" s="10" t="s">
        <v>91</v>
      </c>
      <c r="K133" s="250"/>
      <c r="L133" s="250"/>
      <c r="M133" s="250"/>
    </row>
    <row r="134" spans="1:13" ht="15" customHeight="1">
      <c r="A134" s="511"/>
      <c r="B134" s="841" t="s">
        <v>302</v>
      </c>
      <c r="C134" s="842"/>
      <c r="D134" s="738"/>
      <c r="E134" s="277"/>
      <c r="F134" s="14" t="s">
        <v>67</v>
      </c>
      <c r="G134" s="277"/>
      <c r="H134" s="14" t="s">
        <v>68</v>
      </c>
      <c r="I134" s="277"/>
      <c r="J134" s="10" t="s">
        <v>91</v>
      </c>
      <c r="K134" s="250"/>
      <c r="L134" s="250"/>
      <c r="M134" s="250"/>
    </row>
    <row r="135" spans="1:13" ht="15" customHeight="1">
      <c r="A135" s="511"/>
      <c r="B135" s="841" t="s">
        <v>302</v>
      </c>
      <c r="C135" s="842"/>
      <c r="D135" s="738"/>
      <c r="E135" s="277"/>
      <c r="F135" s="14" t="s">
        <v>67</v>
      </c>
      <c r="G135" s="277"/>
      <c r="H135" s="14" t="s">
        <v>68</v>
      </c>
      <c r="I135" s="277"/>
      <c r="J135" s="10" t="s">
        <v>91</v>
      </c>
      <c r="K135" s="250"/>
      <c r="L135" s="250"/>
      <c r="M135" s="250"/>
    </row>
    <row r="136" spans="1:13" ht="15" customHeight="1">
      <c r="A136" s="511"/>
      <c r="B136" s="841" t="s">
        <v>302</v>
      </c>
      <c r="C136" s="842"/>
      <c r="D136" s="738"/>
      <c r="E136" s="277"/>
      <c r="F136" s="14" t="s">
        <v>67</v>
      </c>
      <c r="G136" s="277"/>
      <c r="H136" s="14" t="s">
        <v>68</v>
      </c>
      <c r="I136" s="277"/>
      <c r="J136" s="10" t="s">
        <v>91</v>
      </c>
      <c r="K136" s="250"/>
      <c r="L136" s="250"/>
      <c r="M136" s="250"/>
    </row>
    <row r="137" spans="1:13" ht="15" customHeight="1">
      <c r="A137" s="511"/>
      <c r="B137" s="841" t="s">
        <v>302</v>
      </c>
      <c r="C137" s="842"/>
      <c r="D137" s="738"/>
      <c r="E137" s="277"/>
      <c r="F137" s="14" t="s">
        <v>67</v>
      </c>
      <c r="G137" s="277"/>
      <c r="H137" s="14" t="s">
        <v>68</v>
      </c>
      <c r="I137" s="277"/>
      <c r="J137" s="10" t="s">
        <v>91</v>
      </c>
      <c r="K137" s="250"/>
      <c r="L137" s="250"/>
      <c r="M137" s="250"/>
    </row>
    <row r="138" spans="1:13" ht="15" customHeight="1">
      <c r="A138" s="511"/>
      <c r="B138" s="841" t="s">
        <v>302</v>
      </c>
      <c r="C138" s="842"/>
      <c r="D138" s="738"/>
      <c r="E138" s="277"/>
      <c r="F138" s="14" t="s">
        <v>67</v>
      </c>
      <c r="G138" s="277"/>
      <c r="H138" s="14" t="s">
        <v>68</v>
      </c>
      <c r="I138" s="277"/>
      <c r="J138" s="10" t="s">
        <v>91</v>
      </c>
      <c r="K138" s="250"/>
      <c r="L138" s="250"/>
      <c r="M138" s="250"/>
    </row>
    <row r="139" spans="1:13" ht="15" customHeight="1">
      <c r="A139" s="511"/>
      <c r="B139" s="841" t="s">
        <v>302</v>
      </c>
      <c r="C139" s="842"/>
      <c r="D139" s="738"/>
      <c r="E139" s="277"/>
      <c r="F139" s="14" t="s">
        <v>67</v>
      </c>
      <c r="G139" s="277"/>
      <c r="H139" s="14" t="s">
        <v>68</v>
      </c>
      <c r="I139" s="277"/>
      <c r="J139" s="10" t="s">
        <v>91</v>
      </c>
      <c r="K139" s="250"/>
      <c r="L139" s="250"/>
      <c r="M139" s="250"/>
    </row>
    <row r="140" spans="1:13" ht="15" customHeight="1">
      <c r="A140" s="511"/>
      <c r="B140" s="841" t="s">
        <v>302</v>
      </c>
      <c r="C140" s="842"/>
      <c r="D140" s="738"/>
      <c r="E140" s="277"/>
      <c r="F140" s="14" t="s">
        <v>67</v>
      </c>
      <c r="G140" s="277"/>
      <c r="H140" s="14" t="s">
        <v>68</v>
      </c>
      <c r="I140" s="277"/>
      <c r="J140" s="10" t="s">
        <v>91</v>
      </c>
      <c r="K140" s="250"/>
      <c r="L140" s="250"/>
      <c r="M140" s="250"/>
    </row>
    <row r="141" spans="1:13" ht="15" customHeight="1">
      <c r="A141" s="511"/>
      <c r="B141" s="841" t="s">
        <v>302</v>
      </c>
      <c r="C141" s="842"/>
      <c r="D141" s="738"/>
      <c r="E141" s="277"/>
      <c r="F141" s="14" t="s">
        <v>67</v>
      </c>
      <c r="G141" s="277"/>
      <c r="H141" s="14" t="s">
        <v>68</v>
      </c>
      <c r="I141" s="277"/>
      <c r="J141" s="10" t="s">
        <v>91</v>
      </c>
      <c r="K141" s="250"/>
      <c r="L141" s="250"/>
      <c r="M141" s="250"/>
    </row>
    <row r="142" spans="1:13" ht="15" customHeight="1">
      <c r="A142" s="511"/>
      <c r="B142" s="841" t="s">
        <v>302</v>
      </c>
      <c r="C142" s="842"/>
      <c r="D142" s="738"/>
      <c r="E142" s="277"/>
      <c r="F142" s="14" t="s">
        <v>67</v>
      </c>
      <c r="G142" s="277"/>
      <c r="H142" s="14" t="s">
        <v>68</v>
      </c>
      <c r="I142" s="277"/>
      <c r="J142" s="10" t="s">
        <v>91</v>
      </c>
      <c r="K142" s="250"/>
      <c r="L142" s="250"/>
      <c r="M142" s="250"/>
    </row>
    <row r="143" spans="1:13" ht="15" customHeight="1">
      <c r="A143" s="511"/>
      <c r="B143" s="841" t="s">
        <v>302</v>
      </c>
      <c r="C143" s="842"/>
      <c r="D143" s="738"/>
      <c r="E143" s="277"/>
      <c r="F143" s="14" t="s">
        <v>67</v>
      </c>
      <c r="G143" s="277"/>
      <c r="H143" s="14" t="s">
        <v>68</v>
      </c>
      <c r="I143" s="277"/>
      <c r="J143" s="10" t="s">
        <v>91</v>
      </c>
      <c r="K143" s="250"/>
      <c r="L143" s="250"/>
      <c r="M143" s="250"/>
    </row>
    <row r="144" spans="1:13" ht="15" customHeight="1">
      <c r="A144" s="511"/>
      <c r="B144" s="841" t="s">
        <v>302</v>
      </c>
      <c r="C144" s="842"/>
      <c r="D144" s="738"/>
      <c r="E144" s="277"/>
      <c r="F144" s="14" t="s">
        <v>67</v>
      </c>
      <c r="G144" s="277"/>
      <c r="H144" s="14" t="s">
        <v>68</v>
      </c>
      <c r="I144" s="277"/>
      <c r="J144" s="10" t="s">
        <v>91</v>
      </c>
      <c r="K144" s="250"/>
      <c r="L144" s="250"/>
      <c r="M144" s="250"/>
    </row>
    <row r="145" spans="1:13" ht="15" customHeight="1">
      <c r="A145" s="511"/>
      <c r="B145" s="841" t="s">
        <v>302</v>
      </c>
      <c r="C145" s="842"/>
      <c r="D145" s="738"/>
      <c r="E145" s="277"/>
      <c r="F145" s="14" t="s">
        <v>67</v>
      </c>
      <c r="G145" s="277"/>
      <c r="H145" s="14" t="s">
        <v>68</v>
      </c>
      <c r="I145" s="277"/>
      <c r="J145" s="10" t="s">
        <v>91</v>
      </c>
      <c r="K145" s="250"/>
      <c r="L145" s="250"/>
      <c r="M145" s="250"/>
    </row>
    <row r="146" spans="1:13" ht="15" customHeight="1">
      <c r="A146" s="511"/>
      <c r="B146" s="841" t="s">
        <v>302</v>
      </c>
      <c r="C146" s="842"/>
      <c r="D146" s="738"/>
      <c r="E146" s="277"/>
      <c r="F146" s="14" t="s">
        <v>67</v>
      </c>
      <c r="G146" s="277"/>
      <c r="H146" s="14" t="s">
        <v>68</v>
      </c>
      <c r="I146" s="277"/>
      <c r="J146" s="10" t="s">
        <v>91</v>
      </c>
      <c r="K146" s="250"/>
      <c r="L146" s="250"/>
      <c r="M146" s="250"/>
    </row>
    <row r="147" spans="1:13" ht="15" customHeight="1">
      <c r="A147" s="511"/>
      <c r="B147" s="841" t="s">
        <v>302</v>
      </c>
      <c r="C147" s="842"/>
      <c r="D147" s="738"/>
      <c r="E147" s="277"/>
      <c r="F147" s="14" t="s">
        <v>67</v>
      </c>
      <c r="G147" s="277"/>
      <c r="H147" s="14" t="s">
        <v>68</v>
      </c>
      <c r="I147" s="277"/>
      <c r="J147" s="10" t="s">
        <v>91</v>
      </c>
      <c r="K147" s="250"/>
      <c r="L147" s="250"/>
      <c r="M147" s="250"/>
    </row>
    <row r="148" spans="1:13" ht="15" customHeight="1">
      <c r="A148" s="511"/>
      <c r="B148" s="841" t="s">
        <v>302</v>
      </c>
      <c r="C148" s="842"/>
      <c r="D148" s="738"/>
      <c r="E148" s="277"/>
      <c r="F148" s="14" t="s">
        <v>67</v>
      </c>
      <c r="G148" s="277"/>
      <c r="H148" s="14" t="s">
        <v>68</v>
      </c>
      <c r="I148" s="277"/>
      <c r="J148" s="10" t="s">
        <v>91</v>
      </c>
      <c r="K148" s="250"/>
      <c r="L148" s="250"/>
      <c r="M148" s="250"/>
    </row>
    <row r="149" spans="1:13" ht="15" customHeight="1">
      <c r="A149" s="511"/>
      <c r="B149" s="841" t="s">
        <v>302</v>
      </c>
      <c r="C149" s="842"/>
      <c r="D149" s="738"/>
      <c r="E149" s="277"/>
      <c r="F149" s="14" t="s">
        <v>67</v>
      </c>
      <c r="G149" s="277"/>
      <c r="H149" s="14" t="s">
        <v>68</v>
      </c>
      <c r="I149" s="277"/>
      <c r="J149" s="10" t="s">
        <v>91</v>
      </c>
      <c r="K149" s="250"/>
      <c r="L149" s="250"/>
      <c r="M149" s="250"/>
    </row>
    <row r="150" spans="1:13" ht="15" customHeight="1">
      <c r="A150" s="511"/>
      <c r="B150" s="841" t="s">
        <v>302</v>
      </c>
      <c r="C150" s="842"/>
      <c r="D150" s="738"/>
      <c r="E150" s="277"/>
      <c r="F150" s="14" t="s">
        <v>67</v>
      </c>
      <c r="G150" s="277"/>
      <c r="H150" s="14" t="s">
        <v>68</v>
      </c>
      <c r="I150" s="277"/>
      <c r="J150" s="10" t="s">
        <v>91</v>
      </c>
      <c r="K150" s="250"/>
      <c r="L150" s="250"/>
      <c r="M150" s="250"/>
    </row>
    <row r="151" spans="1:13" ht="15" customHeight="1">
      <c r="A151" s="511"/>
      <c r="B151" s="841" t="s">
        <v>302</v>
      </c>
      <c r="C151" s="842"/>
      <c r="D151" s="738"/>
      <c r="E151" s="277"/>
      <c r="F151" s="14" t="s">
        <v>67</v>
      </c>
      <c r="G151" s="277"/>
      <c r="H151" s="14" t="s">
        <v>68</v>
      </c>
      <c r="I151" s="277"/>
      <c r="J151" s="10" t="s">
        <v>91</v>
      </c>
      <c r="K151" s="250"/>
      <c r="L151" s="250"/>
      <c r="M151" s="250"/>
    </row>
    <row r="152" spans="1:13" ht="15" customHeight="1">
      <c r="A152" s="511"/>
      <c r="B152" s="841" t="s">
        <v>302</v>
      </c>
      <c r="C152" s="842"/>
      <c r="D152" s="738"/>
      <c r="E152" s="277"/>
      <c r="F152" s="14" t="s">
        <v>67</v>
      </c>
      <c r="G152" s="277"/>
      <c r="H152" s="14" t="s">
        <v>68</v>
      </c>
      <c r="I152" s="277"/>
      <c r="J152" s="10" t="s">
        <v>91</v>
      </c>
      <c r="K152" s="250"/>
      <c r="L152" s="250"/>
      <c r="M152" s="250"/>
    </row>
    <row r="153" spans="1:13" ht="15" customHeight="1">
      <c r="A153" s="511"/>
      <c r="B153" s="841" t="s">
        <v>302</v>
      </c>
      <c r="C153" s="842"/>
      <c r="D153" s="738"/>
      <c r="E153" s="277"/>
      <c r="F153" s="14" t="s">
        <v>67</v>
      </c>
      <c r="G153" s="277"/>
      <c r="H153" s="14" t="s">
        <v>68</v>
      </c>
      <c r="I153" s="277"/>
      <c r="J153" s="10" t="s">
        <v>91</v>
      </c>
      <c r="K153" s="250"/>
      <c r="L153" s="250"/>
      <c r="M153" s="250"/>
    </row>
    <row r="154" spans="1:13" ht="15" customHeight="1">
      <c r="A154" s="511"/>
      <c r="B154" s="511"/>
      <c r="C154" s="250"/>
      <c r="D154" s="250"/>
      <c r="E154" s="250"/>
      <c r="F154" s="250"/>
      <c r="G154" s="250"/>
      <c r="H154" s="250"/>
      <c r="I154" s="250"/>
      <c r="J154" s="250"/>
      <c r="K154" s="250"/>
      <c r="L154" s="250"/>
      <c r="M154" s="250"/>
    </row>
    <row r="155" spans="1:13" ht="15" customHeight="1" thickBot="1">
      <c r="A155" s="250" t="s">
        <v>303</v>
      </c>
      <c r="B155" s="250"/>
      <c r="C155" s="250"/>
      <c r="D155" s="250"/>
      <c r="E155" s="250"/>
      <c r="F155" s="250"/>
      <c r="G155" s="250"/>
      <c r="H155" s="250"/>
      <c r="I155" s="250"/>
      <c r="J155" s="250"/>
      <c r="K155" s="250"/>
      <c r="L155" s="250"/>
      <c r="M155" s="250"/>
    </row>
    <row r="156" spans="1:13" ht="15" customHeight="1">
      <c r="A156" s="311" t="s">
        <v>304</v>
      </c>
      <c r="B156" s="984"/>
      <c r="C156" s="984"/>
      <c r="D156" s="985"/>
      <c r="E156" s="250"/>
      <c r="F156" s="250"/>
      <c r="G156" s="250"/>
      <c r="H156" s="250"/>
      <c r="I156" s="250"/>
      <c r="J156" s="250"/>
      <c r="K156" s="250"/>
      <c r="L156" s="250"/>
      <c r="M156" s="250"/>
    </row>
    <row r="157" spans="1:13" ht="15" customHeight="1">
      <c r="A157" s="986" t="s">
        <v>305</v>
      </c>
      <c r="B157" s="969"/>
      <c r="C157" s="969"/>
      <c r="D157" s="970"/>
      <c r="E157" s="250" t="s">
        <v>306</v>
      </c>
      <c r="F157" s="250"/>
      <c r="G157" s="250"/>
      <c r="H157" s="250"/>
      <c r="I157" s="250"/>
      <c r="J157" s="250"/>
      <c r="K157" s="250"/>
      <c r="L157" s="250"/>
      <c r="M157" s="250"/>
    </row>
    <row r="158" spans="1:13" ht="15" customHeight="1">
      <c r="A158" s="987"/>
      <c r="B158" s="982"/>
      <c r="C158" s="982"/>
      <c r="D158" s="983"/>
      <c r="E158" s="250"/>
      <c r="F158" s="250"/>
      <c r="G158" s="250"/>
      <c r="H158" s="250"/>
      <c r="I158" s="250"/>
      <c r="J158" s="250"/>
      <c r="K158" s="250"/>
      <c r="L158" s="250"/>
      <c r="M158" s="250"/>
    </row>
    <row r="159" spans="1:13" ht="15" customHeight="1">
      <c r="A159" s="986" t="s">
        <v>307</v>
      </c>
      <c r="B159" s="969"/>
      <c r="C159" s="969"/>
      <c r="D159" s="970"/>
      <c r="E159" s="250" t="s">
        <v>306</v>
      </c>
      <c r="F159" s="250"/>
      <c r="G159" s="250"/>
      <c r="H159" s="250"/>
      <c r="I159" s="250"/>
      <c r="J159" s="250"/>
      <c r="K159" s="250"/>
      <c r="L159" s="250"/>
      <c r="M159" s="250"/>
    </row>
    <row r="160" spans="1:13" ht="15" customHeight="1">
      <c r="A160" s="987"/>
      <c r="B160" s="982"/>
      <c r="C160" s="982"/>
      <c r="D160" s="983"/>
      <c r="E160" s="250"/>
      <c r="F160" s="250"/>
      <c r="G160" s="250"/>
      <c r="H160" s="250"/>
      <c r="I160" s="250"/>
      <c r="J160" s="250"/>
      <c r="K160" s="250"/>
      <c r="L160" s="250"/>
      <c r="M160" s="250"/>
    </row>
    <row r="161" spans="1:13" ht="15" customHeight="1">
      <c r="A161" s="967" t="s">
        <v>308</v>
      </c>
      <c r="B161" s="969"/>
      <c r="C161" s="969"/>
      <c r="D161" s="970"/>
      <c r="E161" s="250" t="s">
        <v>306</v>
      </c>
      <c r="F161" s="250"/>
      <c r="G161" s="250"/>
      <c r="H161" s="250"/>
      <c r="I161" s="250"/>
      <c r="J161" s="250"/>
      <c r="K161" s="250"/>
      <c r="L161" s="250"/>
      <c r="M161" s="250"/>
    </row>
    <row r="162" spans="1:13" ht="15" customHeight="1" thickBot="1">
      <c r="A162" s="968"/>
      <c r="B162" s="971"/>
      <c r="C162" s="971"/>
      <c r="D162" s="972"/>
      <c r="E162" s="250"/>
      <c r="F162" s="250"/>
      <c r="G162" s="250"/>
      <c r="H162" s="250"/>
      <c r="I162" s="250"/>
      <c r="J162" s="250"/>
      <c r="K162" s="250"/>
      <c r="L162" s="250"/>
      <c r="M162" s="250"/>
    </row>
    <row r="163" spans="1:13" ht="15" customHeight="1">
      <c r="A163" s="250"/>
      <c r="B163" s="250"/>
      <c r="C163" s="250"/>
      <c r="D163" s="250"/>
      <c r="E163" s="250"/>
      <c r="F163" s="250"/>
      <c r="G163" s="250"/>
      <c r="H163" s="250"/>
      <c r="I163" s="250"/>
      <c r="J163" s="250"/>
      <c r="K163" s="250"/>
      <c r="L163" s="250"/>
      <c r="M163" s="250"/>
    </row>
    <row r="164" spans="1:13" ht="15" customHeight="1">
      <c r="A164" s="250"/>
      <c r="B164" s="250"/>
      <c r="C164" s="250"/>
      <c r="D164" s="250"/>
      <c r="E164" s="250"/>
      <c r="F164" s="250"/>
      <c r="G164" s="250"/>
      <c r="H164" s="250"/>
      <c r="I164" s="250"/>
      <c r="J164" s="250"/>
      <c r="K164" s="250"/>
      <c r="L164" s="250"/>
      <c r="M164" s="250"/>
    </row>
    <row r="165" spans="1:13" ht="15" customHeight="1">
      <c r="A165" s="250"/>
      <c r="B165" s="250"/>
      <c r="C165" s="250"/>
      <c r="D165" s="250"/>
      <c r="E165" s="250"/>
      <c r="F165" s="250"/>
      <c r="G165" s="250"/>
      <c r="H165" s="250"/>
      <c r="I165" s="250"/>
      <c r="J165" s="250"/>
      <c r="K165" s="250"/>
      <c r="L165" s="250"/>
      <c r="M165" s="250"/>
    </row>
    <row r="166" spans="1:13" ht="15" customHeight="1">
      <c r="A166" s="250"/>
      <c r="B166" s="250"/>
      <c r="C166" s="250"/>
      <c r="D166" s="250"/>
      <c r="E166" s="250"/>
      <c r="F166" s="250"/>
      <c r="G166" s="250"/>
      <c r="H166" s="250"/>
      <c r="I166" s="250"/>
      <c r="J166" s="250"/>
      <c r="K166" s="250"/>
      <c r="L166" s="250"/>
      <c r="M166" s="250"/>
    </row>
    <row r="167" spans="1:13" ht="15" customHeight="1">
      <c r="A167" s="250"/>
      <c r="B167" s="250"/>
      <c r="C167" s="250"/>
      <c r="D167" s="250"/>
      <c r="E167" s="250"/>
      <c r="F167" s="250"/>
      <c r="G167" s="250"/>
      <c r="H167" s="250"/>
      <c r="I167" s="250"/>
      <c r="J167" s="250"/>
      <c r="K167" s="250"/>
      <c r="L167" s="250"/>
      <c r="M167" s="250"/>
    </row>
    <row r="168" spans="1:13" ht="15" customHeight="1">
      <c r="A168" s="250"/>
      <c r="B168" s="250"/>
      <c r="C168" s="250"/>
      <c r="D168" s="250"/>
      <c r="E168" s="250"/>
      <c r="F168" s="250"/>
      <c r="G168" s="250"/>
      <c r="H168" s="250"/>
      <c r="I168" s="250"/>
      <c r="J168" s="250"/>
      <c r="K168" s="250"/>
      <c r="L168" s="250"/>
      <c r="M168" s="250"/>
    </row>
    <row r="169" spans="1:13" ht="15" customHeight="1">
      <c r="A169" s="250"/>
      <c r="B169" s="250"/>
      <c r="C169" s="250"/>
      <c r="D169" s="250"/>
      <c r="E169" s="250"/>
      <c r="F169" s="250"/>
      <c r="G169" s="250"/>
      <c r="H169" s="250"/>
      <c r="I169" s="250"/>
      <c r="J169" s="250"/>
      <c r="K169" s="250"/>
      <c r="L169" s="250"/>
      <c r="M169" s="250"/>
    </row>
    <row r="170" spans="1:13" ht="15" customHeight="1"/>
    <row r="171" spans="1:13" ht="15" customHeight="1"/>
    <row r="172" spans="1:13" ht="15" customHeight="1"/>
    <row r="173" spans="1:13" ht="15" customHeight="1"/>
    <row r="174" spans="1:13" ht="15" customHeight="1"/>
    <row r="175" spans="1:13" ht="15" customHeight="1"/>
    <row r="176" spans="1:13" ht="15" customHeight="1"/>
    <row r="177" ht="15" customHeight="1"/>
    <row r="274" spans="4:4">
      <c r="D274" s="4" t="str">
        <f>DBCS(【マスター】!D975)</f>
        <v/>
      </c>
    </row>
  </sheetData>
  <sheetProtection selectLockedCells="1"/>
  <mergeCells count="246">
    <mergeCell ref="K39:L39"/>
    <mergeCell ref="H39:I39"/>
    <mergeCell ref="A70:B70"/>
    <mergeCell ref="A69:B69"/>
    <mergeCell ref="A71:B71"/>
    <mergeCell ref="A65:B65"/>
    <mergeCell ref="O70:S70"/>
    <mergeCell ref="P71:S71"/>
    <mergeCell ref="A63:B63"/>
    <mergeCell ref="Q54:S54"/>
    <mergeCell ref="Q55:S55"/>
    <mergeCell ref="Q56:S56"/>
    <mergeCell ref="Q58:S58"/>
    <mergeCell ref="Q59:S59"/>
    <mergeCell ref="Q60:S60"/>
    <mergeCell ref="A68:B68"/>
    <mergeCell ref="A60:B60"/>
    <mergeCell ref="A67:B67"/>
    <mergeCell ref="A66:B66"/>
    <mergeCell ref="A61:B61"/>
    <mergeCell ref="A62:B62"/>
    <mergeCell ref="A64:B64"/>
    <mergeCell ref="H54:J54"/>
    <mergeCell ref="H50:I50"/>
    <mergeCell ref="H36:I36"/>
    <mergeCell ref="D31:E31"/>
    <mergeCell ref="A52:B52"/>
    <mergeCell ref="A59:B59"/>
    <mergeCell ref="A58:B58"/>
    <mergeCell ref="A56:B56"/>
    <mergeCell ref="A55:B55"/>
    <mergeCell ref="A36:B36"/>
    <mergeCell ref="A53:B53"/>
    <mergeCell ref="A50:B50"/>
    <mergeCell ref="A51:B51"/>
    <mergeCell ref="A57:B57"/>
    <mergeCell ref="D33:E33"/>
    <mergeCell ref="F33:G33"/>
    <mergeCell ref="D36:E36"/>
    <mergeCell ref="F36:G36"/>
    <mergeCell ref="H42:I42"/>
    <mergeCell ref="A33:B33"/>
    <mergeCell ref="A35:B35"/>
    <mergeCell ref="H52:J52"/>
    <mergeCell ref="H53:J53"/>
    <mergeCell ref="A54:B54"/>
    <mergeCell ref="H43:I43"/>
    <mergeCell ref="H44:I44"/>
    <mergeCell ref="D27:E27"/>
    <mergeCell ref="F27:I27"/>
    <mergeCell ref="D29:E29"/>
    <mergeCell ref="F29:I29"/>
    <mergeCell ref="D34:E34"/>
    <mergeCell ref="F34:G34"/>
    <mergeCell ref="A31:B31"/>
    <mergeCell ref="A32:B32"/>
    <mergeCell ref="A34:B34"/>
    <mergeCell ref="B160:D160"/>
    <mergeCell ref="B159:D159"/>
    <mergeCell ref="B158:D158"/>
    <mergeCell ref="B157:D157"/>
    <mergeCell ref="B156:D156"/>
    <mergeCell ref="A159:A160"/>
    <mergeCell ref="A157:A158"/>
    <mergeCell ref="D77:E77"/>
    <mergeCell ref="A73:B73"/>
    <mergeCell ref="B103:C103"/>
    <mergeCell ref="B105:C105"/>
    <mergeCell ref="B108:C108"/>
    <mergeCell ref="B109:C109"/>
    <mergeCell ref="B110:C110"/>
    <mergeCell ref="B106:C106"/>
    <mergeCell ref="B107:C107"/>
    <mergeCell ref="C96:D96"/>
    <mergeCell ref="A99:B99"/>
    <mergeCell ref="C99:H99"/>
    <mergeCell ref="A100:B100"/>
    <mergeCell ref="C100:H100"/>
    <mergeCell ref="B113:C113"/>
    <mergeCell ref="B129:C129"/>
    <mergeCell ref="B130:C130"/>
    <mergeCell ref="A161:A162"/>
    <mergeCell ref="B161:D161"/>
    <mergeCell ref="B162:D162"/>
    <mergeCell ref="F69:L69"/>
    <mergeCell ref="F70:L70"/>
    <mergeCell ref="F72:L72"/>
    <mergeCell ref="A86:B87"/>
    <mergeCell ref="D86:I86"/>
    <mergeCell ref="D87:F87"/>
    <mergeCell ref="G87:I87"/>
    <mergeCell ref="A82:B82"/>
    <mergeCell ref="C82:D82"/>
    <mergeCell ref="A84:B84"/>
    <mergeCell ref="C84:I84"/>
    <mergeCell ref="A77:B77"/>
    <mergeCell ref="A76:B76"/>
    <mergeCell ref="A72:B72"/>
    <mergeCell ref="A90:B91"/>
    <mergeCell ref="D90:I90"/>
    <mergeCell ref="D91:F91"/>
    <mergeCell ref="G91:I91"/>
    <mergeCell ref="C95:D95"/>
    <mergeCell ref="B111:C111"/>
    <mergeCell ref="B112:C112"/>
    <mergeCell ref="A37:B37"/>
    <mergeCell ref="C37:E37"/>
    <mergeCell ref="H40:I40"/>
    <mergeCell ref="H41:I41"/>
    <mergeCell ref="H49:I49"/>
    <mergeCell ref="H45:I45"/>
    <mergeCell ref="A49:B49"/>
    <mergeCell ref="H46:I46"/>
    <mergeCell ref="H47:I47"/>
    <mergeCell ref="H48:I48"/>
    <mergeCell ref="C25:E25"/>
    <mergeCell ref="F25:H25"/>
    <mergeCell ref="A26:B26"/>
    <mergeCell ref="J36:K36"/>
    <mergeCell ref="F31:G31"/>
    <mergeCell ref="H31:I31"/>
    <mergeCell ref="J31:K31"/>
    <mergeCell ref="D32:E32"/>
    <mergeCell ref="F32:G32"/>
    <mergeCell ref="H32:I32"/>
    <mergeCell ref="J32:K32"/>
    <mergeCell ref="J33:K33"/>
    <mergeCell ref="H34:I34"/>
    <mergeCell ref="J34:K34"/>
    <mergeCell ref="D35:E35"/>
    <mergeCell ref="F35:G35"/>
    <mergeCell ref="H35:I35"/>
    <mergeCell ref="J35:K35"/>
    <mergeCell ref="D30:K30"/>
    <mergeCell ref="A30:B30"/>
    <mergeCell ref="H33:I33"/>
    <mergeCell ref="A27:B27"/>
    <mergeCell ref="A28:B28"/>
    <mergeCell ref="A29:B29"/>
    <mergeCell ref="C21:H21"/>
    <mergeCell ref="I25:K25"/>
    <mergeCell ref="C26:G26"/>
    <mergeCell ref="A22:B22"/>
    <mergeCell ref="A14:B14"/>
    <mergeCell ref="A18:B18"/>
    <mergeCell ref="E18:G18"/>
    <mergeCell ref="A19:B19"/>
    <mergeCell ref="C19:L19"/>
    <mergeCell ref="A20:B20"/>
    <mergeCell ref="C20:L20"/>
    <mergeCell ref="A17:B17"/>
    <mergeCell ref="C17:D17"/>
    <mergeCell ref="K15:L15"/>
    <mergeCell ref="K16:L16"/>
    <mergeCell ref="F14:H14"/>
    <mergeCell ref="E17:F17"/>
    <mergeCell ref="G17:H17"/>
    <mergeCell ref="I17:J17"/>
    <mergeCell ref="I26:K26"/>
    <mergeCell ref="A23:B24"/>
    <mergeCell ref="F23:K23"/>
    <mergeCell ref="C24:K24"/>
    <mergeCell ref="A25:B25"/>
    <mergeCell ref="A1:L1"/>
    <mergeCell ref="A6:B6"/>
    <mergeCell ref="C6:H6"/>
    <mergeCell ref="A7:B7"/>
    <mergeCell ref="C7:H7"/>
    <mergeCell ref="A8:B9"/>
    <mergeCell ref="F8:K8"/>
    <mergeCell ref="C9:K9"/>
    <mergeCell ref="A13:B13"/>
    <mergeCell ref="F13:H13"/>
    <mergeCell ref="A4:B4"/>
    <mergeCell ref="A10:B10"/>
    <mergeCell ref="C10:E10"/>
    <mergeCell ref="F10:H10"/>
    <mergeCell ref="I10:K10"/>
    <mergeCell ref="A11:B11"/>
    <mergeCell ref="A12:B12"/>
    <mergeCell ref="A15:B16"/>
    <mergeCell ref="C22:K22"/>
    <mergeCell ref="A21:B21"/>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U66:AA66"/>
    <mergeCell ref="AC66:AI66"/>
    <mergeCell ref="AK66:AQ66"/>
    <mergeCell ref="B150:C150"/>
    <mergeCell ref="B151:C151"/>
    <mergeCell ref="B152:C152"/>
    <mergeCell ref="B153:C153"/>
    <mergeCell ref="B131:C131"/>
    <mergeCell ref="B120:C120"/>
    <mergeCell ref="B121:C121"/>
    <mergeCell ref="B122:C122"/>
    <mergeCell ref="B123:C123"/>
    <mergeCell ref="B124:C124"/>
    <mergeCell ref="B125:C125"/>
    <mergeCell ref="B116:C116"/>
    <mergeCell ref="B117:C117"/>
    <mergeCell ref="B118:C118"/>
    <mergeCell ref="B119:C119"/>
    <mergeCell ref="B114:C114"/>
    <mergeCell ref="B115:C115"/>
    <mergeCell ref="C93:D93"/>
    <mergeCell ref="C94:D94"/>
    <mergeCell ref="O68:S68"/>
    <mergeCell ref="O69:S69"/>
    <mergeCell ref="A88:B89"/>
    <mergeCell ref="D88:I88"/>
    <mergeCell ref="D89:F89"/>
    <mergeCell ref="G89:I89"/>
    <mergeCell ref="D74:E74"/>
    <mergeCell ref="D75:E75"/>
    <mergeCell ref="D76:E76"/>
    <mergeCell ref="D79:E79"/>
    <mergeCell ref="A75:B75"/>
    <mergeCell ref="A74:B74"/>
    <mergeCell ref="A79:B79"/>
    <mergeCell ref="A78:B78"/>
    <mergeCell ref="D78:E78"/>
    <mergeCell ref="F74:M74"/>
    <mergeCell ref="F75:M75"/>
    <mergeCell ref="F76:M76"/>
    <mergeCell ref="A80:B80"/>
    <mergeCell ref="D80:E80"/>
  </mergeCells>
  <phoneticPr fontId="16"/>
  <dataValidations xWindow="891" yWindow="376" count="18">
    <dataValidation type="list" allowBlank="1" showInputMessage="1" showErrorMessage="1" sqref="H18" xr:uid="{00000000-0002-0000-0100-000000000000}">
      <formula1>"１, ２, ３, ４, ５, ６, ７, ８, ９"</formula1>
    </dataValidation>
    <dataValidation type="list" imeMode="halfAlpha" allowBlank="1" showInputMessage="1" showErrorMessage="1" sqref="K16:L16" xr:uid="{B345DBC6-2507-1441-B5DF-9FBB398E116B}">
      <formula1>$V$6:$V$11</formula1>
    </dataValidation>
    <dataValidation imeMode="fullKatakana" allowBlank="1" showInputMessage="1" showErrorMessage="1" sqref="C6:H6" xr:uid="{4A8FF731-722E-2F45-B6C4-28876A507555}"/>
    <dataValidation type="whole" imeMode="halfAlpha" allowBlank="1" showInputMessage="1" showErrorMessage="1" sqref="F4 H4 I104:I112 H12 F28 G104:G112 H28 F12 E104:E112 E123:E128" xr:uid="{00000000-0002-0000-0100-000003000000}">
      <formula1>1</formula1>
      <formula2>100</formula2>
    </dataValidation>
    <dataValidation type="whole" imeMode="halfAlpha" allowBlank="1" showInputMessage="1" showErrorMessage="1" promptTitle="半角数字" prompt="半角数字で入力" sqref="B94:B97 E94:E96" xr:uid="{4F5E2A4F-A597-48EF-B212-964290A8F0FB}">
      <formula1>0</formula1>
      <formula2>100</formula2>
    </dataValidation>
    <dataValidation type="whole" allowBlank="1" showInputMessage="1" showErrorMessage="1" sqref="E11:L11" xr:uid="{DB6E8F9B-5A98-9A4B-863B-160221A4B432}">
      <formula1>0</formula1>
      <formula2>9</formula2>
    </dataValidation>
    <dataValidation type="list" allowBlank="1" showInputMessage="1" showErrorMessage="1" sqref="C16:J16" xr:uid="{1EEBACFD-F3BD-CE4E-809C-1337DBD56723}">
      <formula1>$T$6:$T$7</formula1>
    </dataValidation>
    <dataValidation imeMode="halfAlpha" allowBlank="1" showInputMessage="1" showErrorMessage="1" sqref="C25:E25 J13:J14 C11:D11 E23 J12:K12 I25:K25 C23 C15 D13:D15 L12:L14 C10:E10 K15 I10:K10 D32:K36 E8 C8 G103 I103 E103" xr:uid="{00000000-0002-0000-0100-000007000000}"/>
    <dataValidation imeMode="halfAlpha" allowBlank="1" showErrorMessage="1" promptTitle="【入力規制】" prompt="すべて全角" sqref="I13:I14 C13:C14 E13:E14 K13:K14" xr:uid="{0D997AC1-64B6-2D4C-AADE-5EAEE775EB89}"/>
    <dataValidation imeMode="fullAlpha" allowBlank="1" showErrorMessage="1" promptTitle="【入力規制】" prompt="すべて全角" sqref="L89 J91 L91 J89 L87" xr:uid="{00000000-0002-0000-0100-000009000000}"/>
    <dataValidation type="list" allowBlank="1" showInputMessage="1" showErrorMessage="1" sqref="D40" xr:uid="{00000000-0002-0000-0100-00000A000000}">
      <formula1>$T$19:$T$26</formula1>
    </dataValidation>
    <dataValidation type="list" allowBlank="1" showInputMessage="1" showErrorMessage="1" sqref="C37:E37" xr:uid="{00000000-0002-0000-0100-00000B000000}">
      <formula1>$N$38:$N$41</formula1>
    </dataValidation>
    <dataValidation type="list" allowBlank="1" showInputMessage="1" showErrorMessage="1" sqref="C4" xr:uid="{00000000-0002-0000-0100-00000C000000}">
      <formula1>$N$6:$N$8</formula1>
    </dataValidation>
    <dataValidation type="list" allowBlank="1" showInputMessage="1" showErrorMessage="1" sqref="C29" xr:uid="{00000000-0002-0000-0100-00000D000000}">
      <formula1>$U$6:$U$7</formula1>
    </dataValidation>
    <dataValidation type="list" allowBlank="1" showInputMessage="1" showErrorMessage="1" sqref="C27 D128:D153 C12 D103 D113:D122" xr:uid="{00000000-0002-0000-0100-00000E000000}">
      <formula1>$N$5:$N$8</formula1>
    </dataValidation>
    <dataValidation type="list" allowBlank="1" showInputMessage="1" showErrorMessage="1" sqref="C84:I84" xr:uid="{00000000-0002-0000-0100-00000F000000}">
      <formula1>$N$84:$N$93</formula1>
    </dataValidation>
    <dataValidation type="list" allowBlank="1" showInputMessage="1" showErrorMessage="1" sqref="C50:C80" xr:uid="{00000000-0002-0000-0100-000017000000}">
      <formula1>$U$6</formula1>
    </dataValidation>
    <dataValidation type="list" allowBlank="1" showInputMessage="1" showErrorMessage="1" sqref="D105:D112 D123:D127" xr:uid="{D4FF8899-911C-E64C-A57B-6BCA3C026B6F}">
      <formula1>$N$5:$N$6</formula1>
    </dataValidation>
  </dataValidations>
  <pageMargins left="0.43307086614173229" right="0.43307086614173229" top="0.35433070866141736" bottom="0.35433070866141736" header="0.31496062992125984" footer="0.31496062992125984"/>
  <pageSetup paperSize="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0">
    <tabColor theme="4"/>
    <pageSetUpPr fitToPage="1"/>
  </sheetPr>
  <dimension ref="A1:AO269"/>
  <sheetViews>
    <sheetView tabSelected="1" view="pageBreakPreview" topLeftCell="A37" zoomScaleNormal="100" zoomScaleSheetLayoutView="100" workbookViewId="0">
      <selection activeCell="C69" sqref="C69:T69"/>
    </sheetView>
  </sheetViews>
  <sheetFormatPr defaultColWidth="9" defaultRowHeight="15" customHeight="1"/>
  <cols>
    <col min="1" max="20" width="4.625" style="1" customWidth="1"/>
    <col min="21" max="16384" width="9" style="1"/>
  </cols>
  <sheetData>
    <row r="1" spans="1:20" ht="15" customHeight="1">
      <c r="T1" s="38"/>
    </row>
    <row r="9" spans="1:20" ht="15" customHeight="1">
      <c r="A9" s="1021" t="s">
        <v>720</v>
      </c>
      <c r="B9" s="1021"/>
      <c r="C9" s="1021"/>
      <c r="D9" s="1021"/>
      <c r="E9" s="1021"/>
      <c r="F9" s="1021"/>
      <c r="G9" s="1021"/>
      <c r="H9" s="1021"/>
      <c r="I9" s="1021"/>
      <c r="J9" s="1021"/>
      <c r="K9" s="1021"/>
      <c r="L9" s="1021"/>
      <c r="M9" s="1021"/>
      <c r="N9" s="1021"/>
      <c r="O9" s="1021"/>
      <c r="P9" s="1021"/>
      <c r="Q9" s="1021"/>
      <c r="R9" s="1021"/>
      <c r="S9" s="1021"/>
      <c r="T9" s="1021"/>
    </row>
    <row r="10" spans="1:20" ht="15" customHeight="1">
      <c r="A10" s="1021"/>
      <c r="B10" s="1021"/>
      <c r="C10" s="1021"/>
      <c r="D10" s="1021"/>
      <c r="E10" s="1021"/>
      <c r="F10" s="1021"/>
      <c r="G10" s="1021"/>
      <c r="H10" s="1021"/>
      <c r="I10" s="1021"/>
      <c r="J10" s="1021"/>
      <c r="K10" s="1021"/>
      <c r="L10" s="1021"/>
      <c r="M10" s="1021"/>
      <c r="N10" s="1021"/>
      <c r="O10" s="1021"/>
      <c r="P10" s="1021"/>
      <c r="Q10" s="1021"/>
      <c r="R10" s="1021"/>
      <c r="S10" s="1021"/>
      <c r="T10" s="1021"/>
    </row>
    <row r="11" spans="1:20" ht="15" customHeight="1">
      <c r="A11" s="1021"/>
      <c r="B11" s="1021"/>
      <c r="C11" s="1021"/>
      <c r="D11" s="1021"/>
      <c r="E11" s="1021"/>
      <c r="F11" s="1021"/>
      <c r="G11" s="1021"/>
      <c r="H11" s="1021"/>
      <c r="I11" s="1021"/>
      <c r="J11" s="1021"/>
      <c r="K11" s="1021"/>
      <c r="L11" s="1021"/>
      <c r="M11" s="1021"/>
      <c r="N11" s="1021"/>
      <c r="O11" s="1021"/>
      <c r="P11" s="1021"/>
      <c r="Q11" s="1021"/>
      <c r="R11" s="1021"/>
      <c r="S11" s="1021"/>
      <c r="T11" s="1021"/>
    </row>
    <row r="12" spans="1:20" ht="15" customHeight="1">
      <c r="A12" s="1021" t="s">
        <v>2008</v>
      </c>
      <c r="B12" s="1021"/>
      <c r="C12" s="1021"/>
      <c r="D12" s="1021"/>
      <c r="E12" s="1021"/>
      <c r="F12" s="1021"/>
      <c r="G12" s="1021"/>
      <c r="H12" s="1021"/>
      <c r="I12" s="1021"/>
      <c r="J12" s="1021"/>
      <c r="K12" s="1021"/>
      <c r="L12" s="1021"/>
      <c r="M12" s="1021"/>
      <c r="N12" s="1021"/>
      <c r="O12" s="1021"/>
      <c r="P12" s="1021"/>
      <c r="Q12" s="1021"/>
      <c r="R12" s="1021"/>
      <c r="S12" s="1021"/>
      <c r="T12" s="1021"/>
    </row>
    <row r="13" spans="1:20" ht="15" customHeight="1">
      <c r="A13" s="1021"/>
      <c r="B13" s="1021"/>
      <c r="C13" s="1021"/>
      <c r="D13" s="1021"/>
      <c r="E13" s="1021"/>
      <c r="F13" s="1021"/>
      <c r="G13" s="1021"/>
      <c r="H13" s="1021"/>
      <c r="I13" s="1021"/>
      <c r="J13" s="1021"/>
      <c r="K13" s="1021"/>
      <c r="L13" s="1021"/>
      <c r="M13" s="1021"/>
      <c r="N13" s="1021"/>
      <c r="O13" s="1021"/>
      <c r="P13" s="1021"/>
      <c r="Q13" s="1021"/>
      <c r="R13" s="1021"/>
      <c r="S13" s="1021"/>
      <c r="T13" s="1021"/>
    </row>
    <row r="14" spans="1:20" ht="15" customHeight="1">
      <c r="A14" s="1021"/>
      <c r="B14" s="1021"/>
      <c r="C14" s="1021"/>
      <c r="D14" s="1021"/>
      <c r="E14" s="1021"/>
      <c r="F14" s="1021"/>
      <c r="G14" s="1021"/>
      <c r="H14" s="1021"/>
      <c r="I14" s="1021"/>
      <c r="J14" s="1021"/>
      <c r="K14" s="1021"/>
      <c r="L14" s="1021"/>
      <c r="M14" s="1021"/>
      <c r="N14" s="1021"/>
      <c r="O14" s="1021"/>
      <c r="P14" s="1021"/>
      <c r="Q14" s="1021"/>
      <c r="R14" s="1021"/>
      <c r="S14" s="1021"/>
      <c r="T14" s="1021"/>
    </row>
    <row r="15" spans="1:20" ht="15" customHeight="1">
      <c r="A15" s="1021" t="s">
        <v>309</v>
      </c>
      <c r="B15" s="1021"/>
      <c r="C15" s="1021"/>
      <c r="D15" s="1021"/>
      <c r="E15" s="1021"/>
      <c r="F15" s="1021"/>
      <c r="G15" s="1021"/>
      <c r="H15" s="1021"/>
      <c r="I15" s="1021"/>
      <c r="J15" s="1021"/>
      <c r="K15" s="1021"/>
      <c r="L15" s="1021"/>
      <c r="M15" s="1021"/>
      <c r="N15" s="1021"/>
      <c r="O15" s="1021"/>
      <c r="P15" s="1021"/>
      <c r="Q15" s="1021"/>
      <c r="R15" s="1021"/>
      <c r="S15" s="1021"/>
      <c r="T15" s="1021"/>
    </row>
    <row r="16" spans="1:20" ht="15" customHeight="1">
      <c r="A16" s="1021"/>
      <c r="B16" s="1021"/>
      <c r="C16" s="1021"/>
      <c r="D16" s="1021"/>
      <c r="E16" s="1021"/>
      <c r="F16" s="1021"/>
      <c r="G16" s="1021"/>
      <c r="H16" s="1021"/>
      <c r="I16" s="1021"/>
      <c r="J16" s="1021"/>
      <c r="K16" s="1021"/>
      <c r="L16" s="1021"/>
      <c r="M16" s="1021"/>
      <c r="N16" s="1021"/>
      <c r="O16" s="1021"/>
      <c r="P16" s="1021"/>
      <c r="Q16" s="1021"/>
      <c r="R16" s="1021"/>
      <c r="S16" s="1021"/>
      <c r="T16" s="1021"/>
    </row>
    <row r="17" spans="1:20" ht="15" customHeight="1">
      <c r="A17" s="1021"/>
      <c r="B17" s="1021"/>
      <c r="C17" s="1021"/>
      <c r="D17" s="1021"/>
      <c r="E17" s="1021"/>
      <c r="F17" s="1021"/>
      <c r="G17" s="1021"/>
      <c r="H17" s="1021"/>
      <c r="I17" s="1021"/>
      <c r="J17" s="1021"/>
      <c r="K17" s="1021"/>
      <c r="L17" s="1021"/>
      <c r="M17" s="1021"/>
      <c r="N17" s="1021"/>
      <c r="O17" s="1021"/>
      <c r="P17" s="1021"/>
      <c r="Q17" s="1021"/>
      <c r="R17" s="1021"/>
      <c r="S17" s="1021"/>
      <c r="T17" s="1021"/>
    </row>
    <row r="20" spans="1:20" ht="15" customHeight="1">
      <c r="B20" s="1022" t="str">
        <f>IF(【マスター】!C7="","",【マスター】!C7)</f>
        <v>デイサービスさくら亭</v>
      </c>
      <c r="C20" s="1022"/>
      <c r="D20" s="1022"/>
      <c r="E20" s="1022"/>
      <c r="F20" s="1022"/>
      <c r="G20" s="1022"/>
      <c r="H20" s="1022"/>
      <c r="I20" s="1022"/>
      <c r="J20" s="1022"/>
      <c r="K20" s="1022"/>
      <c r="L20" s="1022"/>
      <c r="M20" s="1022"/>
      <c r="N20" s="1022"/>
      <c r="O20" s="1022"/>
      <c r="P20" s="1022"/>
      <c r="Q20" s="1022"/>
      <c r="R20" s="1022"/>
      <c r="S20" s="1022"/>
      <c r="T20" s="39"/>
    </row>
    <row r="21" spans="1:20" ht="15" customHeight="1">
      <c r="A21" s="39"/>
      <c r="B21" s="1022"/>
      <c r="C21" s="1022"/>
      <c r="D21" s="1022"/>
      <c r="E21" s="1022"/>
      <c r="F21" s="1022"/>
      <c r="G21" s="1022"/>
      <c r="H21" s="1022"/>
      <c r="I21" s="1022"/>
      <c r="J21" s="1022"/>
      <c r="K21" s="1022"/>
      <c r="L21" s="1022"/>
      <c r="M21" s="1022"/>
      <c r="N21" s="1022"/>
      <c r="O21" s="1022"/>
      <c r="P21" s="1022"/>
      <c r="Q21" s="1022"/>
      <c r="R21" s="1022"/>
      <c r="S21" s="1022"/>
      <c r="T21" s="39"/>
    </row>
    <row r="22" spans="1:20" ht="15" customHeight="1">
      <c r="A22" s="39"/>
      <c r="B22" s="1022"/>
      <c r="C22" s="1022"/>
      <c r="D22" s="1022"/>
      <c r="E22" s="1022"/>
      <c r="F22" s="1022"/>
      <c r="G22" s="1022"/>
      <c r="H22" s="1022"/>
      <c r="I22" s="1022"/>
      <c r="J22" s="1022"/>
      <c r="K22" s="1022"/>
      <c r="L22" s="1022"/>
      <c r="M22" s="1022"/>
      <c r="N22" s="1022"/>
      <c r="O22" s="1022"/>
      <c r="P22" s="1022"/>
      <c r="Q22" s="1022"/>
      <c r="R22" s="1022"/>
      <c r="S22" s="1022"/>
      <c r="T22" s="39"/>
    </row>
    <row r="53" spans="1:20" ht="15" customHeight="1">
      <c r="A53" s="1023" t="str">
        <f>IF(【マスター】!C22="","",【マスター】!C22)</f>
        <v>株式会社ケアサポート</v>
      </c>
      <c r="B53" s="1023"/>
      <c r="C53" s="1023"/>
      <c r="D53" s="1023"/>
      <c r="E53" s="1023"/>
      <c r="F53" s="1023"/>
      <c r="G53" s="1023"/>
      <c r="H53" s="1023"/>
      <c r="I53" s="1023"/>
      <c r="J53" s="1023"/>
      <c r="K53" s="1023"/>
      <c r="L53" s="1023"/>
      <c r="M53" s="1023"/>
      <c r="N53" s="1023"/>
      <c r="O53" s="1023"/>
      <c r="P53" s="1023"/>
      <c r="Q53" s="1023"/>
      <c r="R53" s="1023"/>
      <c r="S53" s="1023"/>
      <c r="T53" s="1023"/>
    </row>
    <row r="56" spans="1:20" ht="15" customHeight="1">
      <c r="A56" s="1024" t="s">
        <v>721</v>
      </c>
      <c r="B56" s="1024"/>
      <c r="C56" s="1024"/>
      <c r="D56" s="1024"/>
      <c r="E56" s="1024"/>
      <c r="F56" s="1024"/>
      <c r="G56" s="1024"/>
      <c r="H56" s="1024"/>
      <c r="I56" s="1024"/>
      <c r="J56" s="1024"/>
      <c r="K56" s="1024"/>
      <c r="L56" s="1024"/>
      <c r="M56" s="1024"/>
      <c r="N56" s="1024"/>
      <c r="O56" s="1024"/>
      <c r="P56" s="1024"/>
      <c r="Q56" s="1024"/>
      <c r="R56" s="1024"/>
      <c r="S56" s="1024"/>
      <c r="T56" s="1024"/>
    </row>
    <row r="57" spans="1:20" ht="15" customHeight="1">
      <c r="A57" s="1024"/>
      <c r="B57" s="1024"/>
      <c r="C57" s="1024"/>
      <c r="D57" s="1024"/>
      <c r="E57" s="1024"/>
      <c r="F57" s="1024"/>
      <c r="G57" s="1024"/>
      <c r="H57" s="1024"/>
      <c r="I57" s="1024"/>
      <c r="J57" s="1024"/>
      <c r="K57" s="1024"/>
      <c r="L57" s="1024"/>
      <c r="M57" s="1024"/>
      <c r="N57" s="1024"/>
      <c r="O57" s="1024"/>
      <c r="P57" s="1024"/>
      <c r="Q57" s="1024"/>
      <c r="R57" s="1024"/>
      <c r="S57" s="1024"/>
      <c r="T57" s="1024"/>
    </row>
    <row r="58" spans="1:20" s="31" customFormat="1" ht="45" customHeight="1">
      <c r="A58" s="1013" t="str">
        <f>IF(【マスター】!B156="","　利用者                    （以下「甲」という。）と事業者 "&amp;【マスター】!C22&amp;"(以下「乙」という。）とは、地域密着型通所介護サービスの利用に関して次のとおり契約を結びます。","　利用者 "&amp;【マスター】!B156&amp;" （以下「甲」という。）と事業者 "&amp;【マスター】!C22&amp;"(以下「乙」という。）とは、地域密着型通所介護サービスの利用に関して次のとおり契約を結びます。")</f>
        <v>　利用者                    （以下「甲」という。）と事業者 株式会社ケアサポート(以下「乙」という。）とは、地域密着型通所介護サービスの利用に関して次のとおり契約を結びます。</v>
      </c>
      <c r="B58" s="1013"/>
      <c r="C58" s="1013"/>
      <c r="D58" s="1013"/>
      <c r="E58" s="1013"/>
      <c r="F58" s="1013"/>
      <c r="G58" s="1013"/>
      <c r="H58" s="1013"/>
      <c r="I58" s="1013"/>
      <c r="J58" s="1013"/>
      <c r="K58" s="1013"/>
      <c r="L58" s="1013"/>
      <c r="M58" s="1013"/>
      <c r="N58" s="1013"/>
      <c r="O58" s="1013"/>
      <c r="P58" s="1013"/>
      <c r="Q58" s="1013"/>
      <c r="R58" s="1013"/>
      <c r="S58" s="1013"/>
      <c r="T58" s="1013"/>
    </row>
    <row r="59" spans="1:20" s="31" customFormat="1" ht="15" customHeight="1"/>
    <row r="60" spans="1:20" s="31" customFormat="1" ht="15" customHeight="1">
      <c r="A60" s="31" t="s">
        <v>722</v>
      </c>
    </row>
    <row r="61" spans="1:20" s="31" customFormat="1" ht="60" customHeight="1">
      <c r="A61" s="31" t="s">
        <v>723</v>
      </c>
      <c r="C61" s="1013" t="s">
        <v>724</v>
      </c>
      <c r="D61" s="1013"/>
      <c r="E61" s="1013"/>
      <c r="F61" s="1013"/>
      <c r="G61" s="1013"/>
      <c r="H61" s="1013"/>
      <c r="I61" s="1013"/>
      <c r="J61" s="1013"/>
      <c r="K61" s="1013"/>
      <c r="L61" s="1013"/>
      <c r="M61" s="1013"/>
      <c r="N61" s="1013"/>
      <c r="O61" s="1013"/>
      <c r="P61" s="1013"/>
      <c r="Q61" s="1013"/>
      <c r="R61" s="1013"/>
      <c r="S61" s="1013"/>
      <c r="T61" s="1013"/>
    </row>
    <row r="62" spans="1:20" s="31" customFormat="1" ht="30" customHeight="1">
      <c r="B62" s="31" t="s">
        <v>725</v>
      </c>
      <c r="C62" s="1013" t="s">
        <v>726</v>
      </c>
      <c r="D62" s="1013"/>
      <c r="E62" s="1013"/>
      <c r="F62" s="1013"/>
      <c r="G62" s="1013"/>
      <c r="H62" s="1013"/>
      <c r="I62" s="1013"/>
      <c r="J62" s="1013"/>
      <c r="K62" s="1013"/>
      <c r="L62" s="1013"/>
      <c r="M62" s="1013"/>
      <c r="N62" s="1013"/>
      <c r="O62" s="1013"/>
      <c r="P62" s="1013"/>
      <c r="Q62" s="1013"/>
      <c r="R62" s="1013"/>
      <c r="S62" s="1013"/>
      <c r="T62" s="1013"/>
    </row>
    <row r="63" spans="1:20" s="31" customFormat="1" ht="15" customHeight="1"/>
    <row r="64" spans="1:20" s="31" customFormat="1" ht="15" customHeight="1">
      <c r="A64" s="31" t="s">
        <v>727</v>
      </c>
    </row>
    <row r="65" spans="1:21" s="31" customFormat="1" ht="15" customHeight="1">
      <c r="A65" s="31" t="s">
        <v>728</v>
      </c>
      <c r="C65" s="31" t="s">
        <v>729</v>
      </c>
      <c r="D65" s="33"/>
      <c r="E65" s="33"/>
      <c r="F65" s="33"/>
      <c r="G65" s="33"/>
      <c r="H65" s="33"/>
      <c r="I65" s="33"/>
      <c r="J65" s="33"/>
      <c r="K65" s="33"/>
      <c r="L65" s="33"/>
      <c r="M65" s="33"/>
      <c r="N65" s="33"/>
      <c r="O65" s="33"/>
      <c r="P65" s="33"/>
      <c r="Q65" s="33"/>
      <c r="R65" s="33"/>
      <c r="S65" s="33"/>
      <c r="T65" s="33"/>
    </row>
    <row r="66" spans="1:21" s="31" customFormat="1" ht="15" customHeight="1">
      <c r="D66" s="1025" t="s">
        <v>2036</v>
      </c>
      <c r="E66" s="1025"/>
      <c r="F66" s="1025"/>
      <c r="G66" s="1025"/>
      <c r="H66" s="1025"/>
      <c r="I66" s="1025"/>
      <c r="J66" s="31" t="s">
        <v>730</v>
      </c>
      <c r="K66" s="1013" t="s">
        <v>731</v>
      </c>
      <c r="L66" s="1013"/>
      <c r="M66" s="1013"/>
      <c r="N66" s="1013"/>
      <c r="O66" s="1013"/>
      <c r="P66" s="1013"/>
      <c r="Q66" s="1013"/>
      <c r="R66" s="1013"/>
      <c r="S66" s="1013"/>
      <c r="T66" s="33"/>
    </row>
    <row r="67" spans="1:21" s="31" customFormat="1" ht="15" customHeight="1">
      <c r="C67" s="33"/>
      <c r="D67" s="1026" t="s">
        <v>2030</v>
      </c>
      <c r="E67" s="1026"/>
      <c r="F67" s="1026"/>
      <c r="G67" s="1026"/>
      <c r="H67" s="1026"/>
      <c r="I67" s="1026"/>
      <c r="J67" s="33"/>
    </row>
    <row r="68" spans="1:21" s="31" customFormat="1" ht="45" customHeight="1">
      <c r="C68" s="1013" t="s">
        <v>732</v>
      </c>
      <c r="D68" s="1013"/>
      <c r="E68" s="1013"/>
      <c r="F68" s="1013"/>
      <c r="G68" s="1013"/>
      <c r="H68" s="1013"/>
      <c r="I68" s="1013"/>
      <c r="J68" s="1013"/>
      <c r="K68" s="1013"/>
      <c r="L68" s="1013"/>
      <c r="M68" s="1013"/>
      <c r="N68" s="1013"/>
      <c r="O68" s="1013"/>
      <c r="P68" s="1013"/>
      <c r="Q68" s="1013"/>
      <c r="R68" s="1013"/>
      <c r="S68" s="1013"/>
      <c r="T68" s="1013"/>
    </row>
    <row r="69" spans="1:21" s="31" customFormat="1" ht="60" customHeight="1">
      <c r="B69" s="31" t="s">
        <v>725</v>
      </c>
      <c r="C69" s="1013" t="s">
        <v>733</v>
      </c>
      <c r="D69" s="1013"/>
      <c r="E69" s="1013"/>
      <c r="F69" s="1013"/>
      <c r="G69" s="1013"/>
      <c r="H69" s="1013"/>
      <c r="I69" s="1013"/>
      <c r="J69" s="1013"/>
      <c r="K69" s="1013"/>
      <c r="L69" s="1013"/>
      <c r="M69" s="1013"/>
      <c r="N69" s="1013"/>
      <c r="O69" s="1013"/>
      <c r="P69" s="1013"/>
      <c r="Q69" s="1013"/>
      <c r="R69" s="1013"/>
      <c r="S69" s="1013"/>
      <c r="T69" s="1013"/>
    </row>
    <row r="70" spans="1:21" s="31" customFormat="1" ht="15" customHeight="1">
      <c r="C70" s="512"/>
      <c r="D70" s="512"/>
      <c r="E70" s="512"/>
      <c r="F70" s="512"/>
      <c r="G70" s="512"/>
      <c r="H70" s="512"/>
      <c r="I70" s="512"/>
      <c r="J70" s="512"/>
      <c r="K70" s="512"/>
      <c r="L70" s="512"/>
      <c r="M70" s="512"/>
      <c r="N70" s="512"/>
      <c r="O70" s="512"/>
      <c r="P70" s="512"/>
      <c r="Q70" s="512"/>
      <c r="R70" s="512"/>
      <c r="S70" s="512"/>
      <c r="T70" s="512"/>
    </row>
    <row r="71" spans="1:21" s="31" customFormat="1" ht="15" customHeight="1">
      <c r="A71" s="31" t="s">
        <v>734</v>
      </c>
    </row>
    <row r="72" spans="1:21" s="31" customFormat="1" ht="30" customHeight="1">
      <c r="A72" s="31" t="s">
        <v>735</v>
      </c>
      <c r="C72" s="1013" t="s">
        <v>736</v>
      </c>
      <c r="D72" s="1013"/>
      <c r="E72" s="1013"/>
      <c r="F72" s="1013"/>
      <c r="G72" s="1013"/>
      <c r="H72" s="1013"/>
      <c r="I72" s="1013"/>
      <c r="J72" s="1013"/>
      <c r="K72" s="1013"/>
      <c r="L72" s="1013"/>
      <c r="M72" s="1013"/>
      <c r="N72" s="1013"/>
      <c r="O72" s="1013"/>
      <c r="P72" s="1013"/>
      <c r="Q72" s="1013"/>
      <c r="R72" s="1013"/>
      <c r="S72" s="1013"/>
      <c r="T72" s="1013"/>
    </row>
    <row r="73" spans="1:21" s="31" customFormat="1" ht="15" customHeight="1"/>
    <row r="74" spans="1:21" s="31" customFormat="1" ht="15" customHeight="1">
      <c r="A74" s="31" t="s">
        <v>737</v>
      </c>
      <c r="U74" s="196"/>
    </row>
    <row r="75" spans="1:21" s="31" customFormat="1" ht="50.1" customHeight="1">
      <c r="A75" s="31" t="s">
        <v>738</v>
      </c>
      <c r="C75" s="1013" t="s">
        <v>739</v>
      </c>
      <c r="D75" s="1013"/>
      <c r="E75" s="1013"/>
      <c r="F75" s="1013"/>
      <c r="G75" s="1013"/>
      <c r="H75" s="1013"/>
      <c r="I75" s="1013"/>
      <c r="J75" s="1013"/>
      <c r="K75" s="1013"/>
      <c r="L75" s="1013"/>
      <c r="M75" s="1013"/>
      <c r="N75" s="1013"/>
      <c r="O75" s="1013"/>
      <c r="P75" s="1013"/>
      <c r="Q75" s="1013"/>
      <c r="R75" s="1013"/>
      <c r="S75" s="1013"/>
      <c r="T75" s="1013"/>
    </row>
    <row r="76" spans="1:21" s="31" customFormat="1" ht="30" customHeight="1">
      <c r="B76" s="31" t="s">
        <v>725</v>
      </c>
      <c r="C76" s="1013" t="s">
        <v>740</v>
      </c>
      <c r="D76" s="1013"/>
      <c r="E76" s="1013"/>
      <c r="F76" s="1013"/>
      <c r="G76" s="1013"/>
      <c r="H76" s="1013"/>
      <c r="I76" s="1013"/>
      <c r="J76" s="1013"/>
      <c r="K76" s="1013"/>
      <c r="L76" s="1013"/>
      <c r="M76" s="1013"/>
      <c r="N76" s="1013"/>
      <c r="O76" s="1013"/>
      <c r="P76" s="1013"/>
      <c r="Q76" s="1013"/>
      <c r="R76" s="1013"/>
      <c r="S76" s="1013"/>
      <c r="T76" s="1013"/>
    </row>
    <row r="77" spans="1:21" s="31" customFormat="1" ht="30" customHeight="1">
      <c r="B77" s="31" t="s">
        <v>741</v>
      </c>
      <c r="C77" s="1013" t="s">
        <v>742</v>
      </c>
      <c r="D77" s="1013"/>
      <c r="E77" s="1013"/>
      <c r="F77" s="1013"/>
      <c r="G77" s="1013"/>
      <c r="H77" s="1013"/>
      <c r="I77" s="1013"/>
      <c r="J77" s="1013"/>
      <c r="K77" s="1013"/>
      <c r="L77" s="1013"/>
      <c r="M77" s="1013"/>
      <c r="N77" s="1013"/>
      <c r="O77" s="1013"/>
      <c r="P77" s="1013"/>
      <c r="Q77" s="1013"/>
      <c r="R77" s="1013"/>
      <c r="S77" s="1013"/>
      <c r="T77" s="1013"/>
    </row>
    <row r="78" spans="1:21" s="31" customFormat="1" ht="30" customHeight="1">
      <c r="B78" s="31" t="s">
        <v>743</v>
      </c>
      <c r="C78" s="1013" t="s">
        <v>744</v>
      </c>
      <c r="D78" s="1013"/>
      <c r="E78" s="1013"/>
      <c r="F78" s="1013"/>
      <c r="G78" s="1013"/>
      <c r="H78" s="1013"/>
      <c r="I78" s="1013"/>
      <c r="J78" s="1013"/>
      <c r="K78" s="1013"/>
      <c r="L78" s="1013"/>
      <c r="M78" s="1013"/>
      <c r="N78" s="1013"/>
      <c r="O78" s="1013"/>
      <c r="P78" s="1013"/>
      <c r="Q78" s="1013"/>
      <c r="R78" s="1013"/>
      <c r="S78" s="1013"/>
      <c r="T78" s="1013"/>
    </row>
    <row r="79" spans="1:21" s="31" customFormat="1" ht="30" customHeight="1">
      <c r="B79" s="1027" t="s">
        <v>745</v>
      </c>
      <c r="C79" s="1027"/>
      <c r="D79" s="1013" t="s">
        <v>746</v>
      </c>
      <c r="E79" s="1013"/>
      <c r="F79" s="1013"/>
      <c r="G79" s="1013"/>
      <c r="H79" s="1013"/>
      <c r="I79" s="1013"/>
      <c r="J79" s="1013"/>
      <c r="K79" s="1013"/>
      <c r="L79" s="1013"/>
      <c r="M79" s="1013"/>
      <c r="N79" s="1013"/>
      <c r="O79" s="1013"/>
      <c r="P79" s="1013"/>
      <c r="Q79" s="1013"/>
      <c r="R79" s="1013"/>
      <c r="S79" s="1013"/>
      <c r="T79" s="1013"/>
    </row>
    <row r="80" spans="1:21" s="31" customFormat="1" ht="15" customHeight="1">
      <c r="B80" s="1014" t="s">
        <v>747</v>
      </c>
      <c r="C80" s="1014"/>
      <c r="D80" s="31" t="s">
        <v>748</v>
      </c>
    </row>
    <row r="81" spans="1:21" s="31" customFormat="1" ht="30" customHeight="1">
      <c r="B81" s="31" t="s">
        <v>749</v>
      </c>
      <c r="C81" s="1013" t="s">
        <v>750</v>
      </c>
      <c r="D81" s="1013"/>
      <c r="E81" s="1013"/>
      <c r="F81" s="1013"/>
      <c r="G81" s="1013"/>
      <c r="H81" s="1013"/>
      <c r="I81" s="1013"/>
      <c r="J81" s="1013"/>
      <c r="K81" s="1013"/>
      <c r="L81" s="1013"/>
      <c r="M81" s="1013"/>
      <c r="N81" s="1013"/>
      <c r="O81" s="1013"/>
      <c r="P81" s="1013"/>
      <c r="Q81" s="1013"/>
      <c r="R81" s="1013"/>
      <c r="S81" s="1013"/>
      <c r="T81" s="1013"/>
    </row>
    <row r="82" spans="1:21" s="31" customFormat="1" ht="30" customHeight="1">
      <c r="B82" s="31" t="s">
        <v>751</v>
      </c>
      <c r="C82" s="1013" t="s">
        <v>752</v>
      </c>
      <c r="D82" s="1013"/>
      <c r="E82" s="1013"/>
      <c r="F82" s="1013"/>
      <c r="G82" s="1013"/>
      <c r="H82" s="1013"/>
      <c r="I82" s="1013"/>
      <c r="J82" s="1013"/>
      <c r="K82" s="1013"/>
      <c r="L82" s="1013"/>
      <c r="M82" s="1013"/>
      <c r="N82" s="1013"/>
      <c r="O82" s="1013"/>
      <c r="P82" s="1013"/>
      <c r="Q82" s="1013"/>
      <c r="R82" s="1013"/>
      <c r="S82" s="1013"/>
      <c r="T82" s="1013"/>
    </row>
    <row r="83" spans="1:21" s="31" customFormat="1" ht="15" customHeight="1"/>
    <row r="84" spans="1:21" s="31" customFormat="1" ht="15" customHeight="1">
      <c r="A84" s="31" t="s">
        <v>753</v>
      </c>
    </row>
    <row r="85" spans="1:21" s="31" customFormat="1" ht="35.1" customHeight="1">
      <c r="A85" s="31" t="s">
        <v>754</v>
      </c>
      <c r="C85" s="1013" t="s">
        <v>755</v>
      </c>
      <c r="D85" s="1013"/>
      <c r="E85" s="1013"/>
      <c r="F85" s="1013"/>
      <c r="G85" s="1013"/>
      <c r="H85" s="1013"/>
      <c r="I85" s="1013"/>
      <c r="J85" s="1013"/>
      <c r="K85" s="1013"/>
      <c r="L85" s="1013"/>
      <c r="M85" s="1013"/>
      <c r="N85" s="1013"/>
      <c r="O85" s="1013"/>
      <c r="P85" s="1013"/>
      <c r="Q85" s="1013"/>
      <c r="R85" s="1013"/>
      <c r="S85" s="1013"/>
      <c r="T85" s="1013"/>
    </row>
    <row r="86" spans="1:21" s="31" customFormat="1" ht="45" customHeight="1">
      <c r="B86" s="31" t="s">
        <v>725</v>
      </c>
      <c r="C86" s="1013" t="s">
        <v>756</v>
      </c>
      <c r="D86" s="1013"/>
      <c r="E86" s="1013"/>
      <c r="F86" s="1013"/>
      <c r="G86" s="1013"/>
      <c r="H86" s="1013"/>
      <c r="I86" s="1013"/>
      <c r="J86" s="1013"/>
      <c r="K86" s="1013"/>
      <c r="L86" s="1013"/>
      <c r="M86" s="1013"/>
      <c r="N86" s="1013"/>
      <c r="O86" s="1013"/>
      <c r="P86" s="1013"/>
      <c r="Q86" s="1013"/>
      <c r="R86" s="1013"/>
      <c r="S86" s="1013"/>
      <c r="T86" s="1013"/>
    </row>
    <row r="87" spans="1:21" s="31" customFormat="1" ht="30" customHeight="1">
      <c r="B87" s="31" t="s">
        <v>741</v>
      </c>
      <c r="C87" s="1013" t="s">
        <v>757</v>
      </c>
      <c r="D87" s="1013"/>
      <c r="E87" s="1013"/>
      <c r="F87" s="1013"/>
      <c r="G87" s="1013"/>
      <c r="H87" s="1013"/>
      <c r="I87" s="1013"/>
      <c r="J87" s="1013"/>
      <c r="K87" s="1013"/>
      <c r="L87" s="1013"/>
      <c r="M87" s="1013"/>
      <c r="N87" s="1013"/>
      <c r="O87" s="1013"/>
      <c r="P87" s="1013"/>
      <c r="Q87" s="1013"/>
      <c r="R87" s="1013"/>
      <c r="S87" s="1013"/>
      <c r="T87" s="1013"/>
    </row>
    <row r="88" spans="1:21" s="31" customFormat="1" ht="45" customHeight="1">
      <c r="A88" s="298"/>
      <c r="B88" s="31" t="s">
        <v>743</v>
      </c>
      <c r="C88" s="1013" t="s">
        <v>758</v>
      </c>
      <c r="D88" s="1013"/>
      <c r="E88" s="1013"/>
      <c r="F88" s="1013"/>
      <c r="G88" s="1013"/>
      <c r="H88" s="1013"/>
      <c r="I88" s="1013"/>
      <c r="J88" s="1013"/>
      <c r="K88" s="1013"/>
      <c r="L88" s="1013"/>
      <c r="M88" s="1013"/>
      <c r="N88" s="1013"/>
      <c r="O88" s="1013"/>
      <c r="P88" s="1013"/>
      <c r="Q88" s="1013"/>
      <c r="R88" s="1013"/>
      <c r="S88" s="1013"/>
      <c r="T88" s="1013"/>
    </row>
    <row r="89" spans="1:21" s="31" customFormat="1" ht="15" customHeight="1">
      <c r="A89" s="298"/>
      <c r="C89" s="512"/>
      <c r="D89" s="512"/>
      <c r="E89" s="512"/>
      <c r="F89" s="512"/>
      <c r="G89" s="512"/>
      <c r="H89" s="512"/>
      <c r="I89" s="512"/>
      <c r="J89" s="512"/>
      <c r="K89" s="512"/>
      <c r="L89" s="512"/>
      <c r="M89" s="512"/>
      <c r="N89" s="512"/>
      <c r="O89" s="512"/>
      <c r="P89" s="512"/>
      <c r="Q89" s="512"/>
      <c r="R89" s="512"/>
      <c r="S89" s="512"/>
      <c r="T89" s="512"/>
    </row>
    <row r="90" spans="1:21" s="31" customFormat="1" ht="15" customHeight="1">
      <c r="A90" s="31" t="s">
        <v>759</v>
      </c>
    </row>
    <row r="91" spans="1:21" s="31" customFormat="1" ht="45" customHeight="1">
      <c r="A91" s="31" t="s">
        <v>760</v>
      </c>
      <c r="C91" s="1013" t="s">
        <v>761</v>
      </c>
      <c r="D91" s="1013"/>
      <c r="E91" s="1013"/>
      <c r="F91" s="1013"/>
      <c r="G91" s="1013"/>
      <c r="H91" s="1013"/>
      <c r="I91" s="1013"/>
      <c r="J91" s="1013"/>
      <c r="K91" s="1013"/>
      <c r="L91" s="1013"/>
      <c r="M91" s="1013"/>
      <c r="N91" s="1013"/>
      <c r="O91" s="1013"/>
      <c r="P91" s="1013"/>
      <c r="Q91" s="1013"/>
      <c r="R91" s="1013"/>
      <c r="S91" s="1013"/>
      <c r="T91" s="1013"/>
    </row>
    <row r="92" spans="1:21" s="31" customFormat="1" ht="35.1" customHeight="1">
      <c r="B92" s="31" t="s">
        <v>725</v>
      </c>
      <c r="C92" s="1013" t="s">
        <v>762</v>
      </c>
      <c r="D92" s="1013"/>
      <c r="E92" s="1013"/>
      <c r="F92" s="1013"/>
      <c r="G92" s="1013"/>
      <c r="H92" s="1013"/>
      <c r="I92" s="1013"/>
      <c r="J92" s="1013"/>
      <c r="K92" s="1013"/>
      <c r="L92" s="1013"/>
      <c r="M92" s="1013"/>
      <c r="N92" s="1013"/>
      <c r="O92" s="1013"/>
      <c r="P92" s="1013"/>
      <c r="Q92" s="1013"/>
      <c r="R92" s="1013"/>
      <c r="S92" s="1013"/>
      <c r="T92" s="1013"/>
      <c r="U92" s="196"/>
    </row>
    <row r="93" spans="1:21" s="31" customFormat="1" ht="15" customHeight="1">
      <c r="C93" s="512"/>
      <c r="D93" s="512"/>
      <c r="E93" s="512"/>
      <c r="F93" s="512"/>
      <c r="G93" s="512"/>
      <c r="H93" s="512"/>
      <c r="I93" s="512"/>
      <c r="J93" s="512"/>
      <c r="K93" s="512"/>
      <c r="L93" s="512"/>
      <c r="M93" s="512"/>
      <c r="N93" s="512"/>
      <c r="O93" s="512"/>
      <c r="P93" s="512"/>
      <c r="Q93" s="512"/>
      <c r="R93" s="512"/>
      <c r="S93" s="512"/>
      <c r="T93" s="512"/>
    </row>
    <row r="94" spans="1:21" s="31" customFormat="1" ht="15" customHeight="1">
      <c r="A94" s="31" t="s">
        <v>763</v>
      </c>
    </row>
    <row r="95" spans="1:21" s="31" customFormat="1" ht="30" customHeight="1">
      <c r="A95" s="31" t="s">
        <v>764</v>
      </c>
      <c r="C95" s="1013" t="s">
        <v>765</v>
      </c>
      <c r="D95" s="1013"/>
      <c r="E95" s="1013"/>
      <c r="F95" s="1013"/>
      <c r="G95" s="1013"/>
      <c r="H95" s="1013"/>
      <c r="I95" s="1013"/>
      <c r="J95" s="1013"/>
      <c r="K95" s="1013"/>
      <c r="L95" s="1013"/>
      <c r="M95" s="1013"/>
      <c r="N95" s="1013"/>
      <c r="O95" s="1013"/>
      <c r="P95" s="1013"/>
      <c r="Q95" s="1013"/>
      <c r="R95" s="1013"/>
      <c r="S95" s="1013"/>
      <c r="T95" s="1013"/>
    </row>
    <row r="96" spans="1:21" s="31" customFormat="1" ht="15" customHeight="1"/>
    <row r="97" spans="1:24" s="31" customFormat="1" ht="15" customHeight="1">
      <c r="A97" s="31" t="s">
        <v>766</v>
      </c>
    </row>
    <row r="98" spans="1:24" s="31" customFormat="1" ht="45" customHeight="1">
      <c r="A98" s="31" t="s">
        <v>767</v>
      </c>
      <c r="C98" s="1013" t="s">
        <v>768</v>
      </c>
      <c r="D98" s="1013"/>
      <c r="E98" s="1013"/>
      <c r="F98" s="1013"/>
      <c r="G98" s="1013"/>
      <c r="H98" s="1013"/>
      <c r="I98" s="1013"/>
      <c r="J98" s="1013"/>
      <c r="K98" s="1013"/>
      <c r="L98" s="1013"/>
      <c r="M98" s="1013"/>
      <c r="N98" s="1013"/>
      <c r="O98" s="1013"/>
      <c r="P98" s="1013"/>
      <c r="Q98" s="1013"/>
      <c r="R98" s="1013"/>
      <c r="S98" s="1013"/>
      <c r="T98" s="1013"/>
    </row>
    <row r="99" spans="1:24" s="31" customFormat="1" ht="30" customHeight="1">
      <c r="B99" s="31" t="s">
        <v>725</v>
      </c>
      <c r="C99" s="1013" t="s">
        <v>769</v>
      </c>
      <c r="D99" s="1013"/>
      <c r="E99" s="1013"/>
      <c r="F99" s="1013"/>
      <c r="G99" s="1013"/>
      <c r="H99" s="1013"/>
      <c r="I99" s="1013"/>
      <c r="J99" s="1013"/>
      <c r="K99" s="1013"/>
      <c r="L99" s="1013"/>
      <c r="M99" s="1013"/>
      <c r="N99" s="1013"/>
      <c r="O99" s="1013"/>
      <c r="P99" s="1013"/>
      <c r="Q99" s="1013"/>
      <c r="R99" s="1013"/>
      <c r="S99" s="1013"/>
      <c r="T99" s="1013"/>
    </row>
    <row r="100" spans="1:24" s="31" customFormat="1" ht="15" customHeight="1"/>
    <row r="101" spans="1:24" s="31" customFormat="1" ht="15" customHeight="1">
      <c r="A101" s="31" t="s">
        <v>770</v>
      </c>
      <c r="X101" s="196"/>
    </row>
    <row r="102" spans="1:24" s="31" customFormat="1" ht="15" customHeight="1">
      <c r="A102" s="31" t="s">
        <v>771</v>
      </c>
      <c r="C102" s="31" t="s">
        <v>772</v>
      </c>
      <c r="X102" s="196"/>
    </row>
    <row r="103" spans="1:24" s="31" customFormat="1" ht="15" customHeight="1">
      <c r="B103" s="1014" t="s">
        <v>745</v>
      </c>
      <c r="C103" s="1014"/>
      <c r="D103" s="31" t="s">
        <v>1935</v>
      </c>
      <c r="X103" s="196"/>
    </row>
    <row r="104" spans="1:24" s="31" customFormat="1" ht="15" customHeight="1">
      <c r="B104" s="1014" t="s">
        <v>934</v>
      </c>
      <c r="C104" s="1014"/>
      <c r="D104" s="31" t="s">
        <v>1927</v>
      </c>
      <c r="X104" s="196"/>
    </row>
    <row r="105" spans="1:24" s="31" customFormat="1" ht="15" customHeight="1">
      <c r="B105" s="1014" t="s">
        <v>936</v>
      </c>
      <c r="C105" s="1014"/>
      <c r="D105" s="31" t="s">
        <v>1928</v>
      </c>
      <c r="X105" s="196"/>
    </row>
    <row r="106" spans="1:24" s="31" customFormat="1" ht="15" customHeight="1">
      <c r="B106" s="1014" t="s">
        <v>960</v>
      </c>
      <c r="C106" s="1014"/>
      <c r="D106" s="31" t="s">
        <v>1929</v>
      </c>
      <c r="X106" s="196"/>
    </row>
    <row r="107" spans="1:24" s="31" customFormat="1" ht="15" customHeight="1">
      <c r="B107" s="1014" t="s">
        <v>826</v>
      </c>
      <c r="C107" s="1014"/>
      <c r="D107" s="1013" t="s">
        <v>1930</v>
      </c>
      <c r="E107" s="1013"/>
      <c r="F107" s="1013"/>
      <c r="G107" s="1013"/>
      <c r="H107" s="1013"/>
      <c r="X107" s="196"/>
    </row>
    <row r="108" spans="1:24" s="31" customFormat="1" ht="15" customHeight="1">
      <c r="B108" s="31" t="s">
        <v>725</v>
      </c>
      <c r="C108" s="1013" t="s">
        <v>1949</v>
      </c>
      <c r="D108" s="1013"/>
      <c r="E108" s="1013"/>
      <c r="F108" s="1013"/>
      <c r="G108" s="1013"/>
      <c r="H108" s="1013"/>
      <c r="I108" s="1013"/>
      <c r="J108" s="1013"/>
      <c r="K108" s="1013"/>
      <c r="L108" s="1013"/>
      <c r="M108" s="1013"/>
      <c r="N108" s="1013"/>
      <c r="O108" s="1013"/>
      <c r="P108" s="1013"/>
      <c r="Q108" s="1013"/>
      <c r="R108" s="1013"/>
      <c r="S108" s="1013"/>
      <c r="T108" s="1013"/>
      <c r="X108" s="196"/>
    </row>
    <row r="109" spans="1:24" s="31" customFormat="1" ht="15" customHeight="1">
      <c r="C109" s="1013"/>
      <c r="D109" s="1013"/>
      <c r="E109" s="1013"/>
      <c r="F109" s="1013"/>
      <c r="G109" s="1013"/>
      <c r="H109" s="1013"/>
      <c r="I109" s="1013"/>
      <c r="J109" s="1013"/>
      <c r="K109" s="1013"/>
      <c r="L109" s="1013"/>
      <c r="M109" s="1013"/>
      <c r="N109" s="1013"/>
      <c r="O109" s="1013"/>
      <c r="P109" s="1013"/>
      <c r="Q109" s="1013"/>
      <c r="R109" s="1013"/>
      <c r="S109" s="1013"/>
      <c r="T109" s="1013"/>
      <c r="X109" s="196"/>
    </row>
    <row r="110" spans="1:24" s="31" customFormat="1" ht="15" customHeight="1">
      <c r="C110" s="1013"/>
      <c r="D110" s="1013"/>
      <c r="E110" s="1013"/>
      <c r="F110" s="1013"/>
      <c r="G110" s="1013"/>
      <c r="H110" s="1013"/>
      <c r="I110" s="1013"/>
      <c r="J110" s="1013"/>
      <c r="K110" s="1013"/>
      <c r="L110" s="1013"/>
      <c r="M110" s="1013"/>
      <c r="N110" s="1013"/>
      <c r="O110" s="1013"/>
      <c r="P110" s="1013"/>
      <c r="Q110" s="1013"/>
      <c r="R110" s="1013"/>
      <c r="S110" s="1013"/>
      <c r="T110" s="1013"/>
      <c r="X110" s="196"/>
    </row>
    <row r="111" spans="1:24" s="31" customFormat="1" ht="15" customHeight="1">
      <c r="X111" s="196"/>
    </row>
    <row r="112" spans="1:24" s="31" customFormat="1" ht="15" customHeight="1">
      <c r="A112" s="31" t="s">
        <v>777</v>
      </c>
      <c r="X112" s="196"/>
    </row>
    <row r="113" spans="1:41" s="31" customFormat="1" ht="15" customHeight="1">
      <c r="A113" s="31" t="s">
        <v>778</v>
      </c>
      <c r="C113" s="1013" t="s">
        <v>779</v>
      </c>
      <c r="D113" s="1013"/>
      <c r="E113" s="1013"/>
      <c r="F113" s="1013"/>
      <c r="G113" s="1013"/>
      <c r="H113" s="1013"/>
      <c r="I113" s="1013"/>
      <c r="J113" s="1013"/>
      <c r="K113" s="1013"/>
      <c r="L113" s="1013"/>
      <c r="M113" s="1013"/>
      <c r="N113" s="1013"/>
      <c r="O113" s="1013"/>
      <c r="P113" s="1013"/>
      <c r="Q113" s="1013"/>
      <c r="R113" s="1013"/>
      <c r="S113" s="1013"/>
      <c r="T113" s="1013"/>
      <c r="X113" s="196"/>
    </row>
    <row r="114" spans="1:41" s="31" customFormat="1" ht="15" customHeight="1">
      <c r="C114" s="1013"/>
      <c r="D114" s="1013"/>
      <c r="E114" s="1013"/>
      <c r="F114" s="1013"/>
      <c r="G114" s="1013"/>
      <c r="H114" s="1013"/>
      <c r="I114" s="1013"/>
      <c r="J114" s="1013"/>
      <c r="K114" s="1013"/>
      <c r="L114" s="1013"/>
      <c r="M114" s="1013"/>
      <c r="N114" s="1013"/>
      <c r="O114" s="1013"/>
      <c r="P114" s="1013"/>
      <c r="Q114" s="1013"/>
      <c r="R114" s="1013"/>
      <c r="S114" s="1013"/>
      <c r="T114" s="1013"/>
      <c r="X114" s="196"/>
    </row>
    <row r="115" spans="1:41" s="31" customFormat="1" ht="15" customHeight="1">
      <c r="C115" s="1013"/>
      <c r="D115" s="1013"/>
      <c r="E115" s="1013"/>
      <c r="F115" s="1013"/>
      <c r="G115" s="1013"/>
      <c r="H115" s="1013"/>
      <c r="I115" s="1013"/>
      <c r="J115" s="1013"/>
      <c r="K115" s="1013"/>
      <c r="L115" s="1013"/>
      <c r="M115" s="1013"/>
      <c r="N115" s="1013"/>
      <c r="O115" s="1013"/>
      <c r="P115" s="1013"/>
      <c r="Q115" s="1013"/>
      <c r="R115" s="1013"/>
      <c r="S115" s="1013"/>
      <c r="T115" s="1013"/>
      <c r="X115" s="196"/>
    </row>
    <row r="116" spans="1:41" s="31" customFormat="1" ht="15" customHeight="1">
      <c r="B116" s="31" t="s">
        <v>725</v>
      </c>
      <c r="C116" s="1013" t="s">
        <v>1950</v>
      </c>
      <c r="D116" s="1013"/>
      <c r="E116" s="1013"/>
      <c r="F116" s="1013"/>
      <c r="G116" s="1013"/>
      <c r="H116" s="1013"/>
      <c r="I116" s="1013"/>
      <c r="J116" s="1013"/>
      <c r="K116" s="1013"/>
      <c r="L116" s="1013"/>
      <c r="M116" s="1013"/>
      <c r="N116" s="1013"/>
      <c r="O116" s="1013"/>
      <c r="P116" s="1013"/>
      <c r="Q116" s="1013"/>
      <c r="R116" s="1013"/>
      <c r="S116" s="1013"/>
      <c r="T116" s="1013"/>
      <c r="X116" s="196"/>
    </row>
    <row r="117" spans="1:41" s="31" customFormat="1" ht="15" customHeight="1">
      <c r="C117" s="1013"/>
      <c r="D117" s="1013"/>
      <c r="E117" s="1013"/>
      <c r="F117" s="1013"/>
      <c r="G117" s="1013"/>
      <c r="H117" s="1013"/>
      <c r="I117" s="1013"/>
      <c r="J117" s="1013"/>
      <c r="K117" s="1013"/>
      <c r="L117" s="1013"/>
      <c r="M117" s="1013"/>
      <c r="N117" s="1013"/>
      <c r="O117" s="1013"/>
      <c r="P117" s="1013"/>
      <c r="Q117" s="1013"/>
      <c r="R117" s="1013"/>
      <c r="S117" s="1013"/>
      <c r="T117" s="1013"/>
      <c r="X117" s="196"/>
    </row>
    <row r="118" spans="1:41" s="31" customFormat="1" ht="15" customHeight="1">
      <c r="C118" s="1013"/>
      <c r="D118" s="1013"/>
      <c r="E118" s="1013"/>
      <c r="F118" s="1013"/>
      <c r="G118" s="1013"/>
      <c r="H118" s="1013"/>
      <c r="I118" s="1013"/>
      <c r="J118" s="1013"/>
      <c r="K118" s="1013"/>
      <c r="L118" s="1013"/>
      <c r="M118" s="1013"/>
      <c r="N118" s="1013"/>
      <c r="O118" s="1013"/>
      <c r="P118" s="1013"/>
      <c r="Q118" s="1013"/>
      <c r="R118" s="1013"/>
      <c r="S118" s="1013"/>
      <c r="T118" s="1013"/>
      <c r="X118" s="196"/>
    </row>
    <row r="119" spans="1:41" s="31" customFormat="1" ht="15" customHeight="1">
      <c r="C119" s="1013"/>
      <c r="D119" s="1013"/>
      <c r="E119" s="1013"/>
      <c r="F119" s="1013"/>
      <c r="G119" s="1013"/>
      <c r="H119" s="1013"/>
      <c r="I119" s="1013"/>
      <c r="J119" s="1013"/>
      <c r="K119" s="1013"/>
      <c r="L119" s="1013"/>
      <c r="M119" s="1013"/>
      <c r="N119" s="1013"/>
      <c r="O119" s="1013"/>
      <c r="P119" s="1013"/>
      <c r="Q119" s="1013"/>
      <c r="R119" s="1013"/>
      <c r="S119" s="1013"/>
      <c r="T119" s="1013"/>
      <c r="X119" s="196"/>
    </row>
    <row r="120" spans="1:41" s="31" customFormat="1" ht="15" customHeight="1">
      <c r="A120" s="32"/>
      <c r="B120" s="31" t="s">
        <v>1440</v>
      </c>
      <c r="C120" s="1013" t="s">
        <v>1937</v>
      </c>
      <c r="D120" s="1013"/>
      <c r="E120" s="1013"/>
      <c r="F120" s="1013"/>
      <c r="G120" s="1013"/>
      <c r="H120" s="1013"/>
      <c r="I120" s="1013"/>
      <c r="J120" s="1013"/>
      <c r="K120" s="1013"/>
      <c r="L120" s="1013"/>
      <c r="M120" s="1013"/>
      <c r="N120" s="1013"/>
      <c r="O120" s="1013"/>
      <c r="P120" s="1013"/>
      <c r="Q120" s="1013"/>
      <c r="R120" s="1013"/>
      <c r="S120" s="1013"/>
      <c r="T120" s="1013"/>
    </row>
    <row r="121" spans="1:41" s="31" customFormat="1" ht="15" customHeight="1">
      <c r="B121" s="1014" t="s">
        <v>745</v>
      </c>
      <c r="C121" s="1014"/>
      <c r="D121" s="1017" t="s">
        <v>1938</v>
      </c>
      <c r="E121" s="1017"/>
      <c r="F121" s="1017"/>
      <c r="G121" s="1017"/>
      <c r="H121" s="1017"/>
      <c r="I121" s="1017"/>
      <c r="J121" s="1017"/>
      <c r="K121" s="1017"/>
      <c r="L121" s="1017"/>
      <c r="M121" s="1017"/>
      <c r="N121" s="1017"/>
      <c r="O121" s="1017"/>
      <c r="P121" s="1017"/>
      <c r="Q121" s="1017"/>
      <c r="R121" s="1017"/>
      <c r="S121" s="1017"/>
      <c r="T121" s="1017"/>
      <c r="U121" s="1017"/>
    </row>
    <row r="122" spans="1:41" s="31" customFormat="1" ht="15" customHeight="1">
      <c r="B122" s="1014" t="s">
        <v>934</v>
      </c>
      <c r="C122" s="1014"/>
      <c r="D122" s="1016" t="s">
        <v>1939</v>
      </c>
      <c r="E122" s="1016"/>
      <c r="F122" s="1016"/>
      <c r="G122" s="1016"/>
      <c r="H122" s="1016"/>
      <c r="I122" s="1016"/>
      <c r="J122" s="1016"/>
      <c r="K122" s="1016"/>
      <c r="L122" s="1016"/>
      <c r="M122" s="1016"/>
      <c r="N122" s="1016"/>
      <c r="O122" s="1016"/>
      <c r="P122" s="1016"/>
      <c r="Q122" s="1016"/>
      <c r="R122" s="1016"/>
      <c r="S122" s="1016"/>
      <c r="T122" s="1016"/>
      <c r="U122" s="1016"/>
    </row>
    <row r="123" spans="1:41" s="31" customFormat="1" ht="15" customHeight="1">
      <c r="B123" s="1014" t="s">
        <v>936</v>
      </c>
      <c r="C123" s="1014"/>
      <c r="D123" s="1016" t="s">
        <v>1940</v>
      </c>
      <c r="E123" s="1016"/>
      <c r="F123" s="1016"/>
      <c r="G123" s="1016"/>
      <c r="H123" s="1016"/>
      <c r="I123" s="1016"/>
      <c r="J123" s="1016"/>
      <c r="K123" s="1016"/>
      <c r="L123" s="1016"/>
      <c r="M123" s="1016"/>
      <c r="N123" s="1016"/>
      <c r="O123" s="1016"/>
      <c r="P123" s="1016"/>
      <c r="Q123" s="1016"/>
      <c r="R123" s="1016"/>
      <c r="S123" s="1016"/>
      <c r="T123" s="1016"/>
      <c r="U123" s="1016"/>
    </row>
    <row r="124" spans="1:41" s="31" customFormat="1" ht="15" customHeight="1">
      <c r="B124" s="1014" t="s">
        <v>960</v>
      </c>
      <c r="C124" s="1014"/>
      <c r="D124" s="1016" t="s">
        <v>1941</v>
      </c>
      <c r="E124" s="1016"/>
      <c r="F124" s="1016"/>
      <c r="G124" s="1016"/>
      <c r="H124" s="1016"/>
      <c r="I124" s="1016"/>
      <c r="J124" s="1016"/>
      <c r="K124" s="1016"/>
      <c r="L124" s="1016"/>
      <c r="M124" s="1016"/>
      <c r="N124" s="1016"/>
      <c r="O124" s="1016"/>
      <c r="P124" s="1016"/>
      <c r="Q124" s="1016"/>
      <c r="R124" s="1016"/>
      <c r="S124" s="1016"/>
      <c r="T124" s="1016"/>
      <c r="U124" s="1016"/>
    </row>
    <row r="125" spans="1:41" s="31" customFormat="1" ht="15" customHeight="1">
      <c r="X125" s="196"/>
    </row>
    <row r="126" spans="1:41" s="31" customFormat="1" ht="15" customHeight="1">
      <c r="A126" s="32" t="s">
        <v>1781</v>
      </c>
      <c r="B126" s="661"/>
      <c r="C126" s="661"/>
      <c r="D126" s="661"/>
      <c r="E126" s="661"/>
      <c r="F126" s="662"/>
      <c r="G126" s="662"/>
      <c r="H126" s="662"/>
      <c r="I126" s="662"/>
      <c r="J126" s="662"/>
      <c r="K126" s="662"/>
      <c r="L126" s="662"/>
      <c r="M126" s="662"/>
      <c r="N126" s="662"/>
      <c r="O126" s="662"/>
      <c r="P126" s="662"/>
      <c r="Q126" s="662"/>
      <c r="R126" s="662"/>
      <c r="S126" s="662"/>
      <c r="T126" s="73"/>
      <c r="U126" s="196"/>
      <c r="W126" s="196"/>
      <c r="X126" s="196"/>
      <c r="Y126" s="512"/>
      <c r="Z126" s="512"/>
      <c r="AM126" s="666" t="s">
        <v>1741</v>
      </c>
    </row>
    <row r="127" spans="1:41" s="31" customFormat="1" ht="30" customHeight="1">
      <c r="A127" s="31" t="s">
        <v>781</v>
      </c>
      <c r="C127" s="1018" t="s">
        <v>1782</v>
      </c>
      <c r="D127" s="1018"/>
      <c r="E127" s="1018"/>
      <c r="F127" s="1018"/>
      <c r="G127" s="1018"/>
      <c r="H127" s="1018"/>
      <c r="I127" s="1018"/>
      <c r="J127" s="1018"/>
      <c r="K127" s="1018"/>
      <c r="L127" s="1018"/>
      <c r="M127" s="1018"/>
      <c r="N127" s="1018"/>
      <c r="O127" s="1018"/>
      <c r="P127" s="1018"/>
      <c r="Q127" s="1018"/>
      <c r="R127" s="1018"/>
      <c r="S127" s="1018"/>
      <c r="T127" s="1018"/>
      <c r="U127" s="720"/>
      <c r="V127" s="196"/>
      <c r="W127" s="33"/>
      <c r="X127" s="33"/>
      <c r="Y127" s="33"/>
      <c r="Z127" s="33"/>
      <c r="AA127" s="33"/>
      <c r="AB127" s="33"/>
      <c r="AC127" s="33"/>
      <c r="AD127" s="33"/>
      <c r="AE127" s="33"/>
      <c r="AF127" s="33"/>
      <c r="AG127" s="33"/>
      <c r="AH127" s="33"/>
      <c r="AI127" s="33"/>
      <c r="AJ127" s="33"/>
      <c r="AK127" s="33"/>
      <c r="AL127" s="33"/>
      <c r="AM127" s="33"/>
      <c r="AN127" s="33"/>
      <c r="AO127" s="33"/>
    </row>
    <row r="128" spans="1:41" s="31" customFormat="1" ht="15" customHeight="1">
      <c r="A128" s="663"/>
      <c r="B128" s="717"/>
      <c r="C128" s="1018" t="s">
        <v>1832</v>
      </c>
      <c r="D128" s="1018"/>
      <c r="E128" s="1018"/>
      <c r="F128" s="1018"/>
      <c r="G128" s="1018"/>
      <c r="H128" s="1018"/>
      <c r="I128" s="1018"/>
      <c r="J128" s="1018"/>
      <c r="K128" s="1018"/>
      <c r="L128" s="1018"/>
      <c r="M128" s="1018"/>
      <c r="N128" s="1018"/>
      <c r="O128" s="1018"/>
      <c r="P128" s="1018"/>
      <c r="Q128" s="1018"/>
      <c r="R128" s="1018"/>
      <c r="S128" s="1018"/>
      <c r="T128" s="1018"/>
      <c r="V128" s="196"/>
      <c r="W128" s="33"/>
      <c r="X128" s="33"/>
      <c r="Y128" s="33"/>
      <c r="Z128" s="33"/>
      <c r="AA128" s="33"/>
      <c r="AB128" s="33"/>
      <c r="AC128" s="33"/>
      <c r="AD128" s="33"/>
      <c r="AE128" s="33"/>
      <c r="AF128" s="33"/>
      <c r="AG128" s="33"/>
      <c r="AH128" s="33"/>
      <c r="AI128" s="33"/>
      <c r="AJ128" s="33"/>
      <c r="AK128" s="33"/>
      <c r="AL128" s="33"/>
      <c r="AM128" s="33"/>
      <c r="AN128" s="33"/>
      <c r="AO128" s="33"/>
    </row>
    <row r="129" spans="1:41" s="31" customFormat="1" ht="15" customHeight="1">
      <c r="A129" s="663"/>
      <c r="B129" s="717"/>
      <c r="C129" s="1018"/>
      <c r="D129" s="1018"/>
      <c r="E129" s="1018"/>
      <c r="F129" s="1018"/>
      <c r="G129" s="1018"/>
      <c r="H129" s="1018"/>
      <c r="I129" s="1018"/>
      <c r="J129" s="1018"/>
      <c r="K129" s="1018"/>
      <c r="L129" s="1018"/>
      <c r="M129" s="1018"/>
      <c r="N129" s="1018"/>
      <c r="O129" s="1018"/>
      <c r="P129" s="1018"/>
      <c r="Q129" s="1018"/>
      <c r="R129" s="1018"/>
      <c r="S129" s="1018"/>
      <c r="T129" s="1018"/>
      <c r="V129" s="196"/>
      <c r="W129" s="33"/>
      <c r="X129" s="33"/>
      <c r="Y129" s="33"/>
      <c r="Z129" s="33"/>
      <c r="AA129" s="33"/>
      <c r="AB129" s="33"/>
      <c r="AC129" s="33"/>
      <c r="AD129" s="33"/>
      <c r="AE129" s="33"/>
      <c r="AF129" s="33"/>
      <c r="AG129" s="33"/>
      <c r="AH129" s="33"/>
      <c r="AI129" s="33"/>
      <c r="AJ129" s="33"/>
      <c r="AK129" s="33"/>
      <c r="AL129" s="33"/>
      <c r="AM129" s="33"/>
      <c r="AN129" s="33"/>
      <c r="AO129" s="33"/>
    </row>
    <row r="130" spans="1:41" s="31" customFormat="1" ht="15" customHeight="1">
      <c r="A130" s="663"/>
      <c r="C130" s="718" t="s">
        <v>1771</v>
      </c>
      <c r="D130" s="718"/>
      <c r="E130" s="718"/>
      <c r="F130" s="718"/>
      <c r="G130" s="718"/>
      <c r="H130" s="718"/>
      <c r="I130" s="718"/>
      <c r="J130" s="718"/>
      <c r="K130" s="718"/>
      <c r="L130" s="718"/>
      <c r="M130" s="718"/>
      <c r="N130" s="718"/>
      <c r="O130" s="718"/>
      <c r="P130" s="718"/>
      <c r="Q130" s="718"/>
      <c r="R130" s="718"/>
      <c r="S130" s="718"/>
      <c r="T130" s="713"/>
      <c r="V130" s="196"/>
    </row>
    <row r="131" spans="1:41" s="31" customFormat="1" ht="15" customHeight="1">
      <c r="A131" s="663"/>
      <c r="B131" s="719"/>
      <c r="C131" s="1018" t="s">
        <v>1772</v>
      </c>
      <c r="D131" s="1018"/>
      <c r="E131" s="1018"/>
      <c r="F131" s="1018"/>
      <c r="G131" s="1018"/>
      <c r="H131" s="1018"/>
      <c r="I131" s="1018"/>
      <c r="J131" s="1018"/>
      <c r="K131" s="1018"/>
      <c r="L131" s="1018"/>
      <c r="M131" s="1018"/>
      <c r="N131" s="1018"/>
      <c r="O131" s="1018"/>
      <c r="P131" s="1018"/>
      <c r="Q131" s="1018"/>
      <c r="R131" s="1018"/>
      <c r="S131" s="1018"/>
      <c r="T131" s="1018"/>
      <c r="V131" s="196"/>
      <c r="W131" s="33"/>
      <c r="X131" s="33"/>
      <c r="Y131" s="33"/>
      <c r="Z131" s="33"/>
      <c r="AA131" s="33"/>
      <c r="AB131" s="33"/>
      <c r="AC131" s="33"/>
      <c r="AD131" s="33"/>
      <c r="AE131" s="33"/>
      <c r="AF131" s="33"/>
      <c r="AG131" s="33"/>
      <c r="AH131" s="33"/>
      <c r="AI131" s="33"/>
      <c r="AJ131" s="33"/>
      <c r="AK131" s="33"/>
      <c r="AL131" s="33"/>
      <c r="AM131" s="33"/>
      <c r="AN131" s="33"/>
      <c r="AO131" s="33"/>
    </row>
    <row r="132" spans="1:41" s="31" customFormat="1" ht="15" customHeight="1">
      <c r="A132" s="663"/>
      <c r="B132" s="719"/>
      <c r="C132" s="1018"/>
      <c r="D132" s="1018"/>
      <c r="E132" s="1018"/>
      <c r="F132" s="1018"/>
      <c r="G132" s="1018"/>
      <c r="H132" s="1018"/>
      <c r="I132" s="1018"/>
      <c r="J132" s="1018"/>
      <c r="K132" s="1018"/>
      <c r="L132" s="1018"/>
      <c r="M132" s="1018"/>
      <c r="N132" s="1018"/>
      <c r="O132" s="1018"/>
      <c r="P132" s="1018"/>
      <c r="Q132" s="1018"/>
      <c r="R132" s="1018"/>
      <c r="S132" s="1018"/>
      <c r="T132" s="1018"/>
      <c r="V132" s="196"/>
      <c r="W132" s="33"/>
      <c r="X132" s="33"/>
      <c r="Y132" s="33"/>
      <c r="Z132" s="33"/>
      <c r="AA132" s="33"/>
      <c r="AB132" s="33"/>
      <c r="AC132" s="33"/>
      <c r="AD132" s="33"/>
      <c r="AE132" s="33"/>
      <c r="AF132" s="33"/>
      <c r="AG132" s="33"/>
      <c r="AH132" s="33"/>
      <c r="AI132" s="33"/>
      <c r="AJ132" s="33"/>
      <c r="AK132" s="33"/>
      <c r="AL132" s="33"/>
      <c r="AM132" s="33"/>
      <c r="AN132" s="33"/>
      <c r="AO132" s="33"/>
    </row>
    <row r="133" spans="1:41" s="31" customFormat="1" ht="15" customHeight="1">
      <c r="A133" s="663"/>
      <c r="B133" s="719"/>
      <c r="C133" s="1018" t="s">
        <v>1833</v>
      </c>
      <c r="D133" s="1019"/>
      <c r="E133" s="1019"/>
      <c r="F133" s="1019"/>
      <c r="G133" s="1019"/>
      <c r="H133" s="1019"/>
      <c r="I133" s="1019"/>
      <c r="J133" s="1019"/>
      <c r="K133" s="1019"/>
      <c r="L133" s="1019"/>
      <c r="M133" s="1019"/>
      <c r="N133" s="1019"/>
      <c r="O133" s="1019"/>
      <c r="P133" s="1019"/>
      <c r="Q133" s="1019"/>
      <c r="R133" s="1019"/>
      <c r="S133" s="1019"/>
      <c r="T133" s="1019"/>
      <c r="V133" s="196"/>
      <c r="W133" s="33"/>
      <c r="X133" s="33"/>
      <c r="Y133" s="33"/>
      <c r="Z133" s="33"/>
      <c r="AA133" s="33"/>
      <c r="AB133" s="33"/>
      <c r="AC133" s="33"/>
      <c r="AD133" s="33"/>
      <c r="AE133" s="33"/>
      <c r="AF133" s="33"/>
      <c r="AG133" s="33"/>
      <c r="AH133" s="33"/>
      <c r="AI133" s="33"/>
      <c r="AJ133" s="33"/>
      <c r="AK133" s="33"/>
      <c r="AL133" s="33"/>
      <c r="AM133" s="33"/>
      <c r="AN133" s="33"/>
      <c r="AO133" s="33"/>
    </row>
    <row r="134" spans="1:41" s="31" customFormat="1" ht="15" customHeight="1">
      <c r="A134" s="663"/>
      <c r="B134" s="719"/>
      <c r="C134" s="1019"/>
      <c r="D134" s="1019"/>
      <c r="E134" s="1019"/>
      <c r="F134" s="1019"/>
      <c r="G134" s="1019"/>
      <c r="H134" s="1019"/>
      <c r="I134" s="1019"/>
      <c r="J134" s="1019"/>
      <c r="K134" s="1019"/>
      <c r="L134" s="1019"/>
      <c r="M134" s="1019"/>
      <c r="N134" s="1019"/>
      <c r="O134" s="1019"/>
      <c r="P134" s="1019"/>
      <c r="Q134" s="1019"/>
      <c r="R134" s="1019"/>
      <c r="S134" s="1019"/>
      <c r="T134" s="1019"/>
      <c r="V134" s="196"/>
      <c r="W134" s="33"/>
      <c r="X134" s="33"/>
      <c r="Y134" s="33"/>
      <c r="Z134" s="33"/>
      <c r="AA134" s="33"/>
      <c r="AB134" s="33"/>
      <c r="AC134" s="33"/>
      <c r="AD134" s="33"/>
      <c r="AE134" s="33"/>
      <c r="AF134" s="33"/>
      <c r="AG134" s="33"/>
      <c r="AH134" s="33"/>
      <c r="AI134" s="33"/>
      <c r="AJ134" s="33"/>
      <c r="AK134" s="33"/>
      <c r="AL134" s="33"/>
      <c r="AM134" s="33"/>
      <c r="AN134" s="33"/>
      <c r="AO134" s="33"/>
    </row>
    <row r="135" spans="1:41" s="31" customFormat="1" ht="15" customHeight="1">
      <c r="A135" s="665"/>
      <c r="B135" s="718"/>
      <c r="C135" s="1018" t="s">
        <v>1783</v>
      </c>
      <c r="D135" s="1018"/>
      <c r="E135" s="1018"/>
      <c r="F135" s="1018"/>
      <c r="G135" s="1018"/>
      <c r="H135" s="1018"/>
      <c r="I135" s="1018"/>
      <c r="J135" s="1018"/>
      <c r="K135" s="1018"/>
      <c r="L135" s="1018"/>
      <c r="M135" s="1018"/>
      <c r="N135" s="1018"/>
      <c r="O135" s="1018"/>
      <c r="P135" s="1018"/>
      <c r="Q135" s="1018"/>
      <c r="R135" s="1018"/>
      <c r="S135" s="1018"/>
      <c r="T135" s="1018"/>
      <c r="V135" s="196"/>
      <c r="W135" s="33"/>
      <c r="X135" s="33"/>
      <c r="Y135" s="33"/>
      <c r="Z135" s="33"/>
      <c r="AA135" s="33"/>
      <c r="AB135" s="33"/>
      <c r="AC135" s="33"/>
      <c r="AD135" s="33"/>
      <c r="AE135" s="33"/>
      <c r="AF135" s="33"/>
      <c r="AG135" s="33"/>
      <c r="AH135" s="33"/>
      <c r="AI135" s="33"/>
      <c r="AJ135" s="33"/>
      <c r="AK135" s="33"/>
      <c r="AL135" s="33"/>
      <c r="AM135" s="33"/>
      <c r="AN135" s="33"/>
      <c r="AO135" s="33"/>
    </row>
    <row r="136" spans="1:41" s="31" customFormat="1" ht="15" customHeight="1">
      <c r="A136" s="665"/>
      <c r="B136" s="718"/>
      <c r="C136" s="1018"/>
      <c r="D136" s="1018"/>
      <c r="E136" s="1018"/>
      <c r="F136" s="1018"/>
      <c r="G136" s="1018"/>
      <c r="H136" s="1018"/>
      <c r="I136" s="1018"/>
      <c r="J136" s="1018"/>
      <c r="K136" s="1018"/>
      <c r="L136" s="1018"/>
      <c r="M136" s="1018"/>
      <c r="N136" s="1018"/>
      <c r="O136" s="1018"/>
      <c r="P136" s="1018"/>
      <c r="Q136" s="1018"/>
      <c r="R136" s="1018"/>
      <c r="S136" s="1018"/>
      <c r="T136" s="1018"/>
      <c r="V136" s="196"/>
      <c r="W136" s="33"/>
      <c r="X136" s="33"/>
      <c r="Y136" s="33"/>
      <c r="Z136" s="33"/>
      <c r="AA136" s="33"/>
      <c r="AB136" s="33"/>
      <c r="AC136" s="33"/>
      <c r="AD136" s="33"/>
      <c r="AE136" s="33"/>
      <c r="AF136" s="33"/>
      <c r="AG136" s="33"/>
      <c r="AH136" s="33"/>
      <c r="AI136" s="33"/>
      <c r="AJ136" s="33"/>
      <c r="AK136" s="33"/>
      <c r="AL136" s="33"/>
      <c r="AM136" s="33"/>
      <c r="AN136" s="33"/>
      <c r="AO136" s="33"/>
    </row>
    <row r="137" spans="1:41" s="31" customFormat="1" ht="15" customHeight="1">
      <c r="A137" s="32"/>
      <c r="B137" s="722" t="s">
        <v>725</v>
      </c>
      <c r="C137" s="1020" t="s">
        <v>1834</v>
      </c>
      <c r="D137" s="1020"/>
      <c r="E137" s="1020"/>
      <c r="F137" s="1020"/>
      <c r="G137" s="1020"/>
      <c r="H137" s="1020"/>
      <c r="I137" s="1020"/>
      <c r="J137" s="1020"/>
      <c r="K137" s="1020"/>
      <c r="L137" s="1020"/>
      <c r="M137" s="1020"/>
      <c r="N137" s="1020"/>
      <c r="O137" s="1020"/>
      <c r="P137" s="1020"/>
      <c r="Q137" s="1020"/>
      <c r="R137" s="1020"/>
      <c r="S137" s="1020"/>
      <c r="T137" s="1020"/>
      <c r="W137" s="196"/>
      <c r="X137" s="196"/>
      <c r="Y137" s="512"/>
      <c r="Z137" s="512"/>
    </row>
    <row r="138" spans="1:41" s="31" customFormat="1" ht="15" customHeight="1">
      <c r="A138" s="32"/>
      <c r="B138" s="722"/>
      <c r="C138" s="1020"/>
      <c r="D138" s="1020"/>
      <c r="E138" s="1020"/>
      <c r="F138" s="1020"/>
      <c r="G138" s="1020"/>
      <c r="H138" s="1020"/>
      <c r="I138" s="1020"/>
      <c r="J138" s="1020"/>
      <c r="K138" s="1020"/>
      <c r="L138" s="1020"/>
      <c r="M138" s="1020"/>
      <c r="N138" s="1020"/>
      <c r="O138" s="1020"/>
      <c r="P138" s="1020"/>
      <c r="Q138" s="1020"/>
      <c r="R138" s="1020"/>
      <c r="S138" s="1020"/>
      <c r="T138" s="1020"/>
      <c r="W138" s="196"/>
      <c r="X138" s="196"/>
      <c r="Y138" s="512"/>
      <c r="Z138" s="512"/>
    </row>
    <row r="139" spans="1:41" s="31" customFormat="1" ht="15" customHeight="1">
      <c r="A139" s="32"/>
      <c r="B139" s="722" t="s">
        <v>741</v>
      </c>
      <c r="C139" s="1020" t="s">
        <v>1787</v>
      </c>
      <c r="D139" s="1020"/>
      <c r="E139" s="1020"/>
      <c r="F139" s="1020"/>
      <c r="G139" s="1020"/>
      <c r="H139" s="1020"/>
      <c r="I139" s="1020"/>
      <c r="J139" s="1020"/>
      <c r="K139" s="1020"/>
      <c r="L139" s="1020"/>
      <c r="M139" s="1020"/>
      <c r="N139" s="1020"/>
      <c r="O139" s="1020"/>
      <c r="P139" s="1020"/>
      <c r="Q139" s="1020"/>
      <c r="R139" s="1020"/>
      <c r="S139" s="1020"/>
      <c r="T139" s="1020"/>
      <c r="W139" s="196"/>
      <c r="X139" s="196"/>
      <c r="Y139" s="512"/>
      <c r="Z139" s="512"/>
    </row>
    <row r="140" spans="1:41" s="31" customFormat="1" ht="15" customHeight="1">
      <c r="A140" s="32"/>
      <c r="B140" s="722"/>
      <c r="C140" s="1020"/>
      <c r="D140" s="1020"/>
      <c r="E140" s="1020"/>
      <c r="F140" s="1020"/>
      <c r="G140" s="1020"/>
      <c r="H140" s="1020"/>
      <c r="I140" s="1020"/>
      <c r="J140" s="1020"/>
      <c r="K140" s="1020"/>
      <c r="L140" s="1020"/>
      <c r="M140" s="1020"/>
      <c r="N140" s="1020"/>
      <c r="O140" s="1020"/>
      <c r="P140" s="1020"/>
      <c r="Q140" s="1020"/>
      <c r="R140" s="1020"/>
      <c r="S140" s="1020"/>
      <c r="T140" s="1020"/>
      <c r="W140" s="196"/>
      <c r="X140" s="196"/>
      <c r="Y140" s="512"/>
      <c r="Z140" s="512"/>
    </row>
    <row r="141" spans="1:41" s="31" customFormat="1" ht="15" customHeight="1">
      <c r="A141" s="32"/>
      <c r="B141" s="722"/>
      <c r="C141" s="1020"/>
      <c r="D141" s="1020"/>
      <c r="E141" s="1020"/>
      <c r="F141" s="1020"/>
      <c r="G141" s="1020"/>
      <c r="H141" s="1020"/>
      <c r="I141" s="1020"/>
      <c r="J141" s="1020"/>
      <c r="K141" s="1020"/>
      <c r="L141" s="1020"/>
      <c r="M141" s="1020"/>
      <c r="N141" s="1020"/>
      <c r="O141" s="1020"/>
      <c r="P141" s="1020"/>
      <c r="Q141" s="1020"/>
      <c r="R141" s="1020"/>
      <c r="S141" s="1020"/>
      <c r="T141" s="1020"/>
      <c r="W141" s="196"/>
      <c r="X141" s="196"/>
      <c r="Y141" s="512"/>
      <c r="Z141" s="512"/>
    </row>
    <row r="142" spans="1:41" s="31" customFormat="1" ht="15" customHeight="1">
      <c r="A142" s="665"/>
      <c r="B142" s="722" t="s">
        <v>743</v>
      </c>
      <c r="C142" s="1018" t="s">
        <v>1788</v>
      </c>
      <c r="D142" s="1018"/>
      <c r="E142" s="1018"/>
      <c r="F142" s="1018"/>
      <c r="G142" s="1018"/>
      <c r="H142" s="1018"/>
      <c r="I142" s="1018"/>
      <c r="J142" s="1018"/>
      <c r="K142" s="1018"/>
      <c r="L142" s="1018"/>
      <c r="M142" s="1018"/>
      <c r="N142" s="1018"/>
      <c r="O142" s="1018"/>
      <c r="P142" s="1018"/>
      <c r="Q142" s="1018"/>
      <c r="R142" s="1018"/>
      <c r="S142" s="1018"/>
      <c r="T142" s="1018"/>
      <c r="V142" s="196"/>
      <c r="W142" s="33"/>
      <c r="X142" s="33"/>
      <c r="Y142" s="33"/>
      <c r="Z142" s="33"/>
      <c r="AA142" s="33"/>
      <c r="AB142" s="33"/>
      <c r="AC142" s="33"/>
      <c r="AD142" s="33"/>
      <c r="AE142" s="33"/>
      <c r="AF142" s="33"/>
      <c r="AG142" s="33"/>
      <c r="AH142" s="33"/>
      <c r="AI142" s="33"/>
      <c r="AJ142" s="33"/>
      <c r="AK142" s="33"/>
      <c r="AL142" s="33"/>
      <c r="AM142" s="33"/>
      <c r="AN142" s="33"/>
      <c r="AO142" s="33"/>
    </row>
    <row r="143" spans="1:41" s="31" customFormat="1" ht="15" customHeight="1">
      <c r="A143" s="665"/>
      <c r="B143" s="718"/>
      <c r="C143" s="1018"/>
      <c r="D143" s="1018"/>
      <c r="E143" s="1018"/>
      <c r="F143" s="1018"/>
      <c r="G143" s="1018"/>
      <c r="H143" s="1018"/>
      <c r="I143" s="1018"/>
      <c r="J143" s="1018"/>
      <c r="K143" s="1018"/>
      <c r="L143" s="1018"/>
      <c r="M143" s="1018"/>
      <c r="N143" s="1018"/>
      <c r="O143" s="1018"/>
      <c r="P143" s="1018"/>
      <c r="Q143" s="1018"/>
      <c r="R143" s="1018"/>
      <c r="S143" s="1018"/>
      <c r="T143" s="1018"/>
      <c r="V143" s="196"/>
      <c r="W143" s="33"/>
      <c r="X143" s="33"/>
      <c r="Y143" s="33"/>
      <c r="Z143" s="33"/>
      <c r="AA143" s="33"/>
      <c r="AB143" s="33"/>
      <c r="AC143" s="33"/>
      <c r="AD143" s="33"/>
      <c r="AE143" s="33"/>
      <c r="AF143" s="33"/>
      <c r="AG143" s="33"/>
      <c r="AH143" s="33"/>
      <c r="AI143" s="33"/>
      <c r="AJ143" s="33"/>
      <c r="AK143" s="33"/>
      <c r="AL143" s="33"/>
      <c r="AM143" s="33"/>
      <c r="AN143" s="33"/>
      <c r="AO143" s="33"/>
    </row>
    <row r="144" spans="1:41" s="31" customFormat="1" ht="15" customHeight="1">
      <c r="A144" s="665"/>
      <c r="B144" s="718"/>
      <c r="C144" s="718"/>
      <c r="D144" s="718"/>
      <c r="E144" s="718"/>
      <c r="F144" s="718"/>
      <c r="G144" s="718"/>
      <c r="H144" s="718"/>
      <c r="I144" s="718"/>
      <c r="J144" s="718"/>
      <c r="K144" s="718"/>
      <c r="L144" s="718"/>
      <c r="M144" s="718"/>
      <c r="N144" s="718"/>
      <c r="O144" s="718"/>
      <c r="P144" s="718"/>
      <c r="Q144" s="718"/>
      <c r="R144" s="718"/>
      <c r="S144" s="718"/>
      <c r="T144" s="713"/>
      <c r="V144" s="196"/>
      <c r="W144" s="33"/>
      <c r="X144" s="33"/>
      <c r="Y144" s="33"/>
      <c r="Z144" s="33"/>
      <c r="AA144" s="33"/>
      <c r="AB144" s="33"/>
      <c r="AC144" s="33"/>
      <c r="AD144" s="33"/>
      <c r="AE144" s="33"/>
      <c r="AF144" s="33"/>
      <c r="AG144" s="33"/>
      <c r="AH144" s="33"/>
      <c r="AI144" s="33"/>
      <c r="AJ144" s="33"/>
      <c r="AK144" s="33"/>
      <c r="AL144" s="33"/>
      <c r="AM144" s="33"/>
      <c r="AN144" s="33"/>
      <c r="AO144" s="33"/>
    </row>
    <row r="145" spans="1:20" s="31" customFormat="1" ht="15" customHeight="1">
      <c r="A145" s="31" t="s">
        <v>780</v>
      </c>
    </row>
    <row r="146" spans="1:20" s="31" customFormat="1" ht="45" customHeight="1">
      <c r="A146" s="31" t="s">
        <v>784</v>
      </c>
      <c r="C146" s="1013" t="s">
        <v>782</v>
      </c>
      <c r="D146" s="1013"/>
      <c r="E146" s="1013"/>
      <c r="F146" s="1013"/>
      <c r="G146" s="1013"/>
      <c r="H146" s="1013"/>
      <c r="I146" s="1013"/>
      <c r="J146" s="1013"/>
      <c r="K146" s="1013"/>
      <c r="L146" s="1013"/>
      <c r="M146" s="1013"/>
      <c r="N146" s="1013"/>
      <c r="O146" s="1013"/>
      <c r="P146" s="1013"/>
      <c r="Q146" s="1013"/>
      <c r="R146" s="1013"/>
      <c r="S146" s="1013"/>
      <c r="T146" s="1013"/>
    </row>
    <row r="147" spans="1:20" s="31" customFormat="1" ht="15" customHeight="1"/>
    <row r="148" spans="1:20" s="31" customFormat="1" ht="15" customHeight="1">
      <c r="A148" s="31" t="s">
        <v>783</v>
      </c>
    </row>
    <row r="149" spans="1:20" s="31" customFormat="1" ht="30" customHeight="1">
      <c r="A149" s="31" t="s">
        <v>804</v>
      </c>
      <c r="C149" s="1013" t="s">
        <v>785</v>
      </c>
      <c r="D149" s="1013"/>
      <c r="E149" s="1013"/>
      <c r="F149" s="1013"/>
      <c r="G149" s="1013"/>
      <c r="H149" s="1013"/>
      <c r="I149" s="1013"/>
      <c r="J149" s="1013"/>
      <c r="K149" s="1013"/>
      <c r="L149" s="1013"/>
      <c r="M149" s="1013"/>
      <c r="N149" s="1013"/>
      <c r="O149" s="1013"/>
      <c r="P149" s="1013"/>
      <c r="Q149" s="1013"/>
      <c r="R149" s="1013"/>
      <c r="S149" s="1013"/>
      <c r="T149" s="1013"/>
    </row>
    <row r="150" spans="1:20" s="31" customFormat="1" ht="30" customHeight="1">
      <c r="B150" s="31" t="s">
        <v>725</v>
      </c>
      <c r="C150" s="1013" t="s">
        <v>786</v>
      </c>
      <c r="D150" s="1013"/>
      <c r="E150" s="1013"/>
      <c r="F150" s="1013"/>
      <c r="G150" s="1013"/>
      <c r="H150" s="1013"/>
      <c r="I150" s="1013"/>
      <c r="J150" s="1013"/>
      <c r="K150" s="1013"/>
      <c r="L150" s="1013"/>
      <c r="M150" s="1013"/>
      <c r="N150" s="1013"/>
      <c r="O150" s="1013"/>
      <c r="P150" s="1013"/>
      <c r="Q150" s="1013"/>
      <c r="R150" s="1013"/>
      <c r="S150" s="1013"/>
      <c r="T150" s="1013"/>
    </row>
    <row r="151" spans="1:20" s="31" customFormat="1" ht="15" customHeight="1">
      <c r="B151" s="31" t="s">
        <v>741</v>
      </c>
      <c r="C151" s="1013" t="s">
        <v>787</v>
      </c>
      <c r="D151" s="1013"/>
      <c r="E151" s="1013"/>
      <c r="F151" s="1013"/>
      <c r="G151" s="1013"/>
      <c r="H151" s="1013"/>
      <c r="I151" s="1013"/>
      <c r="J151" s="1013"/>
      <c r="K151" s="1013"/>
      <c r="L151" s="1013"/>
      <c r="M151" s="1013"/>
      <c r="N151" s="1013"/>
      <c r="O151" s="1013"/>
      <c r="P151" s="1013"/>
      <c r="Q151" s="1013"/>
      <c r="R151" s="1013"/>
      <c r="S151" s="1013"/>
      <c r="T151" s="1013"/>
    </row>
    <row r="152" spans="1:20" s="31" customFormat="1" ht="15" customHeight="1">
      <c r="C152" s="1013"/>
      <c r="D152" s="1013"/>
      <c r="E152" s="1013"/>
      <c r="F152" s="1013"/>
      <c r="G152" s="1013"/>
      <c r="H152" s="1013"/>
      <c r="I152" s="1013"/>
      <c r="J152" s="1013"/>
      <c r="K152" s="1013"/>
      <c r="L152" s="1013"/>
      <c r="M152" s="1013"/>
      <c r="N152" s="1013"/>
      <c r="O152" s="1013"/>
      <c r="P152" s="1013"/>
      <c r="Q152" s="1013"/>
      <c r="R152" s="1013"/>
      <c r="S152" s="1013"/>
      <c r="T152" s="1013"/>
    </row>
    <row r="153" spans="1:20" s="31" customFormat="1" ht="15" customHeight="1">
      <c r="C153" s="1013"/>
      <c r="D153" s="1013"/>
      <c r="E153" s="1013"/>
      <c r="F153" s="1013"/>
      <c r="G153" s="1013"/>
      <c r="H153" s="1013"/>
      <c r="I153" s="1013"/>
      <c r="J153" s="1013"/>
      <c r="K153" s="1013"/>
      <c r="L153" s="1013"/>
      <c r="M153" s="1013"/>
      <c r="N153" s="1013"/>
      <c r="O153" s="1013"/>
      <c r="P153" s="1013"/>
      <c r="Q153" s="1013"/>
      <c r="R153" s="1013"/>
      <c r="S153" s="1013"/>
      <c r="T153" s="1013"/>
    </row>
    <row r="154" spans="1:20" s="31" customFormat="1" ht="30" customHeight="1">
      <c r="B154" s="31" t="s">
        <v>743</v>
      </c>
      <c r="C154" s="1013" t="s">
        <v>788</v>
      </c>
      <c r="D154" s="1013"/>
      <c r="E154" s="1013"/>
      <c r="F154" s="1013"/>
      <c r="G154" s="1013"/>
      <c r="H154" s="1013"/>
      <c r="I154" s="1013"/>
      <c r="J154" s="1013"/>
      <c r="K154" s="1013"/>
      <c r="L154" s="1013"/>
      <c r="M154" s="1013"/>
      <c r="N154" s="1013"/>
      <c r="O154" s="1013"/>
      <c r="P154" s="1013"/>
      <c r="Q154" s="1013"/>
      <c r="R154" s="1013"/>
      <c r="S154" s="1013"/>
      <c r="T154" s="1013"/>
    </row>
    <row r="155" spans="1:20" s="31" customFormat="1" ht="30" customHeight="1">
      <c r="B155" s="1014" t="s">
        <v>745</v>
      </c>
      <c r="C155" s="1014"/>
      <c r="D155" s="1013" t="s">
        <v>789</v>
      </c>
      <c r="E155" s="1013"/>
      <c r="F155" s="1013"/>
      <c r="G155" s="1013"/>
      <c r="H155" s="1013"/>
      <c r="I155" s="1013"/>
      <c r="J155" s="1013"/>
      <c r="K155" s="1013"/>
      <c r="L155" s="1013"/>
      <c r="M155" s="1013"/>
      <c r="N155" s="1013"/>
      <c r="O155" s="1013"/>
      <c r="P155" s="1013"/>
      <c r="Q155" s="1013"/>
      <c r="R155" s="1013"/>
      <c r="S155" s="1013"/>
      <c r="T155" s="1013"/>
    </row>
    <row r="156" spans="1:20" s="31" customFormat="1" ht="15" customHeight="1">
      <c r="B156" s="1014" t="s">
        <v>747</v>
      </c>
      <c r="C156" s="1014"/>
      <c r="D156" s="31" t="s">
        <v>790</v>
      </c>
    </row>
    <row r="157" spans="1:20" s="31" customFormat="1" ht="15" customHeight="1">
      <c r="B157" s="1014" t="s">
        <v>775</v>
      </c>
      <c r="C157" s="1014"/>
      <c r="D157" s="31" t="s">
        <v>791</v>
      </c>
    </row>
    <row r="158" spans="1:20" s="31" customFormat="1" ht="15" customHeight="1">
      <c r="B158" s="1014" t="s">
        <v>792</v>
      </c>
      <c r="C158" s="1014"/>
      <c r="D158" s="31" t="s">
        <v>793</v>
      </c>
    </row>
    <row r="159" spans="1:20" s="31" customFormat="1" ht="45" customHeight="1">
      <c r="C159" s="40"/>
      <c r="D159" s="1013" t="s">
        <v>794</v>
      </c>
      <c r="E159" s="1013"/>
      <c r="F159" s="1013"/>
      <c r="G159" s="1013"/>
      <c r="H159" s="1013"/>
      <c r="I159" s="1013"/>
      <c r="J159" s="1013"/>
      <c r="K159" s="1013"/>
      <c r="L159" s="1013"/>
      <c r="M159" s="1013"/>
      <c r="N159" s="1013"/>
      <c r="O159" s="1013"/>
      <c r="P159" s="1013"/>
      <c r="Q159" s="1013"/>
      <c r="R159" s="1013"/>
      <c r="S159" s="1013"/>
      <c r="T159" s="1013"/>
    </row>
    <row r="160" spans="1:20" s="31" customFormat="1" ht="45" customHeight="1">
      <c r="B160" s="31" t="s">
        <v>749</v>
      </c>
      <c r="C160" s="1013" t="s">
        <v>795</v>
      </c>
      <c r="D160" s="1013"/>
      <c r="E160" s="1013"/>
      <c r="F160" s="1013"/>
      <c r="G160" s="1013"/>
      <c r="H160" s="1013"/>
      <c r="I160" s="1013"/>
      <c r="J160" s="1013"/>
      <c r="K160" s="1013"/>
      <c r="L160" s="1013"/>
      <c r="M160" s="1013"/>
      <c r="N160" s="1013"/>
      <c r="O160" s="1013"/>
      <c r="P160" s="1013"/>
      <c r="Q160" s="1013"/>
      <c r="R160" s="1013"/>
      <c r="S160" s="1013"/>
      <c r="T160" s="1013"/>
    </row>
    <row r="161" spans="1:20" s="31" customFormat="1" ht="30" customHeight="1">
      <c r="B161" s="31" t="s">
        <v>751</v>
      </c>
      <c r="C161" s="1013" t="s">
        <v>796</v>
      </c>
      <c r="D161" s="1013"/>
      <c r="E161" s="1013"/>
      <c r="F161" s="1013"/>
      <c r="G161" s="1013"/>
      <c r="H161" s="1013"/>
      <c r="I161" s="1013"/>
      <c r="J161" s="1013"/>
      <c r="K161" s="1013"/>
      <c r="L161" s="1013"/>
      <c r="M161" s="1013"/>
      <c r="N161" s="1013"/>
      <c r="O161" s="1013"/>
      <c r="P161" s="1013"/>
      <c r="Q161" s="1013"/>
      <c r="R161" s="1013"/>
      <c r="S161" s="1013"/>
      <c r="T161" s="1013"/>
    </row>
    <row r="162" spans="1:20" s="31" customFormat="1" ht="45" customHeight="1">
      <c r="B162" s="31" t="s">
        <v>797</v>
      </c>
      <c r="C162" s="1013" t="s">
        <v>798</v>
      </c>
      <c r="D162" s="1013"/>
      <c r="E162" s="1013"/>
      <c r="F162" s="1013"/>
      <c r="G162" s="1013"/>
      <c r="H162" s="1013"/>
      <c r="I162" s="1013"/>
      <c r="J162" s="1013"/>
      <c r="K162" s="1013"/>
      <c r="L162" s="1013"/>
      <c r="M162" s="1013"/>
      <c r="N162" s="1013"/>
      <c r="O162" s="1013"/>
      <c r="P162" s="1013"/>
      <c r="Q162" s="1013"/>
      <c r="R162" s="1013"/>
      <c r="S162" s="1013"/>
      <c r="T162" s="1013"/>
    </row>
    <row r="163" spans="1:20" s="31" customFormat="1" ht="30" customHeight="1">
      <c r="B163" s="31" t="s">
        <v>799</v>
      </c>
      <c r="C163" s="1013" t="s">
        <v>800</v>
      </c>
      <c r="D163" s="1013"/>
      <c r="E163" s="1013"/>
      <c r="F163" s="1013"/>
      <c r="G163" s="1013"/>
      <c r="H163" s="1013"/>
      <c r="I163" s="1013"/>
      <c r="J163" s="1013"/>
      <c r="K163" s="1013"/>
      <c r="L163" s="1013"/>
      <c r="M163" s="1013"/>
      <c r="N163" s="1013"/>
      <c r="O163" s="1013"/>
      <c r="P163" s="1013"/>
      <c r="Q163" s="1013"/>
      <c r="R163" s="1013"/>
      <c r="S163" s="1013"/>
      <c r="T163" s="1013"/>
    </row>
    <row r="164" spans="1:20" s="31" customFormat="1" ht="30" customHeight="1">
      <c r="B164" s="370" t="s">
        <v>801</v>
      </c>
      <c r="C164" s="1013" t="s">
        <v>802</v>
      </c>
      <c r="D164" s="1013"/>
      <c r="E164" s="1013"/>
      <c r="F164" s="1013"/>
      <c r="G164" s="1013"/>
      <c r="H164" s="1013"/>
      <c r="I164" s="1013"/>
      <c r="J164" s="1013"/>
      <c r="K164" s="1013"/>
      <c r="L164" s="1013"/>
      <c r="M164" s="1013"/>
      <c r="N164" s="1013"/>
      <c r="O164" s="1013"/>
      <c r="P164" s="1013"/>
      <c r="Q164" s="1013"/>
      <c r="R164" s="1013"/>
      <c r="S164" s="1013"/>
      <c r="T164" s="1013"/>
    </row>
    <row r="165" spans="1:20" s="31" customFormat="1" ht="15" customHeight="1"/>
    <row r="166" spans="1:20" s="31" customFormat="1" ht="15" customHeight="1">
      <c r="A166" s="31" t="s">
        <v>803</v>
      </c>
    </row>
    <row r="167" spans="1:20" s="31" customFormat="1" ht="60" customHeight="1">
      <c r="A167" s="31" t="s">
        <v>810</v>
      </c>
      <c r="C167" s="1013" t="s">
        <v>805</v>
      </c>
      <c r="D167" s="1013"/>
      <c r="E167" s="1013"/>
      <c r="F167" s="1013"/>
      <c r="G167" s="1013"/>
      <c r="H167" s="1013"/>
      <c r="I167" s="1013"/>
      <c r="J167" s="1013"/>
      <c r="K167" s="1013"/>
      <c r="L167" s="1013"/>
      <c r="M167" s="1013"/>
      <c r="N167" s="1013"/>
      <c r="O167" s="1013"/>
      <c r="P167" s="1013"/>
      <c r="Q167" s="1013"/>
      <c r="R167" s="1013"/>
      <c r="S167" s="1013"/>
      <c r="T167" s="1013"/>
    </row>
    <row r="168" spans="1:20" s="31" customFormat="1" ht="45" customHeight="1">
      <c r="B168" s="31" t="s">
        <v>725</v>
      </c>
      <c r="C168" s="1013" t="s">
        <v>806</v>
      </c>
      <c r="D168" s="1013"/>
      <c r="E168" s="1013"/>
      <c r="F168" s="1013"/>
      <c r="G168" s="1013"/>
      <c r="H168" s="1013"/>
      <c r="I168" s="1013"/>
      <c r="J168" s="1013"/>
      <c r="K168" s="1013"/>
      <c r="L168" s="1013"/>
      <c r="M168" s="1013"/>
      <c r="N168" s="1013"/>
      <c r="O168" s="1013"/>
      <c r="P168" s="1013"/>
      <c r="Q168" s="1013"/>
      <c r="R168" s="1013"/>
      <c r="S168" s="1013"/>
      <c r="T168" s="1013"/>
    </row>
    <row r="169" spans="1:20" s="31" customFormat="1" ht="30" customHeight="1">
      <c r="B169" s="31" t="s">
        <v>741</v>
      </c>
      <c r="C169" s="1013" t="s">
        <v>807</v>
      </c>
      <c r="D169" s="1013"/>
      <c r="E169" s="1013"/>
      <c r="F169" s="1013"/>
      <c r="G169" s="1013"/>
      <c r="H169" s="1013"/>
      <c r="I169" s="1013"/>
      <c r="J169" s="1013"/>
      <c r="K169" s="1013"/>
      <c r="L169" s="1013"/>
      <c r="M169" s="1013"/>
      <c r="N169" s="1013"/>
      <c r="O169" s="1013"/>
      <c r="P169" s="1013"/>
      <c r="Q169" s="1013"/>
      <c r="R169" s="1013"/>
      <c r="S169" s="1013"/>
      <c r="T169" s="1013"/>
    </row>
    <row r="170" spans="1:20" s="31" customFormat="1" ht="30" customHeight="1">
      <c r="B170" s="31" t="s">
        <v>743</v>
      </c>
      <c r="C170" s="1013" t="s">
        <v>808</v>
      </c>
      <c r="D170" s="1013"/>
      <c r="E170" s="1013"/>
      <c r="F170" s="1013"/>
      <c r="G170" s="1013"/>
      <c r="H170" s="1013"/>
      <c r="I170" s="1013"/>
      <c r="J170" s="1013"/>
      <c r="K170" s="1013"/>
      <c r="L170" s="1013"/>
      <c r="M170" s="1013"/>
      <c r="N170" s="1013"/>
      <c r="O170" s="1013"/>
      <c r="P170" s="1013"/>
      <c r="Q170" s="1013"/>
      <c r="R170" s="1013"/>
      <c r="S170" s="1013"/>
      <c r="T170" s="1013"/>
    </row>
    <row r="171" spans="1:20" s="31" customFormat="1" ht="15" customHeight="1"/>
    <row r="172" spans="1:20" s="31" customFormat="1" ht="15" customHeight="1">
      <c r="A172" s="31" t="s">
        <v>809</v>
      </c>
    </row>
    <row r="173" spans="1:20" s="31" customFormat="1" ht="30" customHeight="1">
      <c r="A173" s="31" t="s">
        <v>815</v>
      </c>
      <c r="C173" s="1013" t="s">
        <v>811</v>
      </c>
      <c r="D173" s="1013"/>
      <c r="E173" s="1013"/>
      <c r="F173" s="1013"/>
      <c r="G173" s="1013"/>
      <c r="H173" s="1013"/>
      <c r="I173" s="1013"/>
      <c r="J173" s="1013"/>
      <c r="K173" s="1013"/>
      <c r="L173" s="1013"/>
      <c r="M173" s="1013"/>
      <c r="N173" s="1013"/>
      <c r="O173" s="1013"/>
      <c r="P173" s="1013"/>
      <c r="Q173" s="1013"/>
      <c r="R173" s="1013"/>
      <c r="S173" s="1013"/>
      <c r="T173" s="1013"/>
    </row>
    <row r="174" spans="1:20" s="31" customFormat="1" ht="45" customHeight="1">
      <c r="B174" s="31" t="s">
        <v>725</v>
      </c>
      <c r="C174" s="1013" t="s">
        <v>812</v>
      </c>
      <c r="D174" s="1013"/>
      <c r="E174" s="1013"/>
      <c r="F174" s="1013"/>
      <c r="G174" s="1013"/>
      <c r="H174" s="1013"/>
      <c r="I174" s="1013"/>
      <c r="J174" s="1013"/>
      <c r="K174" s="1013"/>
      <c r="L174" s="1013"/>
      <c r="M174" s="1013"/>
      <c r="N174" s="1013"/>
      <c r="O174" s="1013"/>
      <c r="P174" s="1013"/>
      <c r="Q174" s="1013"/>
      <c r="R174" s="1013"/>
      <c r="S174" s="1013"/>
      <c r="T174" s="1013"/>
    </row>
    <row r="175" spans="1:20" s="31" customFormat="1" ht="45" customHeight="1">
      <c r="B175" s="31" t="s">
        <v>741</v>
      </c>
      <c r="C175" s="1013" t="s">
        <v>813</v>
      </c>
      <c r="D175" s="1013"/>
      <c r="E175" s="1013"/>
      <c r="F175" s="1013"/>
      <c r="G175" s="1013"/>
      <c r="H175" s="1013"/>
      <c r="I175" s="1013"/>
      <c r="J175" s="1013"/>
      <c r="K175" s="1013"/>
      <c r="L175" s="1013"/>
      <c r="M175" s="1013"/>
      <c r="N175" s="1013"/>
      <c r="O175" s="1013"/>
      <c r="P175" s="1013"/>
      <c r="Q175" s="1013"/>
      <c r="R175" s="1013"/>
      <c r="S175" s="1013"/>
      <c r="T175" s="1013"/>
    </row>
    <row r="176" spans="1:20" s="31" customFormat="1" ht="15" customHeight="1">
      <c r="C176" s="512"/>
      <c r="D176" s="512"/>
      <c r="E176" s="512"/>
      <c r="F176" s="512"/>
      <c r="G176" s="512"/>
      <c r="H176" s="512"/>
      <c r="I176" s="512"/>
      <c r="J176" s="512"/>
      <c r="K176" s="512"/>
      <c r="L176" s="512"/>
      <c r="M176" s="512"/>
      <c r="N176" s="512"/>
      <c r="O176" s="512"/>
      <c r="P176" s="512"/>
      <c r="Q176" s="512"/>
      <c r="R176" s="512"/>
      <c r="S176" s="512"/>
      <c r="T176" s="512"/>
    </row>
    <row r="177" spans="1:21" s="31" customFormat="1" ht="15" customHeight="1">
      <c r="A177" s="31" t="s">
        <v>814</v>
      </c>
      <c r="C177" s="512"/>
      <c r="D177" s="512"/>
      <c r="E177" s="512"/>
      <c r="F177" s="512"/>
      <c r="G177" s="512"/>
      <c r="H177" s="512"/>
      <c r="I177" s="512"/>
      <c r="J177" s="512"/>
      <c r="K177" s="512"/>
      <c r="L177" s="512"/>
      <c r="M177" s="512"/>
      <c r="N177" s="512"/>
      <c r="O177" s="512"/>
      <c r="P177" s="512"/>
      <c r="Q177" s="512"/>
      <c r="R177" s="512"/>
      <c r="S177" s="512"/>
      <c r="T177" s="512"/>
    </row>
    <row r="178" spans="1:21" s="31" customFormat="1" ht="30" customHeight="1">
      <c r="A178" s="31" t="s">
        <v>818</v>
      </c>
      <c r="C178" s="1013" t="s">
        <v>816</v>
      </c>
      <c r="D178" s="1013"/>
      <c r="E178" s="1013"/>
      <c r="F178" s="1013"/>
      <c r="G178" s="1013"/>
      <c r="H178" s="1013"/>
      <c r="I178" s="1013"/>
      <c r="J178" s="1013"/>
      <c r="K178" s="1013"/>
      <c r="L178" s="1013"/>
      <c r="M178" s="1013"/>
      <c r="N178" s="1013"/>
      <c r="O178" s="1013"/>
      <c r="P178" s="1013"/>
      <c r="Q178" s="1013"/>
      <c r="R178" s="1013"/>
      <c r="S178" s="1013"/>
      <c r="T178" s="1013"/>
    </row>
    <row r="179" spans="1:21" s="31" customFormat="1" ht="15" customHeight="1">
      <c r="C179" s="512"/>
      <c r="D179" s="512"/>
      <c r="E179" s="512"/>
      <c r="F179" s="512"/>
      <c r="G179" s="512"/>
      <c r="H179" s="512"/>
      <c r="I179" s="512"/>
      <c r="J179" s="512"/>
      <c r="K179" s="512"/>
      <c r="L179" s="512"/>
      <c r="M179" s="512"/>
      <c r="N179" s="512"/>
      <c r="O179" s="512"/>
      <c r="P179" s="512"/>
      <c r="Q179" s="512"/>
      <c r="R179" s="512"/>
      <c r="S179" s="512"/>
      <c r="T179" s="512"/>
    </row>
    <row r="180" spans="1:21" s="31" customFormat="1" ht="15" customHeight="1">
      <c r="A180" s="31" t="s">
        <v>817</v>
      </c>
    </row>
    <row r="181" spans="1:21" s="31" customFormat="1" ht="75" customHeight="1">
      <c r="A181" s="31" t="s">
        <v>822</v>
      </c>
      <c r="C181" s="1013" t="s">
        <v>819</v>
      </c>
      <c r="D181" s="1013"/>
      <c r="E181" s="1013"/>
      <c r="F181" s="1013"/>
      <c r="G181" s="1013"/>
      <c r="H181" s="1013"/>
      <c r="I181" s="1013"/>
      <c r="J181" s="1013"/>
      <c r="K181" s="1013"/>
      <c r="L181" s="1013"/>
      <c r="M181" s="1013"/>
      <c r="N181" s="1013"/>
      <c r="O181" s="1013"/>
      <c r="P181" s="1013"/>
      <c r="Q181" s="1013"/>
      <c r="R181" s="1013"/>
      <c r="S181" s="1013"/>
      <c r="T181" s="1013"/>
      <c r="U181" s="483"/>
    </row>
    <row r="182" spans="1:21" s="31" customFormat="1" ht="30" customHeight="1">
      <c r="B182" s="31" t="s">
        <v>725</v>
      </c>
      <c r="C182" s="1013" t="s">
        <v>820</v>
      </c>
      <c r="D182" s="1013"/>
      <c r="E182" s="1013"/>
      <c r="F182" s="1013"/>
      <c r="G182" s="1013"/>
      <c r="H182" s="1013"/>
      <c r="I182" s="1013"/>
      <c r="J182" s="1013"/>
      <c r="K182" s="1013"/>
      <c r="L182" s="1013"/>
      <c r="M182" s="1013"/>
      <c r="N182" s="1013"/>
      <c r="O182" s="1013"/>
      <c r="P182" s="1013"/>
      <c r="Q182" s="1013"/>
      <c r="R182" s="1013"/>
      <c r="S182" s="1013"/>
      <c r="T182" s="1013"/>
    </row>
    <row r="183" spans="1:21" s="31" customFormat="1" ht="15" customHeight="1">
      <c r="C183" s="512"/>
      <c r="D183" s="512"/>
      <c r="E183" s="512"/>
      <c r="F183" s="512"/>
      <c r="G183" s="512"/>
      <c r="H183" s="512"/>
      <c r="I183" s="512"/>
      <c r="J183" s="512"/>
      <c r="K183" s="512"/>
      <c r="L183" s="512"/>
      <c r="M183" s="512"/>
      <c r="N183" s="512"/>
      <c r="O183" s="512"/>
      <c r="P183" s="512"/>
      <c r="Q183" s="512"/>
      <c r="R183" s="512"/>
      <c r="S183" s="512"/>
      <c r="T183" s="512"/>
    </row>
    <row r="184" spans="1:21" s="31" customFormat="1" ht="15" customHeight="1">
      <c r="A184" s="31" t="s">
        <v>821</v>
      </c>
    </row>
    <row r="185" spans="1:21" s="31" customFormat="1" ht="30" customHeight="1">
      <c r="A185" s="31" t="s">
        <v>834</v>
      </c>
      <c r="C185" s="1013" t="s">
        <v>823</v>
      </c>
      <c r="D185" s="1013"/>
      <c r="E185" s="1013"/>
      <c r="F185" s="1013"/>
      <c r="G185" s="1013"/>
      <c r="H185" s="1013"/>
      <c r="I185" s="1013"/>
      <c r="J185" s="1013"/>
      <c r="K185" s="1013"/>
      <c r="L185" s="1013"/>
      <c r="M185" s="1013"/>
      <c r="N185" s="1013"/>
      <c r="O185" s="1013"/>
      <c r="P185" s="1013"/>
      <c r="Q185" s="1013"/>
      <c r="R185" s="1013"/>
      <c r="S185" s="1013"/>
      <c r="T185" s="1013"/>
    </row>
    <row r="186" spans="1:21" s="31" customFormat="1" ht="15" customHeight="1">
      <c r="B186" s="1014" t="s">
        <v>745</v>
      </c>
      <c r="C186" s="1014"/>
      <c r="D186" s="31" t="s">
        <v>824</v>
      </c>
    </row>
    <row r="187" spans="1:21" s="31" customFormat="1" ht="30" customHeight="1">
      <c r="B187" s="1014" t="s">
        <v>747</v>
      </c>
      <c r="C187" s="1014"/>
      <c r="D187" s="1013" t="s">
        <v>825</v>
      </c>
      <c r="E187" s="1013"/>
      <c r="F187" s="1013"/>
      <c r="G187" s="1013"/>
      <c r="H187" s="1013"/>
      <c r="I187" s="1013"/>
      <c r="J187" s="1013"/>
      <c r="K187" s="1013"/>
      <c r="L187" s="1013"/>
      <c r="M187" s="1013"/>
      <c r="N187" s="1013"/>
      <c r="O187" s="1013"/>
      <c r="P187" s="1013"/>
      <c r="Q187" s="1013"/>
      <c r="R187" s="1013"/>
      <c r="S187" s="1013"/>
      <c r="T187" s="1013"/>
    </row>
    <row r="188" spans="1:21" s="31" customFormat="1" ht="15" customHeight="1">
      <c r="B188" s="1014" t="s">
        <v>775</v>
      </c>
      <c r="C188" s="1014"/>
      <c r="D188" s="31" t="s">
        <v>1784</v>
      </c>
    </row>
    <row r="189" spans="1:21" s="31" customFormat="1" ht="15" customHeight="1">
      <c r="B189" s="1014" t="s">
        <v>792</v>
      </c>
      <c r="C189" s="1014"/>
      <c r="D189" s="31" t="s">
        <v>1785</v>
      </c>
    </row>
    <row r="190" spans="1:21" s="31" customFormat="1" ht="15" customHeight="1">
      <c r="B190" s="1014" t="s">
        <v>826</v>
      </c>
      <c r="C190" s="1014"/>
      <c r="D190" s="31" t="s">
        <v>827</v>
      </c>
    </row>
    <row r="191" spans="1:21" s="31" customFormat="1" ht="15" customHeight="1">
      <c r="B191" s="40"/>
      <c r="C191" s="40"/>
      <c r="D191" s="31" t="s">
        <v>828</v>
      </c>
    </row>
    <row r="192" spans="1:21" s="31" customFormat="1" ht="15" customHeight="1">
      <c r="B192" s="1014" t="s">
        <v>829</v>
      </c>
      <c r="C192" s="1014"/>
      <c r="D192" s="31" t="s">
        <v>830</v>
      </c>
    </row>
    <row r="193" spans="1:20" s="31" customFormat="1" ht="15" customHeight="1">
      <c r="B193" s="1015" t="s">
        <v>831</v>
      </c>
      <c r="C193" s="1015"/>
      <c r="D193" s="31" t="s">
        <v>832</v>
      </c>
    </row>
    <row r="194" spans="1:20" s="31" customFormat="1" ht="15" customHeight="1">
      <c r="B194" s="40"/>
      <c r="C194" s="40"/>
    </row>
    <row r="195" spans="1:20" s="31" customFormat="1" ht="15" customHeight="1">
      <c r="A195" s="31" t="s">
        <v>833</v>
      </c>
    </row>
    <row r="196" spans="1:20" s="31" customFormat="1" ht="45" customHeight="1">
      <c r="A196" s="31" t="s">
        <v>841</v>
      </c>
      <c r="C196" s="1013" t="s">
        <v>835</v>
      </c>
      <c r="D196" s="1013"/>
      <c r="E196" s="1013"/>
      <c r="F196" s="1013"/>
      <c r="G196" s="1013"/>
      <c r="H196" s="1013"/>
      <c r="I196" s="1013"/>
      <c r="J196" s="1013"/>
      <c r="K196" s="1013"/>
      <c r="L196" s="1013"/>
      <c r="M196" s="1013"/>
      <c r="N196" s="1013"/>
      <c r="O196" s="1013"/>
      <c r="P196" s="1013"/>
      <c r="Q196" s="1013"/>
      <c r="R196" s="1013"/>
      <c r="S196" s="1013"/>
      <c r="T196" s="1013"/>
    </row>
    <row r="197" spans="1:20" s="31" customFormat="1" ht="45" customHeight="1">
      <c r="B197" s="31" t="s">
        <v>725</v>
      </c>
      <c r="C197" s="1013" t="s">
        <v>836</v>
      </c>
      <c r="D197" s="1013"/>
      <c r="E197" s="1013"/>
      <c r="F197" s="1013"/>
      <c r="G197" s="1013"/>
      <c r="H197" s="1013"/>
      <c r="I197" s="1013"/>
      <c r="J197" s="1013"/>
      <c r="K197" s="1013"/>
      <c r="L197" s="1013"/>
      <c r="M197" s="1013"/>
      <c r="N197" s="1013"/>
      <c r="O197" s="1013"/>
      <c r="P197" s="1013"/>
      <c r="Q197" s="1013"/>
      <c r="R197" s="1013"/>
      <c r="S197" s="1013"/>
      <c r="T197" s="1013"/>
    </row>
    <row r="198" spans="1:20" s="31" customFormat="1" ht="30" customHeight="1">
      <c r="B198" s="31" t="s">
        <v>741</v>
      </c>
      <c r="C198" s="1013" t="s">
        <v>837</v>
      </c>
      <c r="D198" s="1013"/>
      <c r="E198" s="1013"/>
      <c r="F198" s="1013"/>
      <c r="G198" s="1013"/>
      <c r="H198" s="1013"/>
      <c r="I198" s="1013"/>
      <c r="J198" s="1013"/>
      <c r="K198" s="1013"/>
      <c r="L198" s="1013"/>
      <c r="M198" s="1013"/>
      <c r="N198" s="1013"/>
      <c r="O198" s="1013"/>
      <c r="P198" s="1013"/>
      <c r="Q198" s="1013"/>
      <c r="R198" s="1013"/>
      <c r="S198" s="1013"/>
      <c r="T198" s="1013"/>
    </row>
    <row r="199" spans="1:20" s="31" customFormat="1" ht="45" customHeight="1">
      <c r="B199" s="31" t="s">
        <v>743</v>
      </c>
      <c r="C199" s="1013" t="s">
        <v>838</v>
      </c>
      <c r="D199" s="1013"/>
      <c r="E199" s="1013"/>
      <c r="F199" s="1013"/>
      <c r="G199" s="1013"/>
      <c r="H199" s="1013"/>
      <c r="I199" s="1013"/>
      <c r="J199" s="1013"/>
      <c r="K199" s="1013"/>
      <c r="L199" s="1013"/>
      <c r="M199" s="1013"/>
      <c r="N199" s="1013"/>
      <c r="O199" s="1013"/>
      <c r="P199" s="1013"/>
      <c r="Q199" s="1013"/>
      <c r="R199" s="1013"/>
      <c r="S199" s="1013"/>
      <c r="T199" s="1013"/>
    </row>
    <row r="200" spans="1:20" s="31" customFormat="1" ht="15" customHeight="1">
      <c r="B200" s="370" t="s">
        <v>749</v>
      </c>
      <c r="C200" s="1013" t="s">
        <v>839</v>
      </c>
      <c r="D200" s="1013"/>
      <c r="E200" s="1013"/>
      <c r="F200" s="1013"/>
      <c r="G200" s="1013"/>
      <c r="H200" s="1013"/>
      <c r="I200" s="1013"/>
      <c r="J200" s="1013"/>
      <c r="K200" s="1013"/>
      <c r="L200" s="1013"/>
      <c r="M200" s="1013"/>
      <c r="N200" s="1013"/>
      <c r="O200" s="1013"/>
      <c r="P200" s="1013"/>
      <c r="Q200" s="1013"/>
      <c r="R200" s="1013"/>
      <c r="S200" s="1013"/>
      <c r="T200" s="1013"/>
    </row>
    <row r="201" spans="1:20" s="31" customFormat="1" ht="15" customHeight="1"/>
    <row r="202" spans="1:20" s="31" customFormat="1" ht="15" customHeight="1">
      <c r="A202" s="31" t="s">
        <v>840</v>
      </c>
    </row>
    <row r="203" spans="1:20" s="31" customFormat="1" ht="30" customHeight="1">
      <c r="A203" s="31" t="s">
        <v>845</v>
      </c>
      <c r="C203" s="1013" t="s">
        <v>842</v>
      </c>
      <c r="D203" s="1013"/>
      <c r="E203" s="1013"/>
      <c r="F203" s="1013"/>
      <c r="G203" s="1013"/>
      <c r="H203" s="1013"/>
      <c r="I203" s="1013"/>
      <c r="J203" s="1013"/>
      <c r="K203" s="1013"/>
      <c r="L203" s="1013"/>
      <c r="M203" s="1013"/>
      <c r="N203" s="1013"/>
      <c r="O203" s="1013"/>
      <c r="P203" s="1013"/>
      <c r="Q203" s="1013"/>
      <c r="R203" s="1013"/>
      <c r="S203" s="1013"/>
      <c r="T203" s="1013"/>
    </row>
    <row r="204" spans="1:20" s="31" customFormat="1" ht="30" customHeight="1">
      <c r="B204" s="31" t="s">
        <v>725</v>
      </c>
      <c r="C204" s="1013" t="s">
        <v>843</v>
      </c>
      <c r="D204" s="1013"/>
      <c r="E204" s="1013"/>
      <c r="F204" s="1013"/>
      <c r="G204" s="1013"/>
      <c r="H204" s="1013"/>
      <c r="I204" s="1013"/>
      <c r="J204" s="1013"/>
      <c r="K204" s="1013"/>
      <c r="L204" s="1013"/>
      <c r="M204" s="1013"/>
      <c r="N204" s="1013"/>
      <c r="O204" s="1013"/>
      <c r="P204" s="1013"/>
      <c r="Q204" s="1013"/>
      <c r="R204" s="1013"/>
      <c r="S204" s="1013"/>
      <c r="T204" s="1013"/>
    </row>
    <row r="205" spans="1:20" s="31" customFormat="1" ht="15" customHeight="1"/>
    <row r="206" spans="1:20" s="31" customFormat="1" ht="15" customHeight="1">
      <c r="A206" s="31" t="s">
        <v>844</v>
      </c>
    </row>
    <row r="207" spans="1:20" s="31" customFormat="1" ht="30" customHeight="1">
      <c r="A207" s="31" t="s">
        <v>848</v>
      </c>
      <c r="C207" s="1013" t="s">
        <v>846</v>
      </c>
      <c r="D207" s="1013"/>
      <c r="E207" s="1013"/>
      <c r="F207" s="1013"/>
      <c r="G207" s="1013"/>
      <c r="H207" s="1013"/>
      <c r="I207" s="1013"/>
      <c r="J207" s="1013"/>
      <c r="K207" s="1013"/>
      <c r="L207" s="1013"/>
      <c r="M207" s="1013"/>
      <c r="N207" s="1013"/>
      <c r="O207" s="1013"/>
      <c r="P207" s="1013"/>
      <c r="Q207" s="1013"/>
      <c r="R207" s="1013"/>
      <c r="S207" s="1013"/>
      <c r="T207" s="1013"/>
    </row>
    <row r="208" spans="1:20" s="31" customFormat="1" ht="15" customHeight="1"/>
    <row r="209" spans="1:21" s="31" customFormat="1" ht="15" customHeight="1">
      <c r="A209" s="31" t="s">
        <v>847</v>
      </c>
    </row>
    <row r="210" spans="1:21" s="31" customFormat="1" ht="30" customHeight="1">
      <c r="A210" s="31" t="s">
        <v>851</v>
      </c>
      <c r="C210" s="1013" t="s">
        <v>849</v>
      </c>
      <c r="D210" s="1013"/>
      <c r="E210" s="1013"/>
      <c r="F210" s="1013"/>
      <c r="G210" s="1013"/>
      <c r="H210" s="1013"/>
      <c r="I210" s="1013"/>
      <c r="J210" s="1013"/>
      <c r="K210" s="1013"/>
      <c r="L210" s="1013"/>
      <c r="M210" s="1013"/>
      <c r="N210" s="1013"/>
      <c r="O210" s="1013"/>
      <c r="P210" s="1013"/>
      <c r="Q210" s="1013"/>
      <c r="R210" s="1013"/>
      <c r="S210" s="1013"/>
      <c r="T210" s="1013"/>
    </row>
    <row r="211" spans="1:21" s="31" customFormat="1" ht="15" customHeight="1"/>
    <row r="212" spans="1:21" s="196" customFormat="1" ht="15" customHeight="1">
      <c r="A212" s="31" t="s">
        <v>850</v>
      </c>
      <c r="B212" s="31"/>
      <c r="C212" s="31"/>
      <c r="D212" s="31"/>
      <c r="E212" s="31"/>
      <c r="F212" s="31"/>
      <c r="G212" s="31"/>
      <c r="H212" s="31"/>
      <c r="I212" s="31"/>
      <c r="J212" s="31"/>
      <c r="K212" s="31"/>
      <c r="L212" s="31"/>
      <c r="M212" s="31"/>
      <c r="N212" s="31"/>
      <c r="O212" s="31"/>
      <c r="P212" s="31"/>
      <c r="Q212" s="31"/>
      <c r="R212" s="31"/>
      <c r="S212" s="31"/>
      <c r="T212" s="31"/>
    </row>
    <row r="213" spans="1:21" s="196" customFormat="1" ht="50.1" customHeight="1">
      <c r="A213" s="31" t="s">
        <v>1605</v>
      </c>
      <c r="B213" s="31"/>
      <c r="C213" s="1013" t="s">
        <v>852</v>
      </c>
      <c r="D213" s="1013"/>
      <c r="E213" s="1013"/>
      <c r="F213" s="1013"/>
      <c r="G213" s="1013"/>
      <c r="H213" s="1013"/>
      <c r="I213" s="1013"/>
      <c r="J213" s="1013"/>
      <c r="K213" s="1013"/>
      <c r="L213" s="1013"/>
      <c r="M213" s="1013"/>
      <c r="N213" s="1013"/>
      <c r="O213" s="1013"/>
      <c r="P213" s="1013"/>
      <c r="Q213" s="1013"/>
      <c r="R213" s="1013"/>
      <c r="S213" s="1013"/>
      <c r="T213" s="1013"/>
    </row>
    <row r="214" spans="1:21" s="196" customFormat="1" ht="60" customHeight="1">
      <c r="A214" s="31"/>
      <c r="B214" s="31" t="s">
        <v>725</v>
      </c>
      <c r="C214" s="1013" t="s">
        <v>853</v>
      </c>
      <c r="D214" s="1013"/>
      <c r="E214" s="1013"/>
      <c r="F214" s="1013"/>
      <c r="G214" s="1013"/>
      <c r="H214" s="1013"/>
      <c r="I214" s="1013"/>
      <c r="J214" s="1013"/>
      <c r="K214" s="1013"/>
      <c r="L214" s="1013"/>
      <c r="M214" s="1013"/>
      <c r="N214" s="1013"/>
      <c r="O214" s="1013"/>
      <c r="P214" s="1013"/>
      <c r="Q214" s="1013"/>
      <c r="R214" s="1013"/>
      <c r="S214" s="1013"/>
      <c r="T214" s="1013"/>
    </row>
    <row r="215" spans="1:21" s="196" customFormat="1" ht="40.35" customHeight="1">
      <c r="A215" s="31"/>
      <c r="B215" s="31" t="s">
        <v>1440</v>
      </c>
      <c r="C215" s="1013" t="s">
        <v>1885</v>
      </c>
      <c r="D215" s="1013"/>
      <c r="E215" s="1013"/>
      <c r="F215" s="1013"/>
      <c r="G215" s="1013"/>
      <c r="H215" s="1013"/>
      <c r="I215" s="1013"/>
      <c r="J215" s="1013"/>
      <c r="K215" s="1013"/>
      <c r="L215" s="1013"/>
      <c r="M215" s="1013"/>
      <c r="N215" s="1013"/>
      <c r="O215" s="1013"/>
      <c r="P215" s="1013"/>
      <c r="Q215" s="1013"/>
      <c r="R215" s="1013"/>
      <c r="S215" s="1013"/>
      <c r="T215" s="1013"/>
    </row>
    <row r="216" spans="1:21" s="31" customFormat="1" ht="15" customHeight="1">
      <c r="C216" s="512"/>
      <c r="D216" s="512"/>
      <c r="E216" s="512"/>
      <c r="F216" s="512"/>
      <c r="G216" s="512"/>
      <c r="H216" s="512"/>
      <c r="I216" s="512"/>
      <c r="J216" s="512"/>
      <c r="K216" s="512"/>
      <c r="L216" s="512"/>
      <c r="M216" s="512"/>
      <c r="N216" s="512"/>
      <c r="O216" s="512"/>
      <c r="P216" s="512"/>
      <c r="Q216" s="512"/>
      <c r="R216" s="512"/>
      <c r="S216" s="512"/>
      <c r="T216" s="512"/>
    </row>
    <row r="217" spans="1:21" s="31" customFormat="1" ht="15" customHeight="1">
      <c r="T217" s="162" t="s">
        <v>854</v>
      </c>
    </row>
    <row r="218" spans="1:21" s="31" customFormat="1" ht="15" customHeight="1"/>
    <row r="219" spans="1:21" s="31" customFormat="1" ht="15" hidden="1" customHeight="1">
      <c r="B219" s="1013" t="s">
        <v>855</v>
      </c>
      <c r="C219" s="1013"/>
      <c r="D219" s="1013"/>
      <c r="E219" s="1013"/>
      <c r="F219" s="1013"/>
      <c r="G219" s="1013"/>
      <c r="H219" s="1013"/>
      <c r="I219" s="1013"/>
      <c r="J219" s="1013"/>
      <c r="K219" s="1013"/>
      <c r="L219" s="1013"/>
      <c r="M219" s="1013"/>
      <c r="N219" s="1013"/>
      <c r="O219" s="1013"/>
      <c r="P219" s="1013"/>
      <c r="Q219" s="1013"/>
      <c r="R219" s="1013"/>
      <c r="S219" s="1013"/>
      <c r="T219" s="1013"/>
    </row>
    <row r="220" spans="1:21" s="31" customFormat="1" ht="15" hidden="1" customHeight="1"/>
    <row r="221" spans="1:21" s="31" customFormat="1" ht="15" hidden="1" customHeight="1"/>
    <row r="222" spans="1:21" s="31" customFormat="1" ht="15" hidden="1" customHeight="1">
      <c r="D222" s="31" t="s">
        <v>856</v>
      </c>
      <c r="U222" s="196"/>
    </row>
    <row r="223" spans="1:21" s="31" customFormat="1" ht="15" hidden="1" customHeight="1"/>
    <row r="224" spans="1:21" s="31" customFormat="1" ht="15" hidden="1" customHeight="1">
      <c r="B224" s="31" t="s">
        <v>857</v>
      </c>
      <c r="H224" s="31" t="s">
        <v>858</v>
      </c>
      <c r="K224" s="1028" t="str">
        <f>DBCS(IF(【マスター】!B157="","",【マスター】!B157))</f>
        <v/>
      </c>
      <c r="L224" s="1028"/>
      <c r="M224" s="1028"/>
      <c r="N224" s="1028"/>
      <c r="O224" s="1028"/>
      <c r="P224" s="1028"/>
      <c r="Q224" s="1028"/>
      <c r="R224" s="1028"/>
      <c r="S224" s="1028"/>
      <c r="T224" s="1028"/>
    </row>
    <row r="225" spans="2:20" s="31" customFormat="1" ht="15" hidden="1" customHeight="1">
      <c r="K225" s="1028" t="str">
        <f>DBCS(IF(【マスター】!B158="","",【マスター】!B158))</f>
        <v/>
      </c>
      <c r="L225" s="1028"/>
      <c r="M225" s="1028"/>
      <c r="N225" s="1028"/>
      <c r="O225" s="1028"/>
      <c r="P225" s="1028"/>
      <c r="Q225" s="1028"/>
      <c r="R225" s="1028"/>
      <c r="S225" s="1028"/>
      <c r="T225" s="1028"/>
    </row>
    <row r="226" spans="2:20" s="31" customFormat="1" ht="15" hidden="1" customHeight="1">
      <c r="K226" s="545"/>
      <c r="L226" s="545"/>
      <c r="M226" s="545"/>
      <c r="N226" s="545"/>
      <c r="O226" s="545"/>
      <c r="P226" s="545"/>
      <c r="Q226" s="545"/>
      <c r="R226" s="545"/>
      <c r="S226" s="545"/>
      <c r="T226" s="545"/>
    </row>
    <row r="227" spans="2:20" s="31" customFormat="1" ht="15" hidden="1" customHeight="1">
      <c r="H227" s="31" t="s">
        <v>859</v>
      </c>
      <c r="K227" s="244"/>
      <c r="L227" s="244"/>
      <c r="M227" s="244"/>
      <c r="N227" s="244"/>
      <c r="O227" s="244"/>
      <c r="P227" s="244"/>
      <c r="Q227" s="244"/>
      <c r="R227" s="244"/>
      <c r="S227" s="244"/>
      <c r="T227" s="245" t="s">
        <v>506</v>
      </c>
    </row>
    <row r="228" spans="2:20" s="31" customFormat="1" ht="15" hidden="1" customHeight="1"/>
    <row r="229" spans="2:20" s="31" customFormat="1" ht="15" hidden="1" customHeight="1">
      <c r="B229" s="31" t="s">
        <v>860</v>
      </c>
      <c r="H229" s="31" t="s">
        <v>858</v>
      </c>
      <c r="K229" s="1028" t="str">
        <f>DBCS(IF(【マスター】!B159="","",【マスター】!B159))</f>
        <v/>
      </c>
      <c r="L229" s="1028"/>
      <c r="M229" s="1028"/>
      <c r="N229" s="1028"/>
      <c r="O229" s="1028"/>
      <c r="P229" s="1028"/>
      <c r="Q229" s="1028"/>
      <c r="R229" s="1028"/>
      <c r="S229" s="1028"/>
      <c r="T229" s="1028"/>
    </row>
    <row r="230" spans="2:20" s="31" customFormat="1" ht="15" hidden="1" customHeight="1">
      <c r="B230" s="31" t="s">
        <v>861</v>
      </c>
      <c r="K230" s="1028" t="str">
        <f>DBCS(IF(【マスター】!B160="","",【マスター】!B160))</f>
        <v/>
      </c>
      <c r="L230" s="1028"/>
      <c r="M230" s="1028"/>
      <c r="N230" s="1028"/>
      <c r="O230" s="1028"/>
      <c r="P230" s="1028"/>
      <c r="Q230" s="1028"/>
      <c r="R230" s="1028"/>
      <c r="S230" s="1028"/>
      <c r="T230" s="1028"/>
    </row>
    <row r="231" spans="2:20" s="31" customFormat="1" ht="15" hidden="1" customHeight="1">
      <c r="K231" s="545"/>
      <c r="L231" s="545"/>
      <c r="M231" s="545"/>
      <c r="N231" s="545"/>
      <c r="O231" s="545"/>
      <c r="P231" s="545"/>
      <c r="Q231" s="545"/>
      <c r="R231" s="545"/>
      <c r="S231" s="545"/>
      <c r="T231" s="545"/>
    </row>
    <row r="232" spans="2:20" s="31" customFormat="1" ht="15" hidden="1" customHeight="1">
      <c r="H232" s="31" t="s">
        <v>859</v>
      </c>
      <c r="K232" s="244"/>
      <c r="L232" s="244"/>
      <c r="M232" s="244"/>
      <c r="N232" s="244"/>
      <c r="O232" s="244"/>
      <c r="P232" s="244"/>
      <c r="Q232" s="244"/>
      <c r="R232" s="244"/>
      <c r="S232" s="244"/>
      <c r="T232" s="246" t="s">
        <v>506</v>
      </c>
    </row>
    <row r="233" spans="2:20" s="31" customFormat="1" ht="15" hidden="1" customHeight="1">
      <c r="N233" s="161" t="s">
        <v>513</v>
      </c>
      <c r="O233" s="513"/>
      <c r="P233" s="513"/>
      <c r="Q233" s="513"/>
      <c r="R233" s="513"/>
      <c r="S233" s="513"/>
      <c r="T233" s="34" t="s">
        <v>514</v>
      </c>
    </row>
    <row r="234" spans="2:20" s="31" customFormat="1" ht="15" hidden="1" customHeight="1"/>
    <row r="235" spans="2:20" s="196" customFormat="1" ht="15" hidden="1" customHeight="1">
      <c r="B235" s="31" t="s">
        <v>862</v>
      </c>
      <c r="C235" s="31"/>
      <c r="D235" s="31"/>
      <c r="E235" s="31"/>
      <c r="F235" s="31"/>
      <c r="G235" s="31"/>
      <c r="H235" s="31" t="s">
        <v>858</v>
      </c>
      <c r="I235" s="31"/>
      <c r="J235" s="31"/>
      <c r="K235" s="1028" t="str">
        <f>DBCS(IF(【マスター】!B161="","",【マスター】!B161))</f>
        <v/>
      </c>
      <c r="L235" s="1028"/>
      <c r="M235" s="1028"/>
      <c r="N235" s="1028"/>
      <c r="O235" s="1028"/>
      <c r="P235" s="1028"/>
      <c r="Q235" s="1028"/>
      <c r="R235" s="1028"/>
      <c r="S235" s="1028"/>
      <c r="T235" s="1028"/>
    </row>
    <row r="236" spans="2:20" s="196" customFormat="1" ht="15" hidden="1" customHeight="1">
      <c r="B236" s="31"/>
      <c r="C236" s="31"/>
      <c r="D236" s="31"/>
      <c r="E236" s="31"/>
      <c r="F236" s="31"/>
      <c r="G236" s="31"/>
      <c r="H236" s="31"/>
      <c r="I236" s="31"/>
      <c r="J236" s="31"/>
      <c r="K236" s="1028" t="str">
        <f>DBCS(IF(【マスター】!B162="","",【マスター】!B162))</f>
        <v/>
      </c>
      <c r="L236" s="1028"/>
      <c r="M236" s="1028"/>
      <c r="N236" s="1028"/>
      <c r="O236" s="1028"/>
      <c r="P236" s="1028"/>
      <c r="Q236" s="1028"/>
      <c r="R236" s="1028"/>
      <c r="S236" s="1028"/>
      <c r="T236" s="1028"/>
    </row>
    <row r="237" spans="2:20" s="196" customFormat="1" ht="15" hidden="1" customHeight="1">
      <c r="B237" s="31"/>
      <c r="C237" s="31"/>
      <c r="D237" s="31"/>
      <c r="E237" s="31"/>
      <c r="F237" s="31"/>
      <c r="G237" s="31"/>
      <c r="H237" s="31"/>
      <c r="I237" s="31"/>
      <c r="J237" s="31"/>
      <c r="K237" s="545"/>
      <c r="L237" s="545"/>
      <c r="M237" s="545"/>
      <c r="N237" s="545"/>
      <c r="O237" s="545"/>
      <c r="P237" s="545"/>
      <c r="Q237" s="545"/>
      <c r="R237" s="545"/>
      <c r="S237" s="545"/>
      <c r="T237" s="545"/>
    </row>
    <row r="238" spans="2:20" s="196" customFormat="1" ht="15" hidden="1" customHeight="1">
      <c r="B238" s="31"/>
      <c r="C238" s="31"/>
      <c r="D238" s="31"/>
      <c r="E238" s="31"/>
      <c r="F238" s="31"/>
      <c r="G238" s="31"/>
      <c r="H238" s="31" t="s">
        <v>859</v>
      </c>
      <c r="I238" s="31"/>
      <c r="J238" s="31"/>
      <c r="K238" s="244"/>
      <c r="L238" s="244"/>
      <c r="M238" s="244"/>
      <c r="N238" s="244"/>
      <c r="O238" s="244"/>
      <c r="P238" s="244"/>
      <c r="Q238" s="244"/>
      <c r="R238" s="244"/>
      <c r="S238" s="244"/>
      <c r="T238" s="245" t="s">
        <v>506</v>
      </c>
    </row>
    <row r="239" spans="2:20" s="196" customFormat="1" ht="15" hidden="1" customHeight="1">
      <c r="B239" s="31"/>
      <c r="C239" s="31"/>
      <c r="D239" s="31"/>
      <c r="E239" s="31"/>
      <c r="F239" s="31"/>
      <c r="G239" s="31"/>
      <c r="H239" s="31"/>
      <c r="I239" s="31"/>
      <c r="J239" s="31"/>
      <c r="K239" s="31"/>
      <c r="L239" s="31"/>
      <c r="M239" s="31"/>
      <c r="N239" s="161" t="s">
        <v>513</v>
      </c>
      <c r="O239" s="513"/>
      <c r="P239" s="513"/>
      <c r="Q239" s="513"/>
      <c r="R239" s="513"/>
      <c r="S239" s="513"/>
      <c r="T239" s="34" t="s">
        <v>514</v>
      </c>
    </row>
    <row r="240" spans="2:20" s="31" customFormat="1" ht="15" hidden="1" customHeight="1">
      <c r="N240" s="161"/>
      <c r="O240" s="513"/>
      <c r="P240" s="513"/>
      <c r="Q240" s="513"/>
      <c r="R240" s="513"/>
      <c r="S240" s="513"/>
      <c r="T240" s="34"/>
    </row>
    <row r="241" spans="2:20" s="31" customFormat="1" ht="15" hidden="1" customHeight="1">
      <c r="N241" s="161"/>
      <c r="O241" s="513"/>
      <c r="P241" s="513"/>
      <c r="Q241" s="513"/>
      <c r="R241" s="513"/>
      <c r="S241" s="513"/>
      <c r="T241" s="34"/>
    </row>
    <row r="242" spans="2:20" s="31" customFormat="1" ht="15" hidden="1" customHeight="1">
      <c r="B242" s="31" t="s">
        <v>863</v>
      </c>
      <c r="H242" s="31" t="s">
        <v>858</v>
      </c>
      <c r="K242" s="1028" t="str">
        <f>DBCS(【マスター】!F23&amp;【マスター】!C24)</f>
        <v>愛知県豊川市大堀町２９３番地</v>
      </c>
      <c r="L242" s="1028"/>
      <c r="M242" s="1028"/>
      <c r="N242" s="1028"/>
      <c r="O242" s="1028"/>
      <c r="P242" s="1028"/>
      <c r="Q242" s="1028"/>
      <c r="R242" s="1028"/>
      <c r="S242" s="1028"/>
      <c r="T242" s="1028"/>
    </row>
    <row r="243" spans="2:20" s="31" customFormat="1" ht="15" hidden="1" customHeight="1">
      <c r="H243" s="31" t="s">
        <v>864</v>
      </c>
      <c r="K243" s="1028" t="str">
        <f>IF(【マスター】!C22="","",【マスター】!C22)</f>
        <v>株式会社ケアサポート</v>
      </c>
      <c r="L243" s="1028"/>
      <c r="M243" s="1028"/>
      <c r="N243" s="1028"/>
      <c r="O243" s="1028"/>
      <c r="P243" s="1028"/>
      <c r="Q243" s="1028"/>
      <c r="R243" s="1028"/>
      <c r="S243" s="1028"/>
      <c r="T243" s="1028"/>
    </row>
    <row r="244" spans="2:20" s="31" customFormat="1" ht="15" hidden="1" customHeight="1">
      <c r="H244" s="31" t="s">
        <v>865</v>
      </c>
      <c r="K244" s="1028" t="str">
        <f>【マスター】!C26&amp;"　"&amp;【マスター】!I26</f>
        <v>代表取締役　本多 康夫</v>
      </c>
      <c r="L244" s="1028"/>
      <c r="M244" s="1028"/>
      <c r="N244" s="1028"/>
      <c r="O244" s="1028"/>
      <c r="P244" s="1028"/>
      <c r="Q244" s="1028"/>
      <c r="R244" s="1028"/>
      <c r="S244" s="1028"/>
      <c r="T244" s="180" t="s">
        <v>506</v>
      </c>
    </row>
    <row r="245" spans="2:20" s="31" customFormat="1" ht="15" hidden="1" customHeight="1">
      <c r="L245" s="545"/>
      <c r="M245" s="545"/>
      <c r="N245" s="545"/>
      <c r="O245" s="545"/>
      <c r="P245" s="545"/>
      <c r="Q245" s="545"/>
      <c r="R245" s="545"/>
      <c r="S245" s="545"/>
      <c r="T245" s="180"/>
    </row>
    <row r="246" spans="2:20" s="31" customFormat="1" ht="15" hidden="1" customHeight="1">
      <c r="L246" s="545"/>
      <c r="M246" s="545"/>
      <c r="N246" s="545"/>
      <c r="O246" s="545"/>
      <c r="P246" s="545"/>
      <c r="Q246" s="545"/>
      <c r="R246" s="545"/>
      <c r="S246" s="545"/>
      <c r="T246" s="180"/>
    </row>
    <row r="247" spans="2:20" s="31" customFormat="1" ht="15" hidden="1" customHeight="1">
      <c r="L247" s="545"/>
      <c r="M247" s="545"/>
      <c r="N247" s="545"/>
      <c r="O247" s="545"/>
      <c r="P247" s="545"/>
      <c r="Q247" s="545"/>
      <c r="R247" s="545"/>
      <c r="S247" s="545"/>
      <c r="T247" s="180"/>
    </row>
    <row r="248" spans="2:20" s="31" customFormat="1" ht="15" hidden="1" customHeight="1">
      <c r="L248" s="545"/>
      <c r="M248" s="545"/>
      <c r="N248" s="545"/>
      <c r="O248" s="545"/>
      <c r="P248" s="545"/>
      <c r="Q248" s="545"/>
      <c r="R248" s="545"/>
      <c r="S248" s="545"/>
      <c r="T248" s="180"/>
    </row>
    <row r="249" spans="2:20" s="31" customFormat="1" ht="15" hidden="1" customHeight="1">
      <c r="L249" s="545"/>
      <c r="M249" s="545"/>
      <c r="N249" s="545"/>
      <c r="O249" s="545"/>
      <c r="P249" s="545"/>
      <c r="Q249" s="545"/>
      <c r="R249" s="545"/>
      <c r="S249" s="545"/>
      <c r="T249" s="180"/>
    </row>
    <row r="250" spans="2:20" s="31" customFormat="1" ht="15" hidden="1" customHeight="1">
      <c r="L250" s="545"/>
      <c r="M250" s="545"/>
      <c r="N250" s="545"/>
      <c r="O250" s="545"/>
      <c r="P250" s="545"/>
      <c r="Q250" s="545"/>
      <c r="R250" s="545"/>
      <c r="S250" s="545"/>
      <c r="T250" s="180"/>
    </row>
    <row r="251" spans="2:20" s="31" customFormat="1" ht="15" hidden="1" customHeight="1">
      <c r="L251" s="545"/>
      <c r="M251" s="545"/>
      <c r="N251" s="545"/>
      <c r="O251" s="545"/>
      <c r="P251" s="545"/>
      <c r="Q251" s="545"/>
      <c r="R251" s="545"/>
      <c r="S251" s="545"/>
      <c r="T251" s="180"/>
    </row>
    <row r="252" spans="2:20" s="31" customFormat="1" ht="15" hidden="1" customHeight="1">
      <c r="L252" s="545"/>
      <c r="M252" s="545"/>
      <c r="N252" s="545"/>
      <c r="O252" s="545"/>
      <c r="P252" s="545"/>
      <c r="Q252" s="545"/>
      <c r="R252" s="545"/>
      <c r="S252" s="545"/>
      <c r="T252" s="180"/>
    </row>
    <row r="253" spans="2:20" s="31" customFormat="1" ht="15" hidden="1" customHeight="1">
      <c r="L253" s="545"/>
      <c r="M253" s="545"/>
      <c r="N253" s="545"/>
      <c r="O253" s="545"/>
      <c r="P253" s="545"/>
      <c r="Q253" s="545"/>
      <c r="R253" s="545"/>
      <c r="S253" s="545"/>
      <c r="T253" s="180"/>
    </row>
    <row r="254" spans="2:20" s="31" customFormat="1" ht="15" hidden="1" customHeight="1">
      <c r="L254" s="545"/>
      <c r="M254" s="545"/>
      <c r="N254" s="545"/>
      <c r="O254" s="545"/>
      <c r="P254" s="545"/>
      <c r="Q254" s="545"/>
      <c r="R254" s="545"/>
      <c r="S254" s="545"/>
      <c r="T254" s="180"/>
    </row>
    <row r="255" spans="2:20" s="31" customFormat="1" ht="15" hidden="1" customHeight="1">
      <c r="L255" s="545"/>
      <c r="M255" s="545"/>
      <c r="N255" s="545"/>
      <c r="O255" s="545"/>
      <c r="P255" s="545"/>
      <c r="Q255" s="545"/>
      <c r="R255" s="545"/>
      <c r="S255" s="545"/>
      <c r="T255" s="180"/>
    </row>
    <row r="256" spans="2:20" s="31" customFormat="1" ht="15" hidden="1" customHeight="1">
      <c r="L256" s="545"/>
      <c r="M256" s="545"/>
      <c r="N256" s="545"/>
      <c r="O256" s="545"/>
      <c r="P256" s="545"/>
      <c r="Q256" s="545"/>
      <c r="R256" s="545"/>
      <c r="S256" s="545"/>
      <c r="T256" s="180"/>
    </row>
    <row r="257" spans="12:20" s="31" customFormat="1" ht="15" hidden="1" customHeight="1">
      <c r="L257" s="545"/>
      <c r="M257" s="545"/>
      <c r="N257" s="545"/>
      <c r="O257" s="545"/>
      <c r="P257" s="545"/>
      <c r="Q257" s="545"/>
      <c r="R257" s="545"/>
      <c r="S257" s="545"/>
      <c r="T257" s="180"/>
    </row>
    <row r="258" spans="12:20" s="31" customFormat="1" ht="15" hidden="1" customHeight="1">
      <c r="L258" s="545"/>
      <c r="M258" s="545"/>
      <c r="N258" s="545"/>
      <c r="O258" s="545"/>
      <c r="P258" s="545"/>
      <c r="Q258" s="545"/>
      <c r="R258" s="545"/>
      <c r="S258" s="545"/>
      <c r="T258" s="180"/>
    </row>
    <row r="259" spans="12:20" s="31" customFormat="1" ht="15" hidden="1" customHeight="1">
      <c r="L259" s="545"/>
      <c r="M259" s="545"/>
      <c r="N259" s="545"/>
      <c r="O259" s="545"/>
      <c r="P259" s="545"/>
      <c r="Q259" s="545"/>
      <c r="R259" s="545"/>
      <c r="S259" s="545"/>
      <c r="T259" s="180"/>
    </row>
    <row r="260" spans="12:20" s="31" customFormat="1" ht="15" hidden="1" customHeight="1">
      <c r="L260" s="545"/>
      <c r="M260" s="545"/>
      <c r="N260" s="545"/>
      <c r="O260" s="545"/>
      <c r="P260" s="545"/>
      <c r="Q260" s="545"/>
      <c r="R260" s="545"/>
      <c r="S260" s="545"/>
      <c r="T260" s="180"/>
    </row>
    <row r="261" spans="12:20" s="31" customFormat="1" ht="15" hidden="1" customHeight="1">
      <c r="L261" s="545"/>
      <c r="M261" s="545"/>
      <c r="N261" s="545"/>
      <c r="O261" s="545"/>
      <c r="P261" s="545"/>
      <c r="Q261" s="545"/>
      <c r="R261" s="545"/>
      <c r="S261" s="545"/>
      <c r="T261" s="180"/>
    </row>
    <row r="262" spans="12:20" s="31" customFormat="1" ht="15" hidden="1" customHeight="1">
      <c r="L262" s="545"/>
      <c r="M262" s="545"/>
      <c r="N262" s="545"/>
      <c r="O262" s="545"/>
      <c r="P262" s="545"/>
      <c r="Q262" s="545"/>
      <c r="R262" s="545"/>
      <c r="S262" s="545"/>
      <c r="T262" s="180"/>
    </row>
    <row r="263" spans="12:20" s="31" customFormat="1" ht="15" hidden="1" customHeight="1">
      <c r="L263" s="545"/>
      <c r="M263" s="545"/>
      <c r="N263" s="545"/>
      <c r="O263" s="545"/>
      <c r="P263" s="545"/>
      <c r="Q263" s="545"/>
      <c r="R263" s="545"/>
      <c r="S263" s="545"/>
      <c r="T263" s="180"/>
    </row>
    <row r="264" spans="12:20" s="31" customFormat="1" ht="15" hidden="1" customHeight="1">
      <c r="L264" s="545"/>
      <c r="M264" s="545"/>
      <c r="N264" s="545"/>
      <c r="O264" s="545"/>
      <c r="P264" s="545"/>
      <c r="Q264" s="545"/>
      <c r="R264" s="545"/>
      <c r="S264" s="545"/>
      <c r="T264" s="180"/>
    </row>
    <row r="265" spans="12:20" s="31" customFormat="1" ht="15" hidden="1" customHeight="1">
      <c r="L265" s="545"/>
      <c r="M265" s="545"/>
      <c r="N265" s="545"/>
      <c r="O265" s="545"/>
      <c r="P265" s="545"/>
      <c r="Q265" s="545"/>
      <c r="R265" s="545"/>
      <c r="S265" s="545"/>
      <c r="T265" s="180"/>
    </row>
    <row r="266" spans="12:20" s="31" customFormat="1" ht="15" hidden="1" customHeight="1">
      <c r="L266" s="545"/>
      <c r="M266" s="545"/>
      <c r="N266" s="545"/>
      <c r="O266" s="545"/>
      <c r="P266" s="545"/>
      <c r="Q266" s="545"/>
      <c r="R266" s="545"/>
      <c r="S266" s="545"/>
      <c r="T266" s="180"/>
    </row>
    <row r="267" spans="12:20" s="31" customFormat="1" ht="15" hidden="1" customHeight="1">
      <c r="L267" s="545"/>
      <c r="M267" s="545"/>
      <c r="N267" s="545"/>
      <c r="O267" s="545"/>
      <c r="P267" s="545"/>
      <c r="Q267" s="545"/>
      <c r="R267" s="545"/>
      <c r="S267" s="545"/>
      <c r="T267" s="180"/>
    </row>
    <row r="268" spans="12:20" s="31" customFormat="1" ht="15" customHeight="1">
      <c r="L268" s="545"/>
      <c r="M268" s="545"/>
      <c r="N268" s="545"/>
      <c r="O268" s="545"/>
      <c r="P268" s="545"/>
      <c r="Q268" s="545"/>
      <c r="R268" s="545"/>
      <c r="S268" s="545"/>
      <c r="T268" s="180"/>
    </row>
    <row r="269" spans="12:20" s="31" customFormat="1" ht="15" customHeight="1">
      <c r="L269" s="545"/>
      <c r="M269" s="545"/>
      <c r="N269" s="545"/>
      <c r="O269" s="545"/>
      <c r="P269" s="545"/>
      <c r="Q269" s="545"/>
      <c r="R269" s="545"/>
      <c r="S269" s="545"/>
      <c r="T269" s="180"/>
    </row>
  </sheetData>
  <sheetProtection selectLockedCells="1"/>
  <mergeCells count="116">
    <mergeCell ref="A15:T17"/>
    <mergeCell ref="C215:T215"/>
    <mergeCell ref="K236:T236"/>
    <mergeCell ref="K242:T242"/>
    <mergeCell ref="K243:T243"/>
    <mergeCell ref="K244:S244"/>
    <mergeCell ref="K224:T224"/>
    <mergeCell ref="K225:T225"/>
    <mergeCell ref="K229:T229"/>
    <mergeCell ref="K230:T230"/>
    <mergeCell ref="K235:T235"/>
    <mergeCell ref="B80:C80"/>
    <mergeCell ref="C81:T81"/>
    <mergeCell ref="C82:T82"/>
    <mergeCell ref="C86:T86"/>
    <mergeCell ref="C87:T87"/>
    <mergeCell ref="C88:T88"/>
    <mergeCell ref="C91:T91"/>
    <mergeCell ref="C85:T85"/>
    <mergeCell ref="C92:T92"/>
    <mergeCell ref="C151:T153"/>
    <mergeCell ref="C98:T98"/>
    <mergeCell ref="C99:T99"/>
    <mergeCell ref="C146:T146"/>
    <mergeCell ref="A9:T11"/>
    <mergeCell ref="A12:T14"/>
    <mergeCell ref="B20:S22"/>
    <mergeCell ref="A53:T53"/>
    <mergeCell ref="B219:T219"/>
    <mergeCell ref="C213:T213"/>
    <mergeCell ref="C214:T214"/>
    <mergeCell ref="A58:T58"/>
    <mergeCell ref="A56:T57"/>
    <mergeCell ref="C77:T77"/>
    <mergeCell ref="C61:T61"/>
    <mergeCell ref="C62:T62"/>
    <mergeCell ref="D66:I66"/>
    <mergeCell ref="D67:I67"/>
    <mergeCell ref="K66:S66"/>
    <mergeCell ref="C68:T68"/>
    <mergeCell ref="C69:T69"/>
    <mergeCell ref="C72:T72"/>
    <mergeCell ref="C75:T75"/>
    <mergeCell ref="C76:T76"/>
    <mergeCell ref="C95:T95"/>
    <mergeCell ref="C78:T78"/>
    <mergeCell ref="B79:C79"/>
    <mergeCell ref="D79:T79"/>
    <mergeCell ref="C149:T149"/>
    <mergeCell ref="C150:T150"/>
    <mergeCell ref="C131:T132"/>
    <mergeCell ref="C133:T134"/>
    <mergeCell ref="C135:T136"/>
    <mergeCell ref="C137:T138"/>
    <mergeCell ref="C139:T141"/>
    <mergeCell ref="C142:T143"/>
    <mergeCell ref="C127:T127"/>
    <mergeCell ref="C128:T129"/>
    <mergeCell ref="B103:C103"/>
    <mergeCell ref="B104:C104"/>
    <mergeCell ref="B105:C105"/>
    <mergeCell ref="B106:C106"/>
    <mergeCell ref="B123:C123"/>
    <mergeCell ref="D123:U123"/>
    <mergeCell ref="B124:C124"/>
    <mergeCell ref="D124:U124"/>
    <mergeCell ref="B107:C107"/>
    <mergeCell ref="D107:H107"/>
    <mergeCell ref="C108:T110"/>
    <mergeCell ref="C113:T115"/>
    <mergeCell ref="C116:T119"/>
    <mergeCell ref="C120:T120"/>
    <mergeCell ref="B121:C121"/>
    <mergeCell ref="D121:U121"/>
    <mergeCell ref="B122:C122"/>
    <mergeCell ref="D122:U122"/>
    <mergeCell ref="C161:T161"/>
    <mergeCell ref="C154:T154"/>
    <mergeCell ref="B155:C155"/>
    <mergeCell ref="D155:T155"/>
    <mergeCell ref="B156:C156"/>
    <mergeCell ref="B157:C157"/>
    <mergeCell ref="B158:C158"/>
    <mergeCell ref="D159:T159"/>
    <mergeCell ref="C160:T160"/>
    <mergeCell ref="C210:T210"/>
    <mergeCell ref="B187:C187"/>
    <mergeCell ref="D187:T187"/>
    <mergeCell ref="C204:T204"/>
    <mergeCell ref="B188:C188"/>
    <mergeCell ref="B189:C189"/>
    <mergeCell ref="B190:C190"/>
    <mergeCell ref="B192:C192"/>
    <mergeCell ref="B193:C193"/>
    <mergeCell ref="C196:T196"/>
    <mergeCell ref="C197:T197"/>
    <mergeCell ref="C198:T198"/>
    <mergeCell ref="C199:T199"/>
    <mergeCell ref="C200:T200"/>
    <mergeCell ref="C203:T203"/>
    <mergeCell ref="C207:T207"/>
    <mergeCell ref="C185:T185"/>
    <mergeCell ref="B186:C186"/>
    <mergeCell ref="C169:T169"/>
    <mergeCell ref="C170:T170"/>
    <mergeCell ref="C173:T173"/>
    <mergeCell ref="C174:T174"/>
    <mergeCell ref="C175:T175"/>
    <mergeCell ref="C162:T162"/>
    <mergeCell ref="C163:T163"/>
    <mergeCell ref="C164:T164"/>
    <mergeCell ref="C167:T167"/>
    <mergeCell ref="C168:T168"/>
    <mergeCell ref="C178:T178"/>
    <mergeCell ref="C181:T181"/>
    <mergeCell ref="C182:T182"/>
  </mergeCells>
  <phoneticPr fontId="16"/>
  <printOptions horizontalCentered="1"/>
  <pageMargins left="0.59055118110236227" right="0.59055118110236227" top="0.59055118110236227" bottom="0.39370078740157483" header="0.31496062992125984" footer="0.19685039370078741"/>
  <pageSetup paperSize="9" scale="99" fitToHeight="0" orientation="portrait" r:id="rId1"/>
  <rowBreaks count="7" manualBreakCount="7">
    <brk id="54" max="23" man="1"/>
    <brk id="55" max="23" man="1"/>
    <brk id="83" max="23" man="1"/>
    <brk id="125" max="19" man="1"/>
    <brk id="164" max="19" man="1"/>
    <brk id="194" max="19" man="1"/>
    <brk id="218"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4"/>
    <pageSetUpPr fitToPage="1"/>
  </sheetPr>
  <dimension ref="A1:AJ158"/>
  <sheetViews>
    <sheetView view="pageBreakPreview" topLeftCell="A133" zoomScaleNormal="100" zoomScaleSheetLayoutView="100" workbookViewId="0">
      <selection activeCell="H1" sqref="H1"/>
    </sheetView>
  </sheetViews>
  <sheetFormatPr defaultColWidth="9" defaultRowHeight="15" customHeight="1"/>
  <cols>
    <col min="1" max="1" width="4.625" style="354" customWidth="1"/>
    <col min="2" max="3" width="9.875" style="355" customWidth="1"/>
    <col min="4" max="8" width="13.625" style="354" customWidth="1"/>
    <col min="9" max="9" width="9" style="354" hidden="1" customWidth="1"/>
    <col min="10" max="10" width="4.625" style="354" hidden="1" customWidth="1"/>
    <col min="11" max="12" width="4.625" style="364" hidden="1" customWidth="1"/>
    <col min="13" max="33" width="4.625" style="354" customWidth="1"/>
    <col min="34" max="16384" width="9" style="354"/>
  </cols>
  <sheetData>
    <row r="1" spans="1:13" s="334" customFormat="1" ht="15" customHeight="1">
      <c r="A1" s="331" t="s">
        <v>1713</v>
      </c>
      <c r="B1" s="332"/>
      <c r="C1" s="333"/>
      <c r="D1" s="333"/>
      <c r="E1" s="333"/>
      <c r="F1" s="333"/>
      <c r="H1" s="335" t="s">
        <v>2006</v>
      </c>
      <c r="K1" s="336"/>
      <c r="L1" s="336"/>
      <c r="M1" s="676"/>
    </row>
    <row r="2" spans="1:13" s="334" customFormat="1" ht="15" customHeight="1">
      <c r="A2" s="337" t="s">
        <v>359</v>
      </c>
      <c r="B2" s="332"/>
      <c r="C2" s="333"/>
      <c r="D2" s="333"/>
      <c r="E2" s="333"/>
      <c r="F2" s="333"/>
      <c r="H2" s="335"/>
      <c r="K2" s="336"/>
      <c r="L2" s="336"/>
      <c r="M2" s="677"/>
    </row>
    <row r="3" spans="1:13" s="334" customFormat="1" ht="15" customHeight="1">
      <c r="A3" s="338" t="s">
        <v>515</v>
      </c>
      <c r="B3" s="332"/>
      <c r="C3" s="333"/>
      <c r="D3" s="333"/>
      <c r="E3" s="333"/>
      <c r="F3" s="333"/>
      <c r="G3" s="339" t="s">
        <v>516</v>
      </c>
      <c r="H3" s="340">
        <f>【マスター】!F40</f>
        <v>10.14</v>
      </c>
      <c r="J3" s="334" t="s">
        <v>356</v>
      </c>
      <c r="K3" s="336"/>
      <c r="L3" s="336"/>
      <c r="M3" s="677"/>
    </row>
    <row r="4" spans="1:13" s="334" customFormat="1" ht="15" customHeight="1">
      <c r="A4" s="338" t="s">
        <v>517</v>
      </c>
      <c r="B4" s="332"/>
      <c r="C4" s="333"/>
      <c r="D4" s="333"/>
      <c r="E4" s="333"/>
      <c r="F4" s="333"/>
      <c r="H4" s="333"/>
      <c r="K4" s="336"/>
      <c r="L4" s="336"/>
      <c r="M4" s="677"/>
    </row>
    <row r="5" spans="1:13" s="334" customFormat="1" ht="15" customHeight="1">
      <c r="A5" s="1029" t="s">
        <v>518</v>
      </c>
      <c r="B5" s="1029"/>
      <c r="C5" s="1029"/>
      <c r="D5" s="1029" t="s">
        <v>519</v>
      </c>
      <c r="E5" s="1029" t="s">
        <v>520</v>
      </c>
      <c r="F5" s="1059" t="s">
        <v>1904</v>
      </c>
      <c r="G5" s="1060"/>
      <c r="H5" s="1061"/>
      <c r="K5" s="336"/>
      <c r="L5" s="336"/>
      <c r="M5" s="677"/>
    </row>
    <row r="6" spans="1:13" s="334" customFormat="1" ht="15" customHeight="1">
      <c r="A6" s="1029"/>
      <c r="B6" s="1029"/>
      <c r="C6" s="1029"/>
      <c r="D6" s="1029"/>
      <c r="E6" s="1029"/>
      <c r="F6" s="380" t="s">
        <v>521</v>
      </c>
      <c r="G6" s="381" t="s">
        <v>522</v>
      </c>
      <c r="H6" s="382" t="s">
        <v>523</v>
      </c>
      <c r="K6" s="336"/>
      <c r="L6" s="336"/>
      <c r="M6" s="677"/>
    </row>
    <row r="7" spans="1:13" s="334" customFormat="1" ht="15" customHeight="1">
      <c r="A7" s="1041" t="s">
        <v>524</v>
      </c>
      <c r="B7" s="1041"/>
      <c r="C7" s="1041"/>
      <c r="D7" s="515" t="str">
        <f>ASC(【マスター】!Q5&amp;"単位")</f>
        <v>416単位</v>
      </c>
      <c r="E7" s="341" t="str">
        <f>ASC(【マスター】!R5)</f>
        <v>4,218</v>
      </c>
      <c r="F7" s="383">
        <f>E7-(ROUNDDOWN(E7*0.9,0))</f>
        <v>422</v>
      </c>
      <c r="G7" s="384">
        <f>E7-(ROUNDDOWN(E7*0.8,0))</f>
        <v>844</v>
      </c>
      <c r="H7" s="385">
        <f>E7-(ROUNDDOWN(E7*0.7,0))</f>
        <v>1266</v>
      </c>
      <c r="K7" s="336"/>
      <c r="L7" s="336"/>
      <c r="M7" s="676"/>
    </row>
    <row r="8" spans="1:13" s="334" customFormat="1" ht="15" customHeight="1">
      <c r="A8" s="1042" t="s">
        <v>525</v>
      </c>
      <c r="B8" s="1042"/>
      <c r="C8" s="1042"/>
      <c r="D8" s="516" t="str">
        <f>ASC(【マスター】!Q6&amp;"単位")</f>
        <v>478単位</v>
      </c>
      <c r="E8" s="342" t="str">
        <f>ASC(【マスター】!R6)</f>
        <v>4,846</v>
      </c>
      <c r="F8" s="386">
        <f t="shared" ref="F8:F11" si="0">E8-(ROUNDDOWN(E8*0.9,0))</f>
        <v>485</v>
      </c>
      <c r="G8" s="384">
        <f t="shared" ref="G8:G11" si="1">E8-(ROUNDDOWN(E8*0.8,0))</f>
        <v>970</v>
      </c>
      <c r="H8" s="385">
        <f t="shared" ref="H8:H11" si="2">E8-(ROUNDDOWN(E8*0.7,0))</f>
        <v>1454</v>
      </c>
      <c r="K8" s="336"/>
      <c r="L8" s="336"/>
      <c r="M8" s="676"/>
    </row>
    <row r="9" spans="1:13" s="334" customFormat="1" ht="15" customHeight="1">
      <c r="A9" s="1042" t="s">
        <v>526</v>
      </c>
      <c r="B9" s="1042"/>
      <c r="C9" s="1042"/>
      <c r="D9" s="516" t="str">
        <f>ASC(【マスター】!Q7&amp;"単位")</f>
        <v>540単位</v>
      </c>
      <c r="E9" s="342" t="str">
        <f>ASC(【マスター】!R7)</f>
        <v>5,475</v>
      </c>
      <c r="F9" s="386">
        <f t="shared" si="0"/>
        <v>548</v>
      </c>
      <c r="G9" s="384">
        <f t="shared" si="1"/>
        <v>1095</v>
      </c>
      <c r="H9" s="385">
        <f t="shared" si="2"/>
        <v>1643</v>
      </c>
      <c r="K9" s="336"/>
      <c r="L9" s="336"/>
    </row>
    <row r="10" spans="1:13" s="334" customFormat="1" ht="15" customHeight="1">
      <c r="A10" s="1042" t="s">
        <v>527</v>
      </c>
      <c r="B10" s="1042"/>
      <c r="C10" s="1042"/>
      <c r="D10" s="516" t="str">
        <f>ASC(【マスター】!Q8&amp;"単位")</f>
        <v>600単位</v>
      </c>
      <c r="E10" s="342" t="str">
        <f>ASC(【マスター】!R8)</f>
        <v>6,084</v>
      </c>
      <c r="F10" s="386">
        <f t="shared" si="0"/>
        <v>609</v>
      </c>
      <c r="G10" s="384">
        <f t="shared" si="1"/>
        <v>1217</v>
      </c>
      <c r="H10" s="385">
        <f t="shared" si="2"/>
        <v>1826</v>
      </c>
      <c r="K10" s="336"/>
      <c r="L10" s="336"/>
    </row>
    <row r="11" spans="1:13" s="334" customFormat="1" ht="15" customHeight="1">
      <c r="A11" s="1043" t="s">
        <v>528</v>
      </c>
      <c r="B11" s="1043"/>
      <c r="C11" s="1043"/>
      <c r="D11" s="517" t="str">
        <f>ASC(【マスター】!Q9&amp;"単位")</f>
        <v>663単位</v>
      </c>
      <c r="E11" s="343" t="str">
        <f>ASC(【マスター】!R9)</f>
        <v>6,722</v>
      </c>
      <c r="F11" s="387">
        <f t="shared" si="0"/>
        <v>673</v>
      </c>
      <c r="G11" s="384">
        <f t="shared" si="1"/>
        <v>1345</v>
      </c>
      <c r="H11" s="385">
        <f t="shared" si="2"/>
        <v>2017</v>
      </c>
      <c r="K11" s="336"/>
      <c r="L11" s="336"/>
    </row>
    <row r="12" spans="1:13" s="334" customFormat="1" ht="15" customHeight="1">
      <c r="A12" s="1029" t="s">
        <v>529</v>
      </c>
      <c r="B12" s="1029"/>
      <c r="C12" s="1029"/>
      <c r="D12" s="1029" t="s">
        <v>519</v>
      </c>
      <c r="E12" s="1029" t="s">
        <v>520</v>
      </c>
      <c r="F12" s="1031" t="s">
        <v>1904</v>
      </c>
      <c r="G12" s="1032"/>
      <c r="H12" s="1033"/>
      <c r="K12" s="336"/>
      <c r="L12" s="336"/>
    </row>
    <row r="13" spans="1:13" s="334" customFormat="1" ht="15" customHeight="1">
      <c r="A13" s="1029"/>
      <c r="B13" s="1029"/>
      <c r="C13" s="1029"/>
      <c r="D13" s="1029"/>
      <c r="E13" s="1029"/>
      <c r="F13" s="380" t="s">
        <v>521</v>
      </c>
      <c r="G13" s="381" t="s">
        <v>522</v>
      </c>
      <c r="H13" s="382" t="s">
        <v>523</v>
      </c>
      <c r="K13" s="336"/>
      <c r="L13" s="336"/>
    </row>
    <row r="14" spans="1:13" s="334" customFormat="1" ht="15" customHeight="1">
      <c r="A14" s="1041" t="s">
        <v>524</v>
      </c>
      <c r="B14" s="1041"/>
      <c r="C14" s="1041"/>
      <c r="D14" s="515" t="str">
        <f>ASC(【マスター】!Q10&amp;"単位")</f>
        <v>436単位</v>
      </c>
      <c r="E14" s="341" t="str">
        <f>ASC(【マスター】!R10)</f>
        <v>4,421</v>
      </c>
      <c r="F14" s="383">
        <f>E14-(ROUNDDOWN(E14*0.9,0))</f>
        <v>443</v>
      </c>
      <c r="G14" s="384">
        <f>E14-(ROUNDDOWN(E14*0.8,0))</f>
        <v>885</v>
      </c>
      <c r="H14" s="385">
        <f>E14-(ROUNDDOWN(E14*0.7,0))</f>
        <v>1327</v>
      </c>
      <c r="K14" s="336"/>
      <c r="L14" s="336"/>
    </row>
    <row r="15" spans="1:13" s="334" customFormat="1" ht="15" customHeight="1">
      <c r="A15" s="1042" t="s">
        <v>525</v>
      </c>
      <c r="B15" s="1042"/>
      <c r="C15" s="1042"/>
      <c r="D15" s="516" t="str">
        <f>ASC(【マスター】!Q11&amp;"単位")</f>
        <v>501単位</v>
      </c>
      <c r="E15" s="342" t="str">
        <f>ASC(【マスター】!R11)</f>
        <v>5,080</v>
      </c>
      <c r="F15" s="386">
        <f t="shared" ref="F15:F18" si="3">E15-(ROUNDDOWN(E15*0.9,0))</f>
        <v>508</v>
      </c>
      <c r="G15" s="384">
        <f t="shared" ref="G15:G18" si="4">E15-(ROUNDDOWN(E15*0.8,0))</f>
        <v>1016</v>
      </c>
      <c r="H15" s="385">
        <f t="shared" ref="H15:H18" si="5">E15-(ROUNDDOWN(E15*0.7,0))</f>
        <v>1524</v>
      </c>
      <c r="K15" s="336"/>
      <c r="L15" s="336"/>
    </row>
    <row r="16" spans="1:13" s="334" customFormat="1" ht="15" customHeight="1">
      <c r="A16" s="1042" t="s">
        <v>526</v>
      </c>
      <c r="B16" s="1042"/>
      <c r="C16" s="1042"/>
      <c r="D16" s="516" t="str">
        <f>ASC(【マスター】!Q12&amp;"単位")</f>
        <v>566単位</v>
      </c>
      <c r="E16" s="342" t="str">
        <f>ASC(【マスター】!R12)</f>
        <v>5,739</v>
      </c>
      <c r="F16" s="386">
        <f t="shared" si="3"/>
        <v>574</v>
      </c>
      <c r="G16" s="384">
        <f t="shared" si="4"/>
        <v>1148</v>
      </c>
      <c r="H16" s="385">
        <f t="shared" si="5"/>
        <v>1722</v>
      </c>
      <c r="K16" s="336"/>
      <c r="L16" s="336"/>
    </row>
    <row r="17" spans="1:12" s="334" customFormat="1" ht="15" customHeight="1">
      <c r="A17" s="1042" t="s">
        <v>527</v>
      </c>
      <c r="B17" s="1042"/>
      <c r="C17" s="1042"/>
      <c r="D17" s="516" t="str">
        <f>ASC(【マスター】!Q13&amp;"単位")</f>
        <v>629単位</v>
      </c>
      <c r="E17" s="342" t="str">
        <f>ASC(【マスター】!R13)</f>
        <v>6,378</v>
      </c>
      <c r="F17" s="386">
        <f t="shared" si="3"/>
        <v>638</v>
      </c>
      <c r="G17" s="384">
        <f t="shared" si="4"/>
        <v>1276</v>
      </c>
      <c r="H17" s="385">
        <f t="shared" si="5"/>
        <v>1914</v>
      </c>
      <c r="K17" s="336"/>
      <c r="L17" s="336"/>
    </row>
    <row r="18" spans="1:12" s="334" customFormat="1" ht="15" customHeight="1">
      <c r="A18" s="1043" t="s">
        <v>528</v>
      </c>
      <c r="B18" s="1043"/>
      <c r="C18" s="1043"/>
      <c r="D18" s="517" t="str">
        <f>ASC(【マスター】!Q14&amp;"単位")</f>
        <v>695単位</v>
      </c>
      <c r="E18" s="343" t="str">
        <f>ASC(【マスター】!R14)</f>
        <v>7,047</v>
      </c>
      <c r="F18" s="387">
        <f t="shared" si="3"/>
        <v>705</v>
      </c>
      <c r="G18" s="384">
        <f t="shared" si="4"/>
        <v>1410</v>
      </c>
      <c r="H18" s="385">
        <f t="shared" si="5"/>
        <v>2115</v>
      </c>
      <c r="K18" s="336"/>
      <c r="L18" s="336"/>
    </row>
    <row r="19" spans="1:12" s="334" customFormat="1" ht="15" customHeight="1">
      <c r="A19" s="1029" t="s">
        <v>530</v>
      </c>
      <c r="B19" s="1029"/>
      <c r="C19" s="1029"/>
      <c r="D19" s="1029" t="s">
        <v>519</v>
      </c>
      <c r="E19" s="1029" t="s">
        <v>520</v>
      </c>
      <c r="F19" s="1031" t="s">
        <v>1904</v>
      </c>
      <c r="G19" s="1032"/>
      <c r="H19" s="1033"/>
      <c r="K19" s="336"/>
      <c r="L19" s="336"/>
    </row>
    <row r="20" spans="1:12" s="334" customFormat="1" ht="15" customHeight="1">
      <c r="A20" s="1029"/>
      <c r="B20" s="1029"/>
      <c r="C20" s="1029"/>
      <c r="D20" s="1029"/>
      <c r="E20" s="1029"/>
      <c r="F20" s="380" t="s">
        <v>521</v>
      </c>
      <c r="G20" s="381" t="s">
        <v>522</v>
      </c>
      <c r="H20" s="382" t="s">
        <v>523</v>
      </c>
      <c r="K20" s="336"/>
      <c r="L20" s="336"/>
    </row>
    <row r="21" spans="1:12" s="334" customFormat="1" ht="15" customHeight="1">
      <c r="A21" s="1041" t="s">
        <v>524</v>
      </c>
      <c r="B21" s="1041"/>
      <c r="C21" s="1041"/>
      <c r="D21" s="515" t="str">
        <f>ASC(【マスター】!Q15&amp;"単位")</f>
        <v>657単位</v>
      </c>
      <c r="E21" s="341" t="str">
        <f>ASC(【マスター】!R15)</f>
        <v>6,661</v>
      </c>
      <c r="F21" s="383">
        <f>E21-(ROUNDDOWN(E21*0.9,0))</f>
        <v>667</v>
      </c>
      <c r="G21" s="384">
        <f>E21-(ROUNDDOWN(E21*0.8,0))</f>
        <v>1333</v>
      </c>
      <c r="H21" s="385">
        <f>E21-(ROUNDDOWN(E21*0.7,0))</f>
        <v>1999</v>
      </c>
      <c r="K21" s="336"/>
      <c r="L21" s="336"/>
    </row>
    <row r="22" spans="1:12" s="334" customFormat="1" ht="15" customHeight="1">
      <c r="A22" s="1042" t="s">
        <v>525</v>
      </c>
      <c r="B22" s="1042"/>
      <c r="C22" s="1042"/>
      <c r="D22" s="516" t="str">
        <f>ASC(【マスター】!Q16&amp;"単位")</f>
        <v>776単位</v>
      </c>
      <c r="E22" s="342" t="str">
        <f>ASC(【マスター】!R16)</f>
        <v>7,868</v>
      </c>
      <c r="F22" s="386">
        <f t="shared" ref="F22:F25" si="6">E22-(ROUNDDOWN(E22*0.9,0))</f>
        <v>787</v>
      </c>
      <c r="G22" s="384">
        <f t="shared" ref="G22:G25" si="7">E22-(ROUNDDOWN(E22*0.8,0))</f>
        <v>1574</v>
      </c>
      <c r="H22" s="385">
        <f t="shared" ref="H22:H25" si="8">E22-(ROUNDDOWN(E22*0.7,0))</f>
        <v>2361</v>
      </c>
      <c r="K22" s="336"/>
      <c r="L22" s="336"/>
    </row>
    <row r="23" spans="1:12" s="334" customFormat="1" ht="15" customHeight="1">
      <c r="A23" s="1042" t="s">
        <v>526</v>
      </c>
      <c r="B23" s="1042"/>
      <c r="C23" s="1042"/>
      <c r="D23" s="516" t="str">
        <f>ASC(【マスター】!Q17&amp;"単位")</f>
        <v>896単位</v>
      </c>
      <c r="E23" s="342" t="str">
        <f>ASC(【マスター】!R17)</f>
        <v>9,085</v>
      </c>
      <c r="F23" s="386">
        <f t="shared" si="6"/>
        <v>909</v>
      </c>
      <c r="G23" s="384">
        <f t="shared" si="7"/>
        <v>1817</v>
      </c>
      <c r="H23" s="385">
        <f t="shared" si="8"/>
        <v>2726</v>
      </c>
      <c r="K23" s="336"/>
      <c r="L23" s="336"/>
    </row>
    <row r="24" spans="1:12" s="334" customFormat="1" ht="15" customHeight="1">
      <c r="A24" s="1042" t="s">
        <v>527</v>
      </c>
      <c r="B24" s="1042"/>
      <c r="C24" s="1042"/>
      <c r="D24" s="516" t="str">
        <f>ASC(【マスター】!Q18&amp;"単位")</f>
        <v>1,013単位</v>
      </c>
      <c r="E24" s="342" t="str">
        <f>ASC(【マスター】!R18)</f>
        <v>10,271</v>
      </c>
      <c r="F24" s="386">
        <f t="shared" si="6"/>
        <v>1028</v>
      </c>
      <c r="G24" s="384">
        <f t="shared" si="7"/>
        <v>2055</v>
      </c>
      <c r="H24" s="385">
        <f t="shared" si="8"/>
        <v>3082</v>
      </c>
      <c r="K24" s="336"/>
      <c r="L24" s="336"/>
    </row>
    <row r="25" spans="1:12" s="334" customFormat="1" ht="15" customHeight="1">
      <c r="A25" s="1043" t="s">
        <v>528</v>
      </c>
      <c r="B25" s="1043"/>
      <c r="C25" s="1043"/>
      <c r="D25" s="517" t="str">
        <f>ASC(【マスター】!Q19&amp;"単位")</f>
        <v>1,134単位</v>
      </c>
      <c r="E25" s="343" t="str">
        <f>ASC(【マスター】!R19)</f>
        <v>11,498</v>
      </c>
      <c r="F25" s="387">
        <f t="shared" si="6"/>
        <v>1150</v>
      </c>
      <c r="G25" s="384">
        <f t="shared" si="7"/>
        <v>2300</v>
      </c>
      <c r="H25" s="385">
        <f t="shared" si="8"/>
        <v>3450</v>
      </c>
      <c r="K25" s="336"/>
      <c r="L25" s="336"/>
    </row>
    <row r="26" spans="1:12" s="334" customFormat="1" ht="15" customHeight="1">
      <c r="A26" s="1029" t="s">
        <v>531</v>
      </c>
      <c r="B26" s="1029"/>
      <c r="C26" s="1029"/>
      <c r="D26" s="1029" t="s">
        <v>519</v>
      </c>
      <c r="E26" s="1029" t="s">
        <v>520</v>
      </c>
      <c r="F26" s="1031" t="s">
        <v>1904</v>
      </c>
      <c r="G26" s="1032"/>
      <c r="H26" s="1033"/>
      <c r="K26" s="336"/>
      <c r="L26" s="336"/>
    </row>
    <row r="27" spans="1:12" s="334" customFormat="1" ht="15" customHeight="1">
      <c r="A27" s="1029"/>
      <c r="B27" s="1029"/>
      <c r="C27" s="1029"/>
      <c r="D27" s="1029"/>
      <c r="E27" s="1029"/>
      <c r="F27" s="380" t="s">
        <v>521</v>
      </c>
      <c r="G27" s="381" t="s">
        <v>522</v>
      </c>
      <c r="H27" s="382" t="s">
        <v>523</v>
      </c>
      <c r="K27" s="336"/>
      <c r="L27" s="336"/>
    </row>
    <row r="28" spans="1:12" s="334" customFormat="1" ht="15" customHeight="1">
      <c r="A28" s="1041" t="s">
        <v>524</v>
      </c>
      <c r="B28" s="1041"/>
      <c r="C28" s="1041"/>
      <c r="D28" s="515" t="str">
        <f>ASC(【マスター】!Q20&amp;"単位")</f>
        <v>678単位</v>
      </c>
      <c r="E28" s="341" t="str">
        <f>ASC(【マスター】!R20)</f>
        <v>6,874</v>
      </c>
      <c r="F28" s="383">
        <f>E28-(ROUNDDOWN(E28*0.9,0))</f>
        <v>688</v>
      </c>
      <c r="G28" s="384">
        <f>E28-(ROUNDDOWN(E28*0.8,0))</f>
        <v>1375</v>
      </c>
      <c r="H28" s="385">
        <f>E28-(ROUNDDOWN(E28*0.7,0))</f>
        <v>2063</v>
      </c>
      <c r="K28" s="336"/>
      <c r="L28" s="336"/>
    </row>
    <row r="29" spans="1:12" s="334" customFormat="1" ht="15" customHeight="1">
      <c r="A29" s="1042" t="s">
        <v>525</v>
      </c>
      <c r="B29" s="1042"/>
      <c r="C29" s="1042"/>
      <c r="D29" s="516" t="str">
        <f>ASC(【マスター】!Q21&amp;"単位")</f>
        <v>801単位</v>
      </c>
      <c r="E29" s="342" t="str">
        <f>ASC(【マスター】!R21)</f>
        <v>8,122</v>
      </c>
      <c r="F29" s="386">
        <f t="shared" ref="F29:F32" si="9">E29-(ROUNDDOWN(E29*0.9,0))</f>
        <v>813</v>
      </c>
      <c r="G29" s="384">
        <f t="shared" ref="G29:G32" si="10">E29-(ROUNDDOWN(E29*0.8,0))</f>
        <v>1625</v>
      </c>
      <c r="H29" s="385">
        <f t="shared" ref="H29:H32" si="11">E29-(ROUNDDOWN(E29*0.7,0))</f>
        <v>2437</v>
      </c>
      <c r="K29" s="336"/>
      <c r="L29" s="336"/>
    </row>
    <row r="30" spans="1:12" s="334" customFormat="1" ht="15" customHeight="1">
      <c r="A30" s="1042" t="s">
        <v>526</v>
      </c>
      <c r="B30" s="1042"/>
      <c r="C30" s="1042"/>
      <c r="D30" s="516" t="str">
        <f>ASC(【マスター】!Q22&amp;"単位")</f>
        <v>925単位</v>
      </c>
      <c r="E30" s="342" t="str">
        <f>ASC(【マスター】!R22)</f>
        <v>9,379</v>
      </c>
      <c r="F30" s="386">
        <f t="shared" si="9"/>
        <v>938</v>
      </c>
      <c r="G30" s="384">
        <f t="shared" si="10"/>
        <v>1876</v>
      </c>
      <c r="H30" s="385">
        <f t="shared" si="11"/>
        <v>2814</v>
      </c>
      <c r="K30" s="336"/>
      <c r="L30" s="336"/>
    </row>
    <row r="31" spans="1:12" s="334" customFormat="1" ht="15" customHeight="1">
      <c r="A31" s="1042" t="s">
        <v>527</v>
      </c>
      <c r="B31" s="1042"/>
      <c r="C31" s="1042"/>
      <c r="D31" s="516" t="str">
        <f>ASC(【マスター】!Q23&amp;"単位")</f>
        <v>1,049単位</v>
      </c>
      <c r="E31" s="342" t="str">
        <f>ASC(【マスター】!R23)</f>
        <v>10,636</v>
      </c>
      <c r="F31" s="386">
        <f t="shared" si="9"/>
        <v>1064</v>
      </c>
      <c r="G31" s="384">
        <f t="shared" si="10"/>
        <v>2128</v>
      </c>
      <c r="H31" s="385">
        <f t="shared" si="11"/>
        <v>3191</v>
      </c>
      <c r="K31" s="336"/>
      <c r="L31" s="336"/>
    </row>
    <row r="32" spans="1:12" s="334" customFormat="1" ht="15" customHeight="1">
      <c r="A32" s="1043" t="s">
        <v>528</v>
      </c>
      <c r="B32" s="1043"/>
      <c r="C32" s="1043"/>
      <c r="D32" s="517" t="str">
        <f>ASC(【マスター】!Q24&amp;"単位")</f>
        <v>1,172単位</v>
      </c>
      <c r="E32" s="343" t="str">
        <f>ASC(【マスター】!R24)</f>
        <v>11,884</v>
      </c>
      <c r="F32" s="387">
        <f t="shared" si="9"/>
        <v>1189</v>
      </c>
      <c r="G32" s="384">
        <f t="shared" si="10"/>
        <v>2377</v>
      </c>
      <c r="H32" s="385">
        <f t="shared" si="11"/>
        <v>3566</v>
      </c>
      <c r="K32" s="336"/>
      <c r="L32" s="336"/>
    </row>
    <row r="33" spans="1:12" s="334" customFormat="1" ht="15" customHeight="1">
      <c r="A33" s="1029" t="s">
        <v>532</v>
      </c>
      <c r="B33" s="1029"/>
      <c r="C33" s="1029"/>
      <c r="D33" s="1029" t="s">
        <v>519</v>
      </c>
      <c r="E33" s="1029" t="s">
        <v>520</v>
      </c>
      <c r="F33" s="1031" t="s">
        <v>1904</v>
      </c>
      <c r="G33" s="1032"/>
      <c r="H33" s="1033"/>
      <c r="K33" s="336"/>
      <c r="L33" s="336"/>
    </row>
    <row r="34" spans="1:12" s="334" customFormat="1" ht="15" customHeight="1">
      <c r="A34" s="1029"/>
      <c r="B34" s="1029"/>
      <c r="C34" s="1029"/>
      <c r="D34" s="1029"/>
      <c r="E34" s="1029"/>
      <c r="F34" s="380" t="s">
        <v>521</v>
      </c>
      <c r="G34" s="381" t="s">
        <v>522</v>
      </c>
      <c r="H34" s="382" t="s">
        <v>523</v>
      </c>
      <c r="K34" s="336"/>
      <c r="L34" s="336"/>
    </row>
    <row r="35" spans="1:12" s="334" customFormat="1" ht="15" customHeight="1">
      <c r="A35" s="1041" t="s">
        <v>524</v>
      </c>
      <c r="B35" s="1041"/>
      <c r="C35" s="1041"/>
      <c r="D35" s="515" t="str">
        <f>ASC(【マスター】!Q25&amp;"単位")</f>
        <v>753単位</v>
      </c>
      <c r="E35" s="341" t="str">
        <f>ASC(【マスター】!R25)</f>
        <v>7,635</v>
      </c>
      <c r="F35" s="383">
        <f>E35-(ROUNDDOWN(E35*0.9,0))</f>
        <v>764</v>
      </c>
      <c r="G35" s="384">
        <f>E35-(ROUNDDOWN(E35*0.8,0))</f>
        <v>1527</v>
      </c>
      <c r="H35" s="385">
        <f>E35-(ROUNDDOWN(E35*0.7,0))</f>
        <v>2291</v>
      </c>
      <c r="K35" s="336"/>
      <c r="L35" s="336"/>
    </row>
    <row r="36" spans="1:12" s="334" customFormat="1" ht="15" customHeight="1">
      <c r="A36" s="1042" t="s">
        <v>525</v>
      </c>
      <c r="B36" s="1042"/>
      <c r="C36" s="1042"/>
      <c r="D36" s="516" t="str">
        <f>ASC(【マスター】!Q26&amp;"単位")</f>
        <v>890単位</v>
      </c>
      <c r="E36" s="342" t="str">
        <f>ASC(【マスター】!R26)</f>
        <v>9,024</v>
      </c>
      <c r="F36" s="386">
        <f t="shared" ref="F36:F39" si="12">E36-(ROUNDDOWN(E36*0.9,0))</f>
        <v>903</v>
      </c>
      <c r="G36" s="384">
        <f t="shared" ref="G36:G39" si="13">E36-(ROUNDDOWN(E36*0.8,0))</f>
        <v>1805</v>
      </c>
      <c r="H36" s="385">
        <f t="shared" ref="H36:H39" si="14">E36-(ROUNDDOWN(E36*0.7,0))</f>
        <v>2708</v>
      </c>
      <c r="K36" s="336"/>
      <c r="L36" s="336"/>
    </row>
    <row r="37" spans="1:12" s="334" customFormat="1" ht="15" customHeight="1">
      <c r="A37" s="1042" t="s">
        <v>526</v>
      </c>
      <c r="B37" s="1042"/>
      <c r="C37" s="1042"/>
      <c r="D37" s="516" t="str">
        <f>ASC(【マスター】!Q27&amp;"単位")</f>
        <v>1,032単位</v>
      </c>
      <c r="E37" s="342" t="str">
        <f>ASC(【マスター】!R27)</f>
        <v>10,464</v>
      </c>
      <c r="F37" s="386">
        <f t="shared" si="12"/>
        <v>1047</v>
      </c>
      <c r="G37" s="384">
        <f t="shared" si="13"/>
        <v>2093</v>
      </c>
      <c r="H37" s="385">
        <f t="shared" si="14"/>
        <v>3140</v>
      </c>
      <c r="K37" s="336"/>
      <c r="L37" s="336"/>
    </row>
    <row r="38" spans="1:12" s="334" customFormat="1" ht="15" customHeight="1">
      <c r="A38" s="1042" t="s">
        <v>527</v>
      </c>
      <c r="B38" s="1042"/>
      <c r="C38" s="1042"/>
      <c r="D38" s="516" t="str">
        <f>ASC(【マスター】!Q28&amp;"単位")</f>
        <v>1,172単位</v>
      </c>
      <c r="E38" s="342" t="str">
        <f>ASC(【マスター】!R28)</f>
        <v>11,884</v>
      </c>
      <c r="F38" s="386">
        <f t="shared" si="12"/>
        <v>1189</v>
      </c>
      <c r="G38" s="384">
        <f t="shared" si="13"/>
        <v>2377</v>
      </c>
      <c r="H38" s="385">
        <f t="shared" si="14"/>
        <v>3566</v>
      </c>
      <c r="K38" s="336"/>
      <c r="L38" s="336"/>
    </row>
    <row r="39" spans="1:12" s="334" customFormat="1" ht="15" customHeight="1">
      <c r="A39" s="1043" t="s">
        <v>528</v>
      </c>
      <c r="B39" s="1043"/>
      <c r="C39" s="1043"/>
      <c r="D39" s="517" t="str">
        <f>ASC(【マスター】!Q29&amp;"単位")</f>
        <v>1,312単位</v>
      </c>
      <c r="E39" s="343" t="str">
        <f>ASC(【マスター】!R29)</f>
        <v>13,303</v>
      </c>
      <c r="F39" s="387">
        <f t="shared" si="12"/>
        <v>1331</v>
      </c>
      <c r="G39" s="384">
        <f t="shared" si="13"/>
        <v>2661</v>
      </c>
      <c r="H39" s="385">
        <f t="shared" si="14"/>
        <v>3991</v>
      </c>
      <c r="K39" s="336"/>
      <c r="L39" s="336"/>
    </row>
    <row r="40" spans="1:12" s="334" customFormat="1" ht="15" customHeight="1">
      <c r="A40" s="1029" t="s">
        <v>533</v>
      </c>
      <c r="B40" s="1029"/>
      <c r="C40" s="1029"/>
      <c r="D40" s="1029" t="s">
        <v>519</v>
      </c>
      <c r="E40" s="1029" t="s">
        <v>520</v>
      </c>
      <c r="F40" s="1031" t="s">
        <v>1904</v>
      </c>
      <c r="G40" s="1032"/>
      <c r="H40" s="1033"/>
      <c r="K40" s="336"/>
      <c r="L40" s="336"/>
    </row>
    <row r="41" spans="1:12" s="334" customFormat="1" ht="15" customHeight="1">
      <c r="A41" s="1029"/>
      <c r="B41" s="1029"/>
      <c r="C41" s="1029"/>
      <c r="D41" s="1029"/>
      <c r="E41" s="1029"/>
      <c r="F41" s="380" t="s">
        <v>521</v>
      </c>
      <c r="G41" s="381" t="s">
        <v>522</v>
      </c>
      <c r="H41" s="382" t="s">
        <v>523</v>
      </c>
      <c r="K41" s="336"/>
      <c r="L41" s="336"/>
    </row>
    <row r="42" spans="1:12" s="334" customFormat="1" ht="15" customHeight="1">
      <c r="A42" s="1041" t="s">
        <v>524</v>
      </c>
      <c r="B42" s="1041"/>
      <c r="C42" s="1041"/>
      <c r="D42" s="515" t="str">
        <f>ASC(【マスター】!Q30&amp;"単位")</f>
        <v>783単位</v>
      </c>
      <c r="E42" s="341" t="str">
        <f>ASC(【マスター】!R30)</f>
        <v>7,939</v>
      </c>
      <c r="F42" s="383">
        <f>E42-(ROUNDDOWN(E42*0.9,0))</f>
        <v>794</v>
      </c>
      <c r="G42" s="384">
        <f>E42-(ROUNDDOWN(E42*0.8,0))</f>
        <v>1588</v>
      </c>
      <c r="H42" s="385">
        <f>E42-(ROUNDDOWN(E42*0.7,0))</f>
        <v>2382</v>
      </c>
      <c r="K42" s="336"/>
      <c r="L42" s="336"/>
    </row>
    <row r="43" spans="1:12" s="334" customFormat="1" ht="15" customHeight="1">
      <c r="A43" s="1042" t="s">
        <v>525</v>
      </c>
      <c r="B43" s="1042"/>
      <c r="C43" s="1042"/>
      <c r="D43" s="516" t="str">
        <f>ASC(【マスター】!Q31&amp;"単位")</f>
        <v>925単位</v>
      </c>
      <c r="E43" s="342" t="str">
        <f>ASC(【マスター】!R31)</f>
        <v>9,379</v>
      </c>
      <c r="F43" s="386">
        <f t="shared" ref="F43:F46" si="15">E43-(ROUNDDOWN(E43*0.9,0))</f>
        <v>938</v>
      </c>
      <c r="G43" s="384">
        <f t="shared" ref="G43:G46" si="16">E43-(ROUNDDOWN(E43*0.8,0))</f>
        <v>1876</v>
      </c>
      <c r="H43" s="385">
        <f t="shared" ref="H43:H46" si="17">E43-(ROUNDDOWN(E43*0.7,0))</f>
        <v>2814</v>
      </c>
      <c r="K43" s="336"/>
      <c r="L43" s="336"/>
    </row>
    <row r="44" spans="1:12" s="334" customFormat="1" ht="15" customHeight="1">
      <c r="A44" s="1042" t="s">
        <v>526</v>
      </c>
      <c r="B44" s="1042"/>
      <c r="C44" s="1042"/>
      <c r="D44" s="516" t="str">
        <f>ASC(【マスター】!Q32&amp;"単位")</f>
        <v>1,072単位</v>
      </c>
      <c r="E44" s="342" t="str">
        <f>ASC(【マスター】!R32)</f>
        <v>10,870</v>
      </c>
      <c r="F44" s="386">
        <f t="shared" si="15"/>
        <v>1087</v>
      </c>
      <c r="G44" s="384">
        <f t="shared" si="16"/>
        <v>2174</v>
      </c>
      <c r="H44" s="385">
        <f t="shared" si="17"/>
        <v>3261</v>
      </c>
      <c r="K44" s="336"/>
      <c r="L44" s="336"/>
    </row>
    <row r="45" spans="1:12" s="334" customFormat="1" ht="15" customHeight="1">
      <c r="A45" s="1042" t="s">
        <v>527</v>
      </c>
      <c r="B45" s="1042"/>
      <c r="C45" s="1042"/>
      <c r="D45" s="516" t="str">
        <f>ASC(【マスター】!Q33&amp;"単位")</f>
        <v>1,220単位</v>
      </c>
      <c r="E45" s="342" t="str">
        <f>ASC(【マスター】!R33)</f>
        <v>12,370</v>
      </c>
      <c r="F45" s="386">
        <f t="shared" si="15"/>
        <v>1237</v>
      </c>
      <c r="G45" s="384">
        <f t="shared" si="16"/>
        <v>2474</v>
      </c>
      <c r="H45" s="385">
        <f t="shared" si="17"/>
        <v>3711</v>
      </c>
      <c r="K45" s="336"/>
      <c r="L45" s="336"/>
    </row>
    <row r="46" spans="1:12" s="334" customFormat="1" ht="15" customHeight="1">
      <c r="A46" s="1043" t="s">
        <v>528</v>
      </c>
      <c r="B46" s="1043"/>
      <c r="C46" s="1043"/>
      <c r="D46" s="517" t="str">
        <f>ASC(【マスター】!Q34&amp;"単位")</f>
        <v>1,365単位</v>
      </c>
      <c r="E46" s="343" t="str">
        <f>ASC(【マスター】!R34)</f>
        <v>13,841</v>
      </c>
      <c r="F46" s="387">
        <f t="shared" si="15"/>
        <v>1385</v>
      </c>
      <c r="G46" s="384">
        <f t="shared" si="16"/>
        <v>2769</v>
      </c>
      <c r="H46" s="385">
        <f t="shared" si="17"/>
        <v>4153</v>
      </c>
      <c r="K46" s="336"/>
      <c r="L46" s="336"/>
    </row>
    <row r="47" spans="1:12" s="334" customFormat="1" ht="15" customHeight="1">
      <c r="A47" s="612"/>
      <c r="B47" s="612"/>
      <c r="C47" s="612"/>
      <c r="D47" s="612"/>
      <c r="E47" s="667"/>
      <c r="F47" s="668"/>
      <c r="G47" s="669"/>
      <c r="H47" s="669"/>
      <c r="K47" s="336"/>
      <c r="L47" s="336"/>
    </row>
    <row r="48" spans="1:12" s="334" customFormat="1" ht="15" customHeight="1">
      <c r="A48" s="1038" t="s">
        <v>534</v>
      </c>
      <c r="B48" s="1038"/>
      <c r="C48" s="344"/>
      <c r="D48" s="344"/>
      <c r="E48" s="344"/>
      <c r="F48" s="388"/>
      <c r="G48" s="388"/>
      <c r="H48" s="388"/>
      <c r="K48" s="336"/>
      <c r="L48" s="336"/>
    </row>
    <row r="49" spans="1:13" s="334" customFormat="1" ht="15" customHeight="1">
      <c r="A49" s="1029" t="s">
        <v>168</v>
      </c>
      <c r="B49" s="1029"/>
      <c r="C49" s="1029"/>
      <c r="D49" s="1029" t="s">
        <v>519</v>
      </c>
      <c r="E49" s="1029" t="s">
        <v>520</v>
      </c>
      <c r="F49" s="1031" t="s">
        <v>1904</v>
      </c>
      <c r="G49" s="1032"/>
      <c r="H49" s="1033"/>
      <c r="J49" s="345"/>
      <c r="K49" s="336"/>
      <c r="L49" s="336"/>
    </row>
    <row r="50" spans="1:13" s="334" customFormat="1" ht="15" customHeight="1">
      <c r="A50" s="1029"/>
      <c r="B50" s="1029"/>
      <c r="C50" s="1029"/>
      <c r="D50" s="1029"/>
      <c r="E50" s="1029"/>
      <c r="F50" s="380" t="s">
        <v>521</v>
      </c>
      <c r="G50" s="381" t="s">
        <v>522</v>
      </c>
      <c r="H50" s="382" t="s">
        <v>523</v>
      </c>
      <c r="J50" s="345"/>
      <c r="K50" s="336"/>
      <c r="L50" s="336"/>
    </row>
    <row r="51" spans="1:13" s="334" customFormat="1" ht="15" customHeight="1">
      <c r="A51" s="1029" t="s">
        <v>535</v>
      </c>
      <c r="B51" s="1029"/>
      <c r="C51" s="1029"/>
      <c r="D51" s="346" t="str">
        <f>ASC(【マスター】!K53)</f>
        <v>47</v>
      </c>
      <c r="E51" s="347" t="str">
        <f>ASC(【マスター】!L53)</f>
        <v>476</v>
      </c>
      <c r="F51" s="389">
        <f>E51-(ROUNDDOWN(E51*0.9,0))</f>
        <v>48</v>
      </c>
      <c r="G51" s="390">
        <f>E51-(ROUNDDOWN(E51*0.8,0))</f>
        <v>96</v>
      </c>
      <c r="H51" s="391">
        <f>E51-(ROUNDDOWN(E51*0.7,0))</f>
        <v>143</v>
      </c>
      <c r="J51" s="348"/>
      <c r="K51" s="336"/>
      <c r="L51" s="336"/>
    </row>
    <row r="52" spans="1:13" s="334" customFormat="1" ht="15" customHeight="1">
      <c r="A52" s="1029" t="s">
        <v>1906</v>
      </c>
      <c r="B52" s="1029"/>
      <c r="C52" s="1029"/>
      <c r="D52" s="346" t="str">
        <f>ASC(【マスター】!K54)</f>
        <v>94</v>
      </c>
      <c r="E52" s="347" t="str">
        <f>ASC(【マスター】!L54)</f>
        <v>953</v>
      </c>
      <c r="F52" s="389">
        <f>E52-(ROUNDDOWN(E52*0.9,0))</f>
        <v>96</v>
      </c>
      <c r="G52" s="390">
        <f>E52-(ROUNDDOWN(E52*0.8,0))</f>
        <v>191</v>
      </c>
      <c r="H52" s="391">
        <f>E52-(ROUNDDOWN(E52*0.7,0))</f>
        <v>286</v>
      </c>
      <c r="J52" s="365"/>
      <c r="K52" s="336"/>
      <c r="L52" s="336"/>
    </row>
    <row r="53" spans="1:13" s="334" customFormat="1" ht="15" customHeight="1">
      <c r="A53" s="1038" t="s">
        <v>536</v>
      </c>
      <c r="B53" s="1038"/>
      <c r="C53" s="349"/>
      <c r="D53" s="344"/>
      <c r="E53" s="344"/>
      <c r="F53" s="388"/>
      <c r="G53" s="388"/>
      <c r="H53" s="388"/>
      <c r="K53" s="336"/>
      <c r="L53" s="336"/>
    </row>
    <row r="54" spans="1:13" s="334" customFormat="1" ht="15" customHeight="1">
      <c r="A54" s="1044" t="s">
        <v>537</v>
      </c>
      <c r="B54" s="1034" t="s">
        <v>538</v>
      </c>
      <c r="C54" s="1035"/>
      <c r="D54" s="1029" t="s">
        <v>519</v>
      </c>
      <c r="E54" s="1029" t="s">
        <v>520</v>
      </c>
      <c r="F54" s="1031" t="s">
        <v>1904</v>
      </c>
      <c r="G54" s="1032"/>
      <c r="H54" s="1033"/>
      <c r="K54" s="336"/>
      <c r="L54" s="336"/>
    </row>
    <row r="55" spans="1:13" s="334" customFormat="1" ht="15" customHeight="1">
      <c r="A55" s="1045"/>
      <c r="B55" s="1036"/>
      <c r="C55" s="1037"/>
      <c r="D55" s="1029"/>
      <c r="E55" s="1029"/>
      <c r="F55" s="380" t="s">
        <v>521</v>
      </c>
      <c r="G55" s="381" t="s">
        <v>522</v>
      </c>
      <c r="H55" s="382" t="s">
        <v>523</v>
      </c>
      <c r="K55" s="336"/>
      <c r="L55" s="336"/>
    </row>
    <row r="56" spans="1:13" s="677" customFormat="1" ht="15" customHeight="1">
      <c r="A56" s="670" t="str">
        <f>IF(【マスター】!C50="有","✔","－")</f>
        <v>✔</v>
      </c>
      <c r="B56" s="1052" t="s">
        <v>1718</v>
      </c>
      <c r="C56" s="1053"/>
      <c r="D56" s="671" t="str">
        <f>ASC(【マスター】!D50&amp;"単位／日")</f>
        <v>40単位/日</v>
      </c>
      <c r="E56" s="672" t="str">
        <f>ASC(【マスター】!E50)</f>
        <v>405</v>
      </c>
      <c r="F56" s="673">
        <f>E56-(ROUNDDOWN(E56*0.9,0))</f>
        <v>41</v>
      </c>
      <c r="G56" s="674">
        <f>E56-(ROUNDDOWN(E56*0.8,0))</f>
        <v>81</v>
      </c>
      <c r="H56" s="675">
        <f>E56-(ROUNDDOWN(E56*0.7,0))</f>
        <v>122</v>
      </c>
      <c r="I56" s="676" t="s">
        <v>1742</v>
      </c>
      <c r="M56" s="676"/>
    </row>
    <row r="57" spans="1:13" s="677" customFormat="1" ht="15" customHeight="1">
      <c r="A57" s="670" t="str">
        <f>IF(【マスター】!C51="有","✔","－")</f>
        <v>✔</v>
      </c>
      <c r="B57" s="1054" t="s">
        <v>1719</v>
      </c>
      <c r="C57" s="1055"/>
      <c r="D57" s="671" t="str">
        <f>ASC(【マスター】!D51&amp;"単位／日")</f>
        <v>55単位/日</v>
      </c>
      <c r="E57" s="672" t="str">
        <f>ASC(【マスター】!E51)</f>
        <v>557</v>
      </c>
      <c r="F57" s="386">
        <f t="shared" ref="F57:F79" si="18">E57-(ROUNDDOWN(E57*0.9,0))</f>
        <v>56</v>
      </c>
      <c r="G57" s="384">
        <f t="shared" ref="G57:G79" si="19">E57-(ROUNDDOWN(E57*0.8,0))</f>
        <v>112</v>
      </c>
      <c r="H57" s="385">
        <f t="shared" ref="H57:H79" si="20">E57-(ROUNDDOWN(E57*0.7,0))</f>
        <v>168</v>
      </c>
      <c r="I57" s="676" t="s">
        <v>1742</v>
      </c>
      <c r="M57" s="676"/>
    </row>
    <row r="58" spans="1:13" s="677" customFormat="1" ht="15" customHeight="1">
      <c r="A58" s="670" t="str">
        <f>IF(【マスター】!C52="有","✔","－")</f>
        <v>－</v>
      </c>
      <c r="B58" s="1056" t="s">
        <v>170</v>
      </c>
      <c r="C58" s="1056"/>
      <c r="D58" s="671" t="str">
        <f>ASC(【マスター】!D52&amp;"単位／日")</f>
        <v>60単位/日</v>
      </c>
      <c r="E58" s="672" t="str">
        <f>ASC(【マスター】!E52)</f>
        <v>608</v>
      </c>
      <c r="F58" s="386">
        <f t="shared" si="18"/>
        <v>61</v>
      </c>
      <c r="G58" s="384">
        <f t="shared" si="19"/>
        <v>122</v>
      </c>
      <c r="H58" s="385">
        <f t="shared" si="20"/>
        <v>183</v>
      </c>
    </row>
    <row r="59" spans="1:13" s="677" customFormat="1" ht="15" customHeight="1">
      <c r="A59" s="670" t="str">
        <f>IF(【マスター】!C53="有","✔","－")</f>
        <v>✔</v>
      </c>
      <c r="B59" s="1056" t="s">
        <v>171</v>
      </c>
      <c r="C59" s="1056"/>
      <c r="D59" s="671" t="str">
        <f>ASC(【マスター】!D53&amp;"単位／日")</f>
        <v>60単位/日</v>
      </c>
      <c r="E59" s="672" t="str">
        <f>ASC(【マスター】!E53)</f>
        <v>608</v>
      </c>
      <c r="F59" s="386">
        <f t="shared" si="18"/>
        <v>61</v>
      </c>
      <c r="G59" s="384">
        <f t="shared" si="19"/>
        <v>122</v>
      </c>
      <c r="H59" s="385">
        <f t="shared" si="20"/>
        <v>183</v>
      </c>
    </row>
    <row r="60" spans="1:13" s="677" customFormat="1" ht="15" customHeight="1">
      <c r="A60" s="670" t="str">
        <f>IF(【マスター】!C54="有","✔","－")</f>
        <v>－</v>
      </c>
      <c r="B60" s="1056" t="s">
        <v>172</v>
      </c>
      <c r="C60" s="1056"/>
      <c r="D60" s="671" t="str">
        <f>ASC(【マスター】!D54&amp;"単位／日")</f>
        <v>45単位/日</v>
      </c>
      <c r="E60" s="672" t="str">
        <f>ASC(【マスター】!E54)</f>
        <v>456</v>
      </c>
      <c r="F60" s="386">
        <f t="shared" si="18"/>
        <v>46</v>
      </c>
      <c r="G60" s="384">
        <f t="shared" si="19"/>
        <v>92</v>
      </c>
      <c r="H60" s="385">
        <f t="shared" si="20"/>
        <v>137</v>
      </c>
    </row>
    <row r="61" spans="1:13" s="677" customFormat="1" ht="15" customHeight="1">
      <c r="A61" s="670" t="str">
        <f>IF(【マスター】!C55="有","✔","－")</f>
        <v>✔</v>
      </c>
      <c r="B61" s="1057" t="s">
        <v>1720</v>
      </c>
      <c r="C61" s="1058"/>
      <c r="D61" s="671" t="str">
        <f>ASC(【マスター】!D55&amp;"単位／日")</f>
        <v>56単位/日</v>
      </c>
      <c r="E61" s="672" t="str">
        <f>ASC(【マスター】!E55)</f>
        <v>567</v>
      </c>
      <c r="F61" s="386">
        <f t="shared" si="18"/>
        <v>57</v>
      </c>
      <c r="G61" s="384">
        <f t="shared" si="19"/>
        <v>114</v>
      </c>
      <c r="H61" s="385">
        <f t="shared" si="20"/>
        <v>171</v>
      </c>
      <c r="I61" s="676" t="s">
        <v>1742</v>
      </c>
      <c r="M61" s="676"/>
    </row>
    <row r="62" spans="1:13" s="677" customFormat="1" ht="15" customHeight="1">
      <c r="A62" s="670" t="str">
        <f>IF(【マスター】!C56="有","✔","－")</f>
        <v>－</v>
      </c>
      <c r="B62" s="1057" t="s">
        <v>1721</v>
      </c>
      <c r="C62" s="1058"/>
      <c r="D62" s="671" t="str">
        <f>ASC(【マスター】!D56&amp;"単位／日")</f>
        <v>76単位/日</v>
      </c>
      <c r="E62" s="672" t="str">
        <f>ASC(【マスター】!E56)</f>
        <v>770</v>
      </c>
      <c r="F62" s="386">
        <f t="shared" si="18"/>
        <v>77</v>
      </c>
      <c r="G62" s="384">
        <f t="shared" si="19"/>
        <v>154</v>
      </c>
      <c r="H62" s="385">
        <f t="shared" si="20"/>
        <v>231</v>
      </c>
      <c r="I62" s="676" t="s">
        <v>1742</v>
      </c>
      <c r="M62" s="676"/>
    </row>
    <row r="63" spans="1:13" s="677" customFormat="1" ht="15" customHeight="1">
      <c r="A63" s="670" t="str">
        <f>IF(【マスター】!C57="有","✔","－")</f>
        <v>－</v>
      </c>
      <c r="B63" s="1057" t="s">
        <v>174</v>
      </c>
      <c r="C63" s="1058"/>
      <c r="D63" s="671" t="str">
        <f>ASC(【マスター】!D57&amp;"単位／月")</f>
        <v>20単位/月</v>
      </c>
      <c r="E63" s="672" t="str">
        <f>ASC(【マスター】!E57)</f>
        <v>202</v>
      </c>
      <c r="F63" s="386">
        <f t="shared" si="18"/>
        <v>21</v>
      </c>
      <c r="G63" s="384">
        <f t="shared" si="19"/>
        <v>41</v>
      </c>
      <c r="H63" s="385">
        <f t="shared" si="20"/>
        <v>61</v>
      </c>
      <c r="I63" s="676" t="s">
        <v>1742</v>
      </c>
      <c r="M63" s="676"/>
    </row>
    <row r="64" spans="1:13" s="677" customFormat="1" ht="15" customHeight="1">
      <c r="A64" s="670" t="str">
        <f>IF(【マスター】!C58="有","✔","－")</f>
        <v>－</v>
      </c>
      <c r="B64" s="1054" t="s">
        <v>1723</v>
      </c>
      <c r="C64" s="1055"/>
      <c r="D64" s="671" t="str">
        <f>ASC(【マスター】!D58&amp;"単位／日")</f>
        <v>22単位/日</v>
      </c>
      <c r="E64" s="672" t="str">
        <f>ASC(【マスター】!E58)</f>
        <v>223</v>
      </c>
      <c r="F64" s="386">
        <f t="shared" si="18"/>
        <v>23</v>
      </c>
      <c r="G64" s="384">
        <f t="shared" si="19"/>
        <v>45</v>
      </c>
      <c r="H64" s="385">
        <f t="shared" si="20"/>
        <v>67</v>
      </c>
    </row>
    <row r="65" spans="1:13" s="677" customFormat="1" ht="15" customHeight="1">
      <c r="A65" s="670" t="str">
        <f>IF(【マスター】!C59="有","✔","－")</f>
        <v>－</v>
      </c>
      <c r="B65" s="1067" t="s">
        <v>177</v>
      </c>
      <c r="C65" s="1068"/>
      <c r="D65" s="671" t="str">
        <f>ASC(【マスター】!D59&amp;"単位／日")</f>
        <v>18単位/日</v>
      </c>
      <c r="E65" s="672" t="str">
        <f>ASC(【マスター】!E59)</f>
        <v>182</v>
      </c>
      <c r="F65" s="386">
        <f t="shared" si="18"/>
        <v>19</v>
      </c>
      <c r="G65" s="384">
        <f t="shared" si="19"/>
        <v>37</v>
      </c>
      <c r="H65" s="385">
        <f t="shared" si="20"/>
        <v>55</v>
      </c>
    </row>
    <row r="66" spans="1:13" s="677" customFormat="1" ht="15" customHeight="1">
      <c r="A66" s="670" t="str">
        <f>IF(【マスター】!C60="有","✔","－")</f>
        <v>－</v>
      </c>
      <c r="B66" s="1067" t="s">
        <v>1724</v>
      </c>
      <c r="C66" s="1068"/>
      <c r="D66" s="671" t="str">
        <f>ASC(【マスター】!D60&amp;"単位／日")</f>
        <v>6単位/日</v>
      </c>
      <c r="E66" s="672" t="str">
        <f>ASC(【マスター】!E60)</f>
        <v>60</v>
      </c>
      <c r="F66" s="386">
        <f t="shared" si="18"/>
        <v>6</v>
      </c>
      <c r="G66" s="384">
        <f t="shared" si="19"/>
        <v>12</v>
      </c>
      <c r="H66" s="385">
        <f t="shared" si="20"/>
        <v>18</v>
      </c>
    </row>
    <row r="67" spans="1:13" s="677" customFormat="1" ht="15" customHeight="1">
      <c r="A67" s="670" t="str">
        <f>IF(【マスター】!C61="有","✔","－")</f>
        <v>－</v>
      </c>
      <c r="B67" s="1057" t="s">
        <v>178</v>
      </c>
      <c r="C67" s="1058"/>
      <c r="D67" s="671" t="str">
        <f>ASC(【マスター】!D61&amp;"単位／回")</f>
        <v>200単位/回</v>
      </c>
      <c r="E67" s="672" t="str">
        <f>ASC(【マスター】!E61)</f>
        <v>2,028</v>
      </c>
      <c r="F67" s="386">
        <f t="shared" si="18"/>
        <v>203</v>
      </c>
      <c r="G67" s="384">
        <f t="shared" si="19"/>
        <v>406</v>
      </c>
      <c r="H67" s="385">
        <f t="shared" si="20"/>
        <v>609</v>
      </c>
      <c r="I67" s="676" t="s">
        <v>1742</v>
      </c>
      <c r="M67" s="676"/>
    </row>
    <row r="68" spans="1:13" s="677" customFormat="1" ht="15" customHeight="1">
      <c r="A68" s="670" t="str">
        <f>IF(【マスター】!C62="有","✔","－")</f>
        <v>－</v>
      </c>
      <c r="B68" s="1057" t="s">
        <v>1743</v>
      </c>
      <c r="C68" s="1058"/>
      <c r="D68" s="671" t="str">
        <f>ASC(【マスター】!D62&amp;"単位／月")</f>
        <v>50単位/月</v>
      </c>
      <c r="E68" s="672" t="str">
        <f>ASC(【マスター】!E62)</f>
        <v>507</v>
      </c>
      <c r="F68" s="386">
        <f t="shared" si="18"/>
        <v>51</v>
      </c>
      <c r="G68" s="384">
        <f t="shared" si="19"/>
        <v>102</v>
      </c>
      <c r="H68" s="385">
        <f t="shared" si="20"/>
        <v>153</v>
      </c>
      <c r="I68" s="676" t="s">
        <v>1742</v>
      </c>
      <c r="M68" s="676"/>
    </row>
    <row r="69" spans="1:13" s="677" customFormat="1" ht="15" customHeight="1">
      <c r="A69" s="670" t="str">
        <f>IF(【マスター】!C63="有","✔","－")</f>
        <v>－</v>
      </c>
      <c r="B69" s="1057" t="s">
        <v>1726</v>
      </c>
      <c r="C69" s="1058"/>
      <c r="D69" s="671" t="str">
        <f>ASC(【マスター】!D63&amp;"単位／回")</f>
        <v>20単位/回</v>
      </c>
      <c r="E69" s="672" t="str">
        <f>ASC(【マスター】!E63)</f>
        <v>202</v>
      </c>
      <c r="F69" s="386">
        <f t="shared" si="18"/>
        <v>21</v>
      </c>
      <c r="G69" s="384">
        <f t="shared" si="19"/>
        <v>41</v>
      </c>
      <c r="H69" s="385">
        <f t="shared" si="20"/>
        <v>61</v>
      </c>
      <c r="I69" s="676" t="s">
        <v>1742</v>
      </c>
      <c r="M69" s="676"/>
    </row>
    <row r="70" spans="1:13" s="677" customFormat="1" ht="15" customHeight="1">
      <c r="A70" s="670" t="str">
        <f>IF(【マスター】!C64="有","✔","－")</f>
        <v>－</v>
      </c>
      <c r="B70" s="1057" t="s">
        <v>1727</v>
      </c>
      <c r="C70" s="1058"/>
      <c r="D70" s="671" t="str">
        <f>ASC(【マスター】!D64&amp;"単位／回")</f>
        <v>5単位/回</v>
      </c>
      <c r="E70" s="672" t="str">
        <f>ASC(【マスター】!E64)</f>
        <v>50</v>
      </c>
      <c r="F70" s="386">
        <f t="shared" si="18"/>
        <v>5</v>
      </c>
      <c r="G70" s="384">
        <f t="shared" si="19"/>
        <v>10</v>
      </c>
      <c r="H70" s="385">
        <f t="shared" si="20"/>
        <v>15</v>
      </c>
      <c r="I70" s="676" t="s">
        <v>1742</v>
      </c>
      <c r="M70" s="676"/>
    </row>
    <row r="71" spans="1:13" s="677" customFormat="1" ht="15" customHeight="1">
      <c r="A71" s="670" t="str">
        <f>IF(【マスター】!C65="有","✔","－")</f>
        <v>✔</v>
      </c>
      <c r="B71" s="1057" t="s">
        <v>1728</v>
      </c>
      <c r="C71" s="1058"/>
      <c r="D71" s="671" t="str">
        <f>ASC(【マスター】!D65&amp;"単位／回")</f>
        <v>150単位/回</v>
      </c>
      <c r="E71" s="672" t="str">
        <f>ASC(【マスター】!E65)</f>
        <v>1,521</v>
      </c>
      <c r="F71" s="678">
        <f t="shared" si="18"/>
        <v>153</v>
      </c>
      <c r="G71" s="384">
        <f t="shared" si="19"/>
        <v>305</v>
      </c>
      <c r="H71" s="385">
        <f t="shared" si="20"/>
        <v>457</v>
      </c>
      <c r="I71" s="676" t="s">
        <v>1742</v>
      </c>
      <c r="M71" s="676"/>
    </row>
    <row r="72" spans="1:13" s="677" customFormat="1" ht="15" customHeight="1">
      <c r="A72" s="670" t="str">
        <f>IF(【マスター】!C66="有","✔","－")</f>
        <v>－</v>
      </c>
      <c r="B72" s="1057" t="s">
        <v>1729</v>
      </c>
      <c r="C72" s="1058"/>
      <c r="D72" s="671" t="str">
        <f>ASC(【マスター】!D66&amp;"単位／回")</f>
        <v>160単位/回</v>
      </c>
      <c r="E72" s="672" t="str">
        <f>ASC(【マスター】!E66)</f>
        <v>1,622</v>
      </c>
      <c r="F72" s="678">
        <f t="shared" si="18"/>
        <v>163</v>
      </c>
      <c r="G72" s="384">
        <f t="shared" si="19"/>
        <v>325</v>
      </c>
      <c r="H72" s="385">
        <f t="shared" si="20"/>
        <v>487</v>
      </c>
      <c r="I72" s="676" t="s">
        <v>1742</v>
      </c>
      <c r="M72" s="676"/>
    </row>
    <row r="73" spans="1:13" s="677" customFormat="1" ht="15" customHeight="1">
      <c r="A73" s="670" t="str">
        <f>IF(【マスター】!C67="有","✔","－")</f>
        <v>－</v>
      </c>
      <c r="B73" s="1057" t="s">
        <v>179</v>
      </c>
      <c r="C73" s="1058"/>
      <c r="D73" s="671" t="str">
        <f>ASC(【マスター】!D67&amp;"単位／月")</f>
        <v>30単位/月</v>
      </c>
      <c r="E73" s="672" t="str">
        <f>ASC(【マスター】!E67)</f>
        <v>304</v>
      </c>
      <c r="F73" s="678">
        <f t="shared" si="18"/>
        <v>31</v>
      </c>
      <c r="G73" s="384">
        <f t="shared" si="19"/>
        <v>61</v>
      </c>
      <c r="H73" s="385">
        <f t="shared" si="20"/>
        <v>92</v>
      </c>
      <c r="I73" s="676" t="s">
        <v>1742</v>
      </c>
      <c r="M73" s="676"/>
    </row>
    <row r="74" spans="1:13" s="677" customFormat="1" ht="15" customHeight="1">
      <c r="A74" s="670" t="str">
        <f>IF(【マスター】!C68="有","✔","－")</f>
        <v>－</v>
      </c>
      <c r="B74" s="1057" t="s">
        <v>180</v>
      </c>
      <c r="C74" s="1058"/>
      <c r="D74" s="671" t="str">
        <f>ASC(【マスター】!D68&amp;"単位／月")</f>
        <v>60単位/月</v>
      </c>
      <c r="E74" s="672" t="str">
        <f>ASC(【マスター】!E68)</f>
        <v>608</v>
      </c>
      <c r="F74" s="678">
        <f t="shared" si="18"/>
        <v>61</v>
      </c>
      <c r="G74" s="384">
        <f t="shared" si="19"/>
        <v>122</v>
      </c>
      <c r="H74" s="385">
        <f t="shared" si="20"/>
        <v>183</v>
      </c>
      <c r="I74" s="676" t="s">
        <v>1742</v>
      </c>
      <c r="M74" s="676"/>
    </row>
    <row r="75" spans="1:13" s="677" customFormat="1" ht="15" customHeight="1">
      <c r="A75" s="670" t="str">
        <f>IF(【マスター】!C69="有","✔","－")</f>
        <v>－</v>
      </c>
      <c r="B75" s="1057" t="s">
        <v>1730</v>
      </c>
      <c r="C75" s="1058"/>
      <c r="D75" s="671" t="str">
        <f>ASC(【マスター】!D69&amp;"単位／月")</f>
        <v>3単位/月</v>
      </c>
      <c r="E75" s="672" t="str">
        <f>ASC(【マスター】!E69)</f>
        <v>30</v>
      </c>
      <c r="F75" s="678">
        <f t="shared" si="18"/>
        <v>3</v>
      </c>
      <c r="G75" s="384">
        <f t="shared" si="19"/>
        <v>6</v>
      </c>
      <c r="H75" s="385">
        <f t="shared" si="20"/>
        <v>9</v>
      </c>
      <c r="I75" s="676"/>
      <c r="M75" s="676"/>
    </row>
    <row r="76" spans="1:13" s="677" customFormat="1" ht="15" customHeight="1">
      <c r="A76" s="670" t="str">
        <f>IF(【マスター】!C70="有","✔","－")</f>
        <v>－</v>
      </c>
      <c r="B76" s="1057" t="s">
        <v>1744</v>
      </c>
      <c r="C76" s="1058"/>
      <c r="D76" s="671" t="str">
        <f>ASC(【マスター】!D70&amp;"単位／月")</f>
        <v>100単位/月</v>
      </c>
      <c r="E76" s="672" t="str">
        <f>ASC(【マスター】!E70)</f>
        <v>1,014</v>
      </c>
      <c r="F76" s="678">
        <f t="shared" si="18"/>
        <v>102</v>
      </c>
      <c r="G76" s="384">
        <f t="shared" si="19"/>
        <v>203</v>
      </c>
      <c r="H76" s="385">
        <f t="shared" si="20"/>
        <v>305</v>
      </c>
      <c r="I76" s="676" t="s">
        <v>1742</v>
      </c>
      <c r="M76" s="676"/>
    </row>
    <row r="77" spans="1:13" s="677" customFormat="1" ht="15" customHeight="1">
      <c r="A77" s="670" t="str">
        <f>IF(【マスター】!C71="有","✔","－")</f>
        <v>－</v>
      </c>
      <c r="B77" s="1069" t="s">
        <v>1745</v>
      </c>
      <c r="C77" s="1069"/>
      <c r="D77" s="671" t="str">
        <f>ASC(【マスター】!D71&amp;"単位／月")</f>
        <v>100単位/月</v>
      </c>
      <c r="E77" s="672" t="str">
        <f>ASC(【マスター】!E71)</f>
        <v>1,014</v>
      </c>
      <c r="F77" s="678">
        <f t="shared" si="18"/>
        <v>102</v>
      </c>
      <c r="G77" s="384">
        <f t="shared" si="19"/>
        <v>203</v>
      </c>
      <c r="H77" s="385">
        <f t="shared" si="20"/>
        <v>305</v>
      </c>
    </row>
    <row r="78" spans="1:13" s="677" customFormat="1" ht="15" customHeight="1">
      <c r="A78" s="670" t="str">
        <f>IF(【マスター】!C72="有","✔","－")</f>
        <v>✔</v>
      </c>
      <c r="B78" s="1069" t="s">
        <v>182</v>
      </c>
      <c r="C78" s="1069"/>
      <c r="D78" s="671" t="str">
        <f>ASC(【マスター】!D72&amp;"単位／時間")</f>
        <v>50単位/時間</v>
      </c>
      <c r="E78" s="672" t="str">
        <f>ASC(【マスター】!E72)</f>
        <v>507</v>
      </c>
      <c r="F78" s="678">
        <f t="shared" si="18"/>
        <v>51</v>
      </c>
      <c r="G78" s="384">
        <f t="shared" si="19"/>
        <v>102</v>
      </c>
      <c r="H78" s="385">
        <f t="shared" si="20"/>
        <v>153</v>
      </c>
    </row>
    <row r="79" spans="1:13" s="677" customFormat="1" ht="15" customHeight="1">
      <c r="A79" s="670" t="str">
        <f>IF(【マスター】!C73="有","✔","－")</f>
        <v>✔</v>
      </c>
      <c r="B79" s="1070" t="s">
        <v>1746</v>
      </c>
      <c r="C79" s="1070"/>
      <c r="D79" s="671" t="str">
        <f>ASC(【マスター】!D73&amp;"単位／月")</f>
        <v>40単位/月</v>
      </c>
      <c r="E79" s="672" t="str">
        <f>ASC(【マスター】!E73)</f>
        <v>405</v>
      </c>
      <c r="F79" s="679">
        <f t="shared" si="18"/>
        <v>41</v>
      </c>
      <c r="G79" s="680">
        <f t="shared" si="19"/>
        <v>81</v>
      </c>
      <c r="H79" s="681">
        <f t="shared" si="20"/>
        <v>122</v>
      </c>
      <c r="I79" s="676" t="s">
        <v>1742</v>
      </c>
      <c r="M79" s="676"/>
    </row>
    <row r="80" spans="1:13" s="334" customFormat="1" ht="15" customHeight="1">
      <c r="A80" s="518" t="s">
        <v>539</v>
      </c>
      <c r="B80" s="1029" t="s">
        <v>538</v>
      </c>
      <c r="C80" s="1029"/>
      <c r="D80" s="1029"/>
      <c r="E80" s="1046" t="s">
        <v>519</v>
      </c>
      <c r="F80" s="1047"/>
      <c r="G80" s="1029" t="s">
        <v>540</v>
      </c>
      <c r="H80" s="1029"/>
      <c r="K80" s="336"/>
      <c r="L80" s="336"/>
    </row>
    <row r="81" spans="1:36" s="334" customFormat="1" ht="15" customHeight="1">
      <c r="A81" s="515" t="str">
        <f>IF(【マスター】!C74="有","✔","－")</f>
        <v>－</v>
      </c>
      <c r="B81" s="1041" t="s">
        <v>218</v>
      </c>
      <c r="C81" s="1041"/>
      <c r="D81" s="1041"/>
      <c r="E81" s="1041" t="str">
        <f>ASC((【マスター】!D74))</f>
        <v>9.2%(1ヶ月の利用合計単位数に乗じる)</v>
      </c>
      <c r="F81" s="1041"/>
      <c r="G81" s="1034" t="s">
        <v>541</v>
      </c>
      <c r="H81" s="1048"/>
      <c r="K81" s="336"/>
      <c r="L81" s="336"/>
    </row>
    <row r="82" spans="1:36" s="334" customFormat="1" ht="15" customHeight="1">
      <c r="A82" s="516" t="str">
        <f>IF(【マスター】!C75="有","✔","－")</f>
        <v>✔</v>
      </c>
      <c r="B82" s="1042" t="s">
        <v>223</v>
      </c>
      <c r="C82" s="1042"/>
      <c r="D82" s="1042"/>
      <c r="E82" s="1042" t="str">
        <f>ASC((【マスター】!D75))</f>
        <v>9.0%(1ヶ月の利用合計単位数に乗じる)</v>
      </c>
      <c r="F82" s="1042"/>
      <c r="G82" s="1049"/>
      <c r="H82" s="1050"/>
      <c r="K82" s="336"/>
      <c r="L82" s="336"/>
    </row>
    <row r="83" spans="1:36" s="334" customFormat="1" ht="15" customHeight="1">
      <c r="A83" s="517" t="str">
        <f>IF(【マスター】!C76="有","✔","－")</f>
        <v>－</v>
      </c>
      <c r="B83" s="1043" t="s">
        <v>236</v>
      </c>
      <c r="C83" s="1043"/>
      <c r="D83" s="1043"/>
      <c r="E83" s="1043" t="str">
        <f>ASC((【マスター】!D76))</f>
        <v>8.0%(1ヶ月の利用合計単位数に乗じる)</v>
      </c>
      <c r="F83" s="1043"/>
      <c r="G83" s="1049"/>
      <c r="H83" s="1050"/>
      <c r="K83" s="336"/>
      <c r="L83" s="336"/>
    </row>
    <row r="84" spans="1:36" s="334" customFormat="1" ht="15" customHeight="1">
      <c r="A84" s="518" t="str">
        <f>IF(【マスター】!C77="有","✔","－")</f>
        <v>－</v>
      </c>
      <c r="B84" s="1029" t="s">
        <v>249</v>
      </c>
      <c r="C84" s="1029"/>
      <c r="D84" s="1029"/>
      <c r="E84" s="1029" t="s">
        <v>542</v>
      </c>
      <c r="F84" s="1029"/>
      <c r="G84" s="1036"/>
      <c r="H84" s="1051"/>
      <c r="K84" s="336"/>
      <c r="L84" s="336"/>
    </row>
    <row r="85" spans="1:36" s="334" customFormat="1" ht="25.35" customHeight="1">
      <c r="A85" s="350" t="s">
        <v>543</v>
      </c>
      <c r="B85" s="1065" t="s">
        <v>544</v>
      </c>
      <c r="C85" s="1065"/>
      <c r="D85" s="1065"/>
      <c r="E85" s="1065"/>
      <c r="F85" s="1065"/>
      <c r="G85" s="1065"/>
      <c r="H85" s="1065"/>
      <c r="K85" s="336"/>
      <c r="L85" s="336"/>
    </row>
    <row r="86" spans="1:36" s="334" customFormat="1" ht="25.35" customHeight="1">
      <c r="A86" s="350" t="s">
        <v>543</v>
      </c>
      <c r="B86" s="1065" t="s">
        <v>545</v>
      </c>
      <c r="C86" s="1065"/>
      <c r="D86" s="1065"/>
      <c r="E86" s="1065"/>
      <c r="F86" s="1065"/>
      <c r="G86" s="1065"/>
      <c r="H86" s="1065"/>
      <c r="K86" s="336"/>
      <c r="L86" s="336"/>
    </row>
    <row r="87" spans="1:36" s="334" customFormat="1" ht="15" customHeight="1">
      <c r="A87" s="350" t="s">
        <v>543</v>
      </c>
      <c r="B87" s="1065" t="s">
        <v>546</v>
      </c>
      <c r="C87" s="1065"/>
      <c r="D87" s="1065"/>
      <c r="E87" s="1065"/>
      <c r="F87" s="1065"/>
      <c r="G87" s="1065"/>
      <c r="H87" s="1065"/>
      <c r="K87" s="336"/>
      <c r="L87" s="336"/>
    </row>
    <row r="88" spans="1:36" s="334" customFormat="1" ht="40.35" customHeight="1">
      <c r="A88" s="351"/>
      <c r="B88" s="1065" t="s">
        <v>547</v>
      </c>
      <c r="C88" s="1065"/>
      <c r="D88" s="1065"/>
      <c r="E88" s="1065"/>
      <c r="F88" s="1065"/>
      <c r="G88" s="1065"/>
      <c r="H88" s="1065"/>
      <c r="I88" s="334" t="s">
        <v>548</v>
      </c>
      <c r="K88" s="336"/>
      <c r="L88" s="336"/>
    </row>
    <row r="89" spans="1:36" s="334" customFormat="1" ht="15" customHeight="1">
      <c r="A89" s="331" t="s">
        <v>549</v>
      </c>
      <c r="B89" s="337"/>
      <c r="C89" s="352"/>
      <c r="D89" s="352"/>
      <c r="E89" s="353"/>
      <c r="F89" s="353"/>
      <c r="G89" s="353"/>
      <c r="H89" s="353"/>
      <c r="K89" s="336"/>
      <c r="L89" s="336"/>
    </row>
    <row r="90" spans="1:36" s="334" customFormat="1" ht="15" customHeight="1">
      <c r="A90" s="1066" t="str">
        <f>IF((【マスター】!C74="")*AND(【マスター】!C75="")*AND(【マスター】!C76=""),【マスター】!P71,VLOOKUP("有",【マスター】!C74:S77,4,FALSE))</f>
        <v>（１ヶ月の利用合計単位数＋１ヶ月の利用合計単位数×９．０％）×　地域単価</v>
      </c>
      <c r="B90" s="1066"/>
      <c r="C90" s="1066"/>
      <c r="D90" s="1066"/>
      <c r="E90" s="1066"/>
      <c r="F90" s="1066"/>
      <c r="G90" s="1066"/>
      <c r="H90" s="1066"/>
      <c r="K90" s="336"/>
      <c r="L90" s="336"/>
    </row>
    <row r="91" spans="1:36" s="334" customFormat="1" ht="15" customHeight="1">
      <c r="A91" s="1040" t="s">
        <v>550</v>
      </c>
      <c r="B91" s="1040"/>
      <c r="C91" s="1040"/>
      <c r="D91" s="1040"/>
      <c r="E91" s="1040"/>
      <c r="F91" s="1040"/>
      <c r="G91" s="1040"/>
      <c r="H91" s="1040"/>
      <c r="K91" s="336"/>
      <c r="L91" s="336"/>
    </row>
    <row r="92" spans="1:36" s="334" customFormat="1" ht="15" customHeight="1">
      <c r="A92" s="357"/>
      <c r="B92" s="357"/>
      <c r="C92" s="357"/>
      <c r="D92" s="357"/>
      <c r="E92" s="357"/>
      <c r="F92" s="357"/>
      <c r="G92" s="357"/>
      <c r="H92" s="357"/>
      <c r="K92" s="336"/>
      <c r="L92" s="336"/>
    </row>
    <row r="93" spans="1:36" s="334" customFormat="1" ht="15" customHeight="1">
      <c r="A93" s="337" t="s">
        <v>551</v>
      </c>
      <c r="B93" s="332"/>
      <c r="D93" s="353"/>
      <c r="E93" s="353"/>
      <c r="F93" s="353"/>
      <c r="G93" s="353"/>
      <c r="H93" s="353"/>
      <c r="K93" s="336"/>
      <c r="L93" s="336"/>
    </row>
    <row r="94" spans="1:36" s="334" customFormat="1" ht="15" customHeight="1">
      <c r="A94" s="358" t="s">
        <v>75</v>
      </c>
      <c r="B94" s="601" t="s">
        <v>552</v>
      </c>
      <c r="C94" s="602"/>
      <c r="D94" s="603"/>
      <c r="E94" s="603"/>
      <c r="F94" s="603"/>
      <c r="G94" s="603"/>
      <c r="H94" s="603"/>
      <c r="K94" s="336"/>
      <c r="L94" s="336"/>
    </row>
    <row r="95" spans="1:36" s="334" customFormat="1" ht="15" customHeight="1" thickBot="1">
      <c r="A95" s="359"/>
      <c r="B95" s="1040" t="str">
        <f>DBCS("　食事サービスを受ける方は、昼食代１食あたり"&amp;【マスター】!K45&amp;"円が必要となります。")</f>
        <v>　食事サービスを受ける方は、昼食代１食あたり５７０円が必要となります。</v>
      </c>
      <c r="C95" s="1040"/>
      <c r="D95" s="1040"/>
      <c r="E95" s="1040"/>
      <c r="F95" s="1040"/>
      <c r="G95" s="1040"/>
      <c r="H95" s="1040"/>
      <c r="K95" s="336"/>
      <c r="L95" s="336"/>
    </row>
    <row r="96" spans="1:36" s="334" customFormat="1" ht="30" customHeight="1" thickBot="1">
      <c r="A96" s="354"/>
      <c r="B96" s="1040" t="str">
        <f>IF(【マスター】!C72="","",'通所重説 (別表)'!S96)</f>
        <v>　延長加算算定時に、食事サービスを受ける方は、朝食代１食あたり５００円・夕食代１食あたり６３０円が必要となります。</v>
      </c>
      <c r="C96" s="1040"/>
      <c r="D96" s="1040"/>
      <c r="E96" s="1040"/>
      <c r="F96" s="1040"/>
      <c r="G96" s="1040"/>
      <c r="H96" s="1040"/>
      <c r="J96" s="1040" t="s">
        <v>553</v>
      </c>
      <c r="K96" s="1040"/>
      <c r="L96" s="1040"/>
      <c r="M96" s="1040"/>
      <c r="N96" s="1040"/>
      <c r="O96" s="1040"/>
      <c r="P96" s="1040"/>
      <c r="Q96" s="1040"/>
      <c r="R96" s="360" t="s">
        <v>554</v>
      </c>
      <c r="S96" s="1062" t="str">
        <f>DBCS("　延長加算算定時に、食事サービスを受ける方は、朝食代１食あたり"&amp;【マスター】!K44&amp;"円・夕食代１食あたり"&amp;【マスター】!K46&amp;"円が必要となります。")</f>
        <v>　延長加算算定時に、食事サービスを受ける方は、朝食代１食あたり５００円・夕食代１食あたり６３０円が必要となります。</v>
      </c>
      <c r="T96" s="1063"/>
      <c r="U96" s="1063"/>
      <c r="V96" s="1063"/>
      <c r="W96" s="1063"/>
      <c r="X96" s="1063"/>
      <c r="Y96" s="1063"/>
      <c r="Z96" s="1063"/>
      <c r="AA96" s="1063"/>
      <c r="AB96" s="1063"/>
      <c r="AC96" s="1063"/>
      <c r="AD96" s="1063"/>
      <c r="AE96" s="1063"/>
      <c r="AF96" s="1063"/>
      <c r="AG96" s="1063"/>
      <c r="AH96" s="1063"/>
      <c r="AI96" s="1063"/>
      <c r="AJ96" s="1064"/>
    </row>
    <row r="97" spans="1:14" s="334" customFormat="1" ht="15" customHeight="1">
      <c r="A97" s="358" t="s">
        <v>75</v>
      </c>
      <c r="B97" s="355" t="s">
        <v>555</v>
      </c>
      <c r="C97" s="354"/>
      <c r="D97" s="356"/>
      <c r="E97" s="356"/>
      <c r="F97" s="356"/>
      <c r="G97" s="356"/>
      <c r="H97" s="356"/>
      <c r="K97" s="336"/>
      <c r="L97" s="336"/>
    </row>
    <row r="98" spans="1:14" s="334" customFormat="1" ht="15" customHeight="1">
      <c r="A98" s="359"/>
      <c r="B98" s="355" t="s">
        <v>556</v>
      </c>
      <c r="C98" s="354"/>
      <c r="D98" s="355"/>
      <c r="E98" s="355"/>
      <c r="F98" s="355"/>
      <c r="G98" s="355"/>
      <c r="H98" s="355"/>
      <c r="K98" s="336"/>
      <c r="L98" s="336"/>
    </row>
    <row r="99" spans="1:14" s="334" customFormat="1" ht="15" customHeight="1">
      <c r="A99" s="359"/>
      <c r="B99" s="355" t="s">
        <v>557</v>
      </c>
      <c r="C99" s="354"/>
      <c r="D99" s="355"/>
      <c r="E99" s="354" t="str">
        <f>DBCS(【マスター】!J47)&amp;"円"</f>
        <v>１００円</v>
      </c>
      <c r="F99" s="354"/>
      <c r="G99" s="354"/>
      <c r="H99" s="355"/>
      <c r="K99" s="336"/>
      <c r="L99" s="336"/>
      <c r="N99" s="751"/>
    </row>
    <row r="100" spans="1:14" s="334" customFormat="1" ht="15" customHeight="1">
      <c r="A100" s="359"/>
      <c r="B100" s="355" t="s">
        <v>558</v>
      </c>
      <c r="C100" s="354"/>
      <c r="D100" s="354"/>
      <c r="E100" s="354" t="str">
        <f>DBCS(【マスター】!J48)&amp;"円"</f>
        <v>５０円</v>
      </c>
      <c r="F100" s="354"/>
      <c r="G100" s="354"/>
      <c r="H100" s="354"/>
      <c r="K100" s="336"/>
      <c r="L100" s="336"/>
      <c r="N100" s="751"/>
    </row>
    <row r="101" spans="1:14" s="334" customFormat="1" ht="15" customHeight="1">
      <c r="A101" s="358" t="s">
        <v>75</v>
      </c>
      <c r="B101" s="355" t="s">
        <v>559</v>
      </c>
      <c r="C101" s="354"/>
      <c r="D101" s="354"/>
      <c r="E101" s="354"/>
      <c r="F101" s="354"/>
      <c r="G101" s="354"/>
      <c r="H101" s="354"/>
      <c r="K101" s="336"/>
      <c r="L101" s="336"/>
    </row>
    <row r="102" spans="1:14" s="334" customFormat="1" ht="45" customHeight="1">
      <c r="A102" s="359"/>
      <c r="B102" s="1039" t="s">
        <v>560</v>
      </c>
      <c r="C102" s="1039"/>
      <c r="D102" s="1039"/>
      <c r="E102" s="1039"/>
      <c r="F102" s="1039"/>
      <c r="G102" s="1039"/>
      <c r="H102" s="1039"/>
      <c r="K102" s="336"/>
      <c r="L102" s="336"/>
    </row>
    <row r="103" spans="1:14" s="334" customFormat="1" ht="15" customHeight="1">
      <c r="A103" s="809" t="s">
        <v>543</v>
      </c>
      <c r="B103" s="810" t="s">
        <v>2012</v>
      </c>
      <c r="C103" s="811"/>
      <c r="D103" s="812"/>
      <c r="E103" s="812"/>
      <c r="F103" s="812"/>
      <c r="G103" s="812"/>
      <c r="H103" s="812"/>
      <c r="K103" s="336"/>
      <c r="L103" s="336"/>
    </row>
    <row r="104" spans="1:14" s="334" customFormat="1" ht="15" customHeight="1">
      <c r="A104" s="813"/>
      <c r="B104" s="810" t="s">
        <v>2013</v>
      </c>
      <c r="C104" s="811"/>
      <c r="D104" s="810"/>
      <c r="E104" s="810"/>
      <c r="F104" s="810"/>
      <c r="G104" s="810"/>
      <c r="H104" s="810"/>
      <c r="K104" s="336"/>
      <c r="L104" s="336"/>
    </row>
    <row r="105" spans="1:14" s="334" customFormat="1" ht="15" customHeight="1">
      <c r="A105" s="813"/>
      <c r="B105" s="810" t="s">
        <v>2010</v>
      </c>
      <c r="C105" s="811"/>
      <c r="D105" s="810"/>
      <c r="E105" s="811" t="s">
        <v>2011</v>
      </c>
      <c r="F105" s="811"/>
      <c r="G105" s="811"/>
      <c r="H105" s="810"/>
      <c r="K105" s="336"/>
      <c r="L105" s="336"/>
      <c r="N105" s="751"/>
    </row>
    <row r="106" spans="1:14" s="334" customFormat="1" ht="15" customHeight="1">
      <c r="A106" s="809" t="s">
        <v>543</v>
      </c>
      <c r="B106" s="810" t="s">
        <v>2014</v>
      </c>
      <c r="C106" s="811"/>
      <c r="D106" s="812"/>
      <c r="E106" s="811" t="s">
        <v>2015</v>
      </c>
      <c r="F106" s="812"/>
      <c r="G106" s="812"/>
      <c r="H106" s="812"/>
      <c r="K106" s="336"/>
      <c r="L106" s="336"/>
    </row>
    <row r="107" spans="1:14" s="334" customFormat="1" ht="15" customHeight="1">
      <c r="A107" s="358" t="s">
        <v>543</v>
      </c>
      <c r="B107" s="361" t="s">
        <v>561</v>
      </c>
      <c r="C107" s="354"/>
      <c r="D107" s="514"/>
      <c r="E107" s="514"/>
      <c r="F107" s="514"/>
      <c r="G107" s="514"/>
      <c r="H107" s="514"/>
      <c r="K107" s="336"/>
      <c r="L107" s="336"/>
    </row>
    <row r="108" spans="1:14" s="334" customFormat="1" ht="15" customHeight="1">
      <c r="A108" s="354"/>
      <c r="B108" s="361" t="s">
        <v>562</v>
      </c>
      <c r="C108" s="354"/>
      <c r="D108" s="514"/>
      <c r="E108" s="514"/>
      <c r="F108" s="514"/>
      <c r="G108" s="514"/>
      <c r="H108" s="514"/>
      <c r="I108" s="334" t="s">
        <v>563</v>
      </c>
      <c r="K108" s="336"/>
      <c r="L108" s="336"/>
    </row>
    <row r="109" spans="1:14" s="334" customFormat="1" ht="15" customHeight="1">
      <c r="B109" s="332"/>
      <c r="C109" s="362"/>
      <c r="D109" s="363"/>
      <c r="E109" s="363"/>
      <c r="F109" s="363"/>
      <c r="G109" s="363"/>
      <c r="H109" s="363"/>
      <c r="K109" s="336"/>
      <c r="L109" s="336"/>
    </row>
    <row r="110" spans="1:14" ht="15" customHeight="1">
      <c r="A110" s="331" t="s">
        <v>564</v>
      </c>
      <c r="K110" s="354"/>
      <c r="L110" s="354"/>
    </row>
    <row r="111" spans="1:14" ht="15" customHeight="1">
      <c r="A111" s="331" t="s">
        <v>565</v>
      </c>
      <c r="K111" s="354"/>
      <c r="L111" s="354"/>
    </row>
    <row r="112" spans="1:14" ht="15" customHeight="1">
      <c r="A112" s="683" t="s">
        <v>535</v>
      </c>
      <c r="B112" s="365"/>
      <c r="C112" s="365"/>
      <c r="D112" s="684"/>
      <c r="E112" s="685"/>
      <c r="G112" s="366"/>
      <c r="H112" s="366"/>
      <c r="K112" s="354"/>
      <c r="L112" s="354"/>
    </row>
    <row r="113" spans="1:14" ht="25.35" customHeight="1">
      <c r="A113" s="365"/>
      <c r="B113" s="1030" t="s">
        <v>566</v>
      </c>
      <c r="C113" s="1030"/>
      <c r="D113" s="1030"/>
      <c r="E113" s="1030"/>
      <c r="F113" s="1030"/>
      <c r="G113" s="1030"/>
      <c r="H113" s="1030"/>
      <c r="K113" s="354"/>
      <c r="L113" s="354"/>
    </row>
    <row r="114" spans="1:14" s="711" customFormat="1" ht="15" customHeight="1">
      <c r="A114" s="683" t="s">
        <v>1909</v>
      </c>
      <c r="B114" s="365"/>
      <c r="C114" s="365"/>
      <c r="D114" s="684"/>
      <c r="E114" s="685"/>
      <c r="F114" s="354"/>
      <c r="G114" s="366"/>
      <c r="H114" s="366"/>
      <c r="K114" s="756"/>
      <c r="L114" s="756"/>
      <c r="N114" s="757"/>
    </row>
    <row r="115" spans="1:14" s="711" customFormat="1" ht="20.100000000000001" customHeight="1">
      <c r="A115" s="365"/>
      <c r="B115" s="1030" t="s">
        <v>1910</v>
      </c>
      <c r="C115" s="1030"/>
      <c r="D115" s="1030"/>
      <c r="E115" s="1030"/>
      <c r="F115" s="1030"/>
      <c r="G115" s="1030"/>
      <c r="H115" s="1030"/>
      <c r="K115" s="756"/>
      <c r="L115" s="756"/>
      <c r="N115" s="757"/>
    </row>
    <row r="116" spans="1:14" ht="15" customHeight="1">
      <c r="A116" s="331" t="s">
        <v>536</v>
      </c>
      <c r="B116" s="332"/>
      <c r="C116" s="332"/>
      <c r="D116" s="334"/>
      <c r="E116" s="334"/>
      <c r="F116" s="334"/>
      <c r="G116" s="334"/>
      <c r="H116" s="334"/>
      <c r="K116" s="354"/>
      <c r="L116" s="354"/>
    </row>
    <row r="117" spans="1:14" ht="15" customHeight="1">
      <c r="A117" s="683" t="s">
        <v>1734</v>
      </c>
      <c r="B117" s="365"/>
      <c r="C117" s="365"/>
      <c r="D117" s="686"/>
      <c r="E117" s="687"/>
      <c r="F117" s="688"/>
      <c r="G117" s="366"/>
      <c r="H117" s="366"/>
      <c r="I117" s="336" t="s">
        <v>1742</v>
      </c>
      <c r="K117" s="354"/>
      <c r="L117" s="354"/>
      <c r="M117" s="676"/>
    </row>
    <row r="118" spans="1:14" ht="39" customHeight="1">
      <c r="A118" s="683"/>
      <c r="B118" s="1030" t="s">
        <v>567</v>
      </c>
      <c r="C118" s="1030"/>
      <c r="D118" s="1030"/>
      <c r="E118" s="1030"/>
      <c r="F118" s="1030"/>
      <c r="G118" s="1030"/>
      <c r="H118" s="1030"/>
      <c r="K118" s="354"/>
      <c r="L118" s="354"/>
      <c r="M118" s="711"/>
    </row>
    <row r="119" spans="1:14" ht="15" customHeight="1">
      <c r="A119" s="683" t="s">
        <v>1719</v>
      </c>
      <c r="B119" s="365"/>
      <c r="C119" s="365"/>
      <c r="D119" s="686"/>
      <c r="E119" s="687"/>
      <c r="F119" s="688"/>
      <c r="G119" s="366"/>
      <c r="H119" s="366"/>
      <c r="I119" s="336" t="s">
        <v>1742</v>
      </c>
      <c r="K119" s="354"/>
      <c r="L119" s="354"/>
      <c r="M119" s="676"/>
    </row>
    <row r="120" spans="1:14" ht="28.35" customHeight="1">
      <c r="A120" s="683"/>
      <c r="B120" s="1030" t="s">
        <v>1881</v>
      </c>
      <c r="C120" s="1030"/>
      <c r="D120" s="1030"/>
      <c r="E120" s="1030"/>
      <c r="F120" s="1030"/>
      <c r="G120" s="1030"/>
      <c r="H120" s="1030"/>
      <c r="K120" s="354"/>
      <c r="L120" s="354"/>
      <c r="M120" s="711"/>
    </row>
    <row r="121" spans="1:14" ht="15" customHeight="1">
      <c r="A121" s="683" t="s">
        <v>171</v>
      </c>
      <c r="B121" s="334"/>
      <c r="C121" s="334"/>
      <c r="D121" s="690"/>
      <c r="E121" s="691"/>
      <c r="F121" s="692"/>
      <c r="G121" s="351"/>
      <c r="H121" s="351"/>
      <c r="K121" s="354"/>
      <c r="L121" s="354"/>
      <c r="M121" s="711"/>
    </row>
    <row r="122" spans="1:14" ht="26.1" customHeight="1">
      <c r="A122" s="689"/>
      <c r="B122" s="1030" t="s">
        <v>568</v>
      </c>
      <c r="C122" s="1030"/>
      <c r="D122" s="1030"/>
      <c r="E122" s="1030"/>
      <c r="F122" s="1030"/>
      <c r="G122" s="1030"/>
      <c r="H122" s="1030"/>
      <c r="K122" s="354"/>
      <c r="L122" s="354"/>
      <c r="M122" s="711"/>
    </row>
    <row r="123" spans="1:14" ht="15" customHeight="1">
      <c r="A123" s="683" t="s">
        <v>1720</v>
      </c>
      <c r="B123" s="365"/>
      <c r="C123" s="365"/>
      <c r="D123" s="686"/>
      <c r="E123" s="365"/>
      <c r="F123" s="688"/>
      <c r="G123" s="366"/>
      <c r="H123" s="366"/>
      <c r="I123" s="336" t="s">
        <v>1742</v>
      </c>
      <c r="K123" s="354"/>
      <c r="L123" s="354"/>
      <c r="M123" s="676"/>
    </row>
    <row r="124" spans="1:14" ht="39" customHeight="1">
      <c r="A124" s="693"/>
      <c r="B124" s="1030" t="s">
        <v>1795</v>
      </c>
      <c r="C124" s="1030"/>
      <c r="D124" s="1030"/>
      <c r="E124" s="1030"/>
      <c r="F124" s="1030"/>
      <c r="G124" s="1030"/>
      <c r="H124" s="1030"/>
      <c r="K124" s="354"/>
      <c r="L124" s="354"/>
      <c r="M124" s="711"/>
    </row>
    <row r="125" spans="1:14" ht="15" customHeight="1">
      <c r="A125" s="689" t="s">
        <v>1747</v>
      </c>
      <c r="B125" s="366"/>
      <c r="C125" s="366"/>
      <c r="D125" s="366"/>
      <c r="E125" s="367"/>
      <c r="F125" s="368"/>
      <c r="G125" s="366"/>
      <c r="H125" s="366"/>
      <c r="I125" s="336" t="s">
        <v>1742</v>
      </c>
      <c r="K125" s="354"/>
      <c r="L125" s="354"/>
      <c r="M125" s="676"/>
    </row>
    <row r="126" spans="1:14" ht="26.1" customHeight="1">
      <c r="A126" s="689"/>
      <c r="B126" s="1030" t="s">
        <v>570</v>
      </c>
      <c r="C126" s="1030"/>
      <c r="D126" s="1030"/>
      <c r="E126" s="1030"/>
      <c r="F126" s="1030"/>
      <c r="G126" s="1030"/>
      <c r="H126" s="1030"/>
      <c r="K126" s="354"/>
      <c r="L126" s="354"/>
      <c r="M126" s="711"/>
    </row>
    <row r="127" spans="1:14" ht="15" customHeight="1">
      <c r="A127" s="689" t="s">
        <v>1748</v>
      </c>
      <c r="B127" s="366"/>
      <c r="C127" s="366"/>
      <c r="D127" s="366"/>
      <c r="E127" s="367"/>
      <c r="F127" s="368"/>
      <c r="G127" s="366"/>
      <c r="H127" s="366"/>
      <c r="I127" s="336" t="s">
        <v>1742</v>
      </c>
      <c r="K127" s="354"/>
      <c r="L127" s="354"/>
      <c r="M127" s="676"/>
    </row>
    <row r="128" spans="1:14" ht="40.35" customHeight="1">
      <c r="A128" s="689"/>
      <c r="B128" s="1030" t="s">
        <v>1749</v>
      </c>
      <c r="C128" s="1030"/>
      <c r="D128" s="1030"/>
      <c r="E128" s="1030"/>
      <c r="F128" s="1030"/>
      <c r="G128" s="1030"/>
      <c r="H128" s="1030"/>
      <c r="K128" s="354"/>
      <c r="L128" s="354"/>
      <c r="M128" s="711"/>
    </row>
    <row r="129" spans="1:13" ht="15" customHeight="1">
      <c r="A129" s="683" t="s">
        <v>182</v>
      </c>
      <c r="B129" s="366"/>
      <c r="C129" s="366"/>
      <c r="D129" s="366"/>
      <c r="E129" s="367"/>
      <c r="F129" s="368"/>
      <c r="G129" s="366"/>
      <c r="H129" s="366"/>
      <c r="K129" s="354"/>
      <c r="L129" s="354"/>
      <c r="M129" s="711"/>
    </row>
    <row r="130" spans="1:13" ht="20.100000000000001" customHeight="1">
      <c r="A130" s="683"/>
      <c r="B130" s="1030" t="s">
        <v>1750</v>
      </c>
      <c r="C130" s="1030"/>
      <c r="D130" s="1030"/>
      <c r="E130" s="1030"/>
      <c r="F130" s="1030"/>
      <c r="G130" s="1030"/>
      <c r="H130" s="1030"/>
      <c r="K130" s="354"/>
      <c r="L130" s="354"/>
      <c r="M130" s="711"/>
    </row>
    <row r="131" spans="1:13" ht="15" customHeight="1">
      <c r="A131" s="683" t="s">
        <v>1733</v>
      </c>
      <c r="B131" s="366"/>
      <c r="C131" s="366"/>
      <c r="D131" s="366"/>
      <c r="E131" s="367"/>
      <c r="F131" s="368"/>
      <c r="G131" s="366"/>
      <c r="H131" s="366"/>
      <c r="I131" s="336" t="s">
        <v>1742</v>
      </c>
      <c r="K131" s="354"/>
      <c r="L131" s="354"/>
      <c r="M131" s="676"/>
    </row>
    <row r="132" spans="1:13" ht="40.35" customHeight="1">
      <c r="A132" s="683"/>
      <c r="B132" s="1030" t="s">
        <v>1768</v>
      </c>
      <c r="C132" s="1030"/>
      <c r="D132" s="1030"/>
      <c r="E132" s="1030"/>
      <c r="F132" s="1030"/>
      <c r="G132" s="1030"/>
      <c r="H132" s="1030"/>
      <c r="K132" s="354"/>
      <c r="L132" s="354"/>
      <c r="M132" s="711"/>
    </row>
    <row r="133" spans="1:13" ht="15" customHeight="1">
      <c r="A133" s="683" t="s">
        <v>1968</v>
      </c>
      <c r="B133" s="366"/>
      <c r="C133" s="366"/>
      <c r="D133" s="366"/>
      <c r="E133" s="366"/>
      <c r="F133" s="368"/>
      <c r="G133" s="366"/>
      <c r="H133" s="366"/>
      <c r="K133" s="354"/>
      <c r="L133" s="354"/>
      <c r="M133" s="711"/>
    </row>
    <row r="134" spans="1:13" ht="26.1" customHeight="1">
      <c r="A134" s="693"/>
      <c r="B134" s="1030" t="s">
        <v>1969</v>
      </c>
      <c r="C134" s="1030"/>
      <c r="D134" s="1030"/>
      <c r="E134" s="1030"/>
      <c r="F134" s="1030"/>
      <c r="G134" s="1030"/>
      <c r="H134" s="1030"/>
      <c r="K134" s="354"/>
      <c r="L134" s="354"/>
      <c r="M134" s="711"/>
    </row>
    <row r="135" spans="1:13" ht="15" customHeight="1">
      <c r="A135" s="365"/>
      <c r="B135" s="366"/>
      <c r="C135" s="366"/>
      <c r="D135" s="366"/>
      <c r="E135" s="366"/>
      <c r="F135" s="368"/>
      <c r="G135" s="366"/>
      <c r="H135" s="366"/>
    </row>
    <row r="136" spans="1:13" ht="15" customHeight="1">
      <c r="B136" s="366"/>
      <c r="C136" s="366"/>
      <c r="D136" s="366"/>
      <c r="E136" s="367"/>
      <c r="F136" s="368"/>
      <c r="G136" s="366"/>
      <c r="H136" s="366"/>
    </row>
    <row r="137" spans="1:13" ht="15" customHeight="1">
      <c r="A137" s="365"/>
      <c r="B137" s="366"/>
      <c r="C137" s="366"/>
      <c r="D137" s="366"/>
      <c r="E137" s="367"/>
      <c r="F137" s="368"/>
      <c r="G137" s="366"/>
      <c r="H137" s="366"/>
    </row>
    <row r="138" spans="1:13" ht="15" customHeight="1">
      <c r="A138" s="365"/>
      <c r="B138" s="366"/>
      <c r="C138" s="366"/>
      <c r="D138" s="366"/>
      <c r="E138" s="367"/>
      <c r="F138" s="368"/>
      <c r="G138" s="366"/>
      <c r="H138" s="366"/>
    </row>
    <row r="139" spans="1:13" ht="15" customHeight="1">
      <c r="A139" s="365"/>
      <c r="B139" s="366"/>
      <c r="C139" s="366"/>
      <c r="D139" s="366"/>
      <c r="E139" s="366"/>
      <c r="F139" s="368"/>
      <c r="G139" s="366"/>
      <c r="H139" s="366"/>
    </row>
    <row r="140" spans="1:13" ht="15" customHeight="1">
      <c r="A140" s="365"/>
      <c r="B140" s="366"/>
      <c r="C140" s="366"/>
      <c r="D140" s="366"/>
      <c r="E140" s="366"/>
      <c r="F140" s="368"/>
      <c r="G140" s="366"/>
      <c r="H140" s="366"/>
    </row>
    <row r="141" spans="1:13" ht="15" customHeight="1">
      <c r="B141" s="366"/>
      <c r="C141" s="366"/>
      <c r="D141" s="366"/>
      <c r="E141" s="367"/>
      <c r="F141" s="368"/>
      <c r="G141" s="366"/>
      <c r="H141" s="366"/>
    </row>
    <row r="142" spans="1:13" ht="15" customHeight="1">
      <c r="A142" s="365"/>
      <c r="B142" s="366"/>
      <c r="C142" s="366"/>
      <c r="D142" s="366"/>
      <c r="E142" s="367"/>
      <c r="F142" s="368"/>
      <c r="G142" s="366"/>
      <c r="H142" s="366"/>
    </row>
    <row r="143" spans="1:13" ht="15" customHeight="1">
      <c r="A143" s="365"/>
      <c r="B143" s="366"/>
      <c r="C143" s="366"/>
      <c r="D143" s="366"/>
      <c r="E143" s="367"/>
      <c r="F143" s="368"/>
      <c r="G143" s="366"/>
      <c r="H143" s="366"/>
    </row>
    <row r="144" spans="1:13" ht="15" customHeight="1">
      <c r="A144" s="365"/>
      <c r="B144" s="366"/>
      <c r="C144" s="366"/>
      <c r="D144" s="366"/>
      <c r="E144" s="366"/>
      <c r="F144" s="368"/>
      <c r="G144" s="366"/>
      <c r="H144" s="366"/>
    </row>
    <row r="145" spans="1:8" ht="15" customHeight="1">
      <c r="A145" s="365"/>
      <c r="B145" s="366"/>
      <c r="C145" s="366"/>
      <c r="D145" s="366"/>
      <c r="E145" s="366"/>
      <c r="F145" s="368"/>
      <c r="G145" s="366"/>
      <c r="H145" s="366"/>
    </row>
    <row r="146" spans="1:8" ht="15" customHeight="1">
      <c r="A146" s="365"/>
      <c r="B146" s="366"/>
      <c r="C146" s="366"/>
      <c r="D146" s="366"/>
      <c r="E146" s="366"/>
      <c r="F146" s="366"/>
      <c r="G146" s="366"/>
      <c r="H146" s="366"/>
    </row>
    <row r="147" spans="1:8" ht="15" customHeight="1">
      <c r="A147" s="365"/>
      <c r="B147" s="366"/>
      <c r="C147" s="366"/>
      <c r="D147" s="366"/>
      <c r="E147" s="366"/>
      <c r="F147" s="366"/>
      <c r="G147" s="366"/>
      <c r="H147" s="366"/>
    </row>
    <row r="148" spans="1:8" ht="15" customHeight="1">
      <c r="A148" s="365"/>
      <c r="B148" s="366"/>
      <c r="C148" s="366"/>
      <c r="D148" s="366"/>
      <c r="E148" s="366"/>
      <c r="F148" s="366"/>
      <c r="G148" s="366"/>
      <c r="H148" s="366"/>
    </row>
    <row r="149" spans="1:8" ht="15" customHeight="1">
      <c r="A149" s="365"/>
      <c r="B149" s="366"/>
      <c r="C149" s="366"/>
      <c r="D149" s="366"/>
      <c r="E149" s="366"/>
      <c r="F149" s="366"/>
      <c r="G149" s="366"/>
      <c r="H149" s="366"/>
    </row>
    <row r="150" spans="1:8" ht="15" customHeight="1">
      <c r="A150" s="365"/>
      <c r="B150" s="366"/>
      <c r="C150" s="366"/>
      <c r="D150" s="366"/>
      <c r="E150" s="366"/>
      <c r="F150" s="366"/>
      <c r="G150" s="366"/>
      <c r="H150" s="366"/>
    </row>
    <row r="151" spans="1:8" ht="15" customHeight="1">
      <c r="A151" s="365"/>
      <c r="B151" s="366"/>
      <c r="C151" s="366"/>
      <c r="D151" s="366"/>
      <c r="E151" s="366"/>
      <c r="F151" s="366"/>
      <c r="G151" s="366"/>
      <c r="H151" s="366"/>
    </row>
    <row r="152" spans="1:8" ht="15" customHeight="1">
      <c r="A152" s="365"/>
      <c r="B152" s="366"/>
      <c r="C152" s="366"/>
      <c r="D152" s="366"/>
      <c r="E152" s="366"/>
      <c r="F152" s="366"/>
      <c r="G152" s="366"/>
      <c r="H152" s="366"/>
    </row>
    <row r="153" spans="1:8" ht="15" customHeight="1">
      <c r="A153" s="365"/>
      <c r="B153" s="366"/>
      <c r="C153" s="366"/>
      <c r="D153" s="366"/>
      <c r="E153" s="366"/>
      <c r="F153" s="366"/>
      <c r="G153" s="366"/>
      <c r="H153" s="366"/>
    </row>
    <row r="154" spans="1:8" ht="15" customHeight="1">
      <c r="A154" s="365"/>
      <c r="B154" s="366"/>
      <c r="C154" s="366"/>
      <c r="D154" s="366"/>
      <c r="E154" s="366"/>
      <c r="F154" s="366"/>
      <c r="G154" s="366"/>
      <c r="H154" s="366"/>
    </row>
    <row r="155" spans="1:8" ht="15" customHeight="1">
      <c r="A155" s="365"/>
      <c r="B155" s="366"/>
      <c r="C155" s="366"/>
      <c r="D155" s="366"/>
      <c r="E155" s="366"/>
      <c r="F155" s="366"/>
      <c r="G155" s="366"/>
      <c r="H155" s="366"/>
    </row>
    <row r="156" spans="1:8" ht="15" customHeight="1">
      <c r="A156" s="365"/>
      <c r="B156" s="366"/>
      <c r="C156" s="366"/>
      <c r="D156" s="366"/>
      <c r="E156" s="366"/>
      <c r="F156" s="366"/>
      <c r="G156" s="366"/>
      <c r="H156" s="366"/>
    </row>
    <row r="157" spans="1:8" ht="15" customHeight="1">
      <c r="A157" s="365"/>
      <c r="B157" s="366"/>
      <c r="C157" s="366"/>
      <c r="D157" s="366"/>
      <c r="E157" s="366"/>
      <c r="F157" s="366"/>
      <c r="G157" s="366"/>
      <c r="H157" s="366"/>
    </row>
    <row r="158" spans="1:8" ht="15" customHeight="1">
      <c r="A158" s="365"/>
      <c r="B158" s="366"/>
      <c r="C158" s="366"/>
      <c r="D158" s="366"/>
      <c r="E158" s="366"/>
      <c r="F158" s="366"/>
      <c r="G158" s="366"/>
      <c r="H158" s="366"/>
    </row>
  </sheetData>
  <sheetProtection selectLockedCells="1"/>
  <mergeCells count="125">
    <mergeCell ref="B126:H126"/>
    <mergeCell ref="B128:H128"/>
    <mergeCell ref="B130:H130"/>
    <mergeCell ref="B132:H132"/>
    <mergeCell ref="B134:H134"/>
    <mergeCell ref="B113:H113"/>
    <mergeCell ref="B118:H118"/>
    <mergeCell ref="B120:H120"/>
    <mergeCell ref="B122:H122"/>
    <mergeCell ref="B124:H124"/>
    <mergeCell ref="B71:C71"/>
    <mergeCell ref="B72:C72"/>
    <mergeCell ref="B73:C73"/>
    <mergeCell ref="B74:C74"/>
    <mergeCell ref="B75:C75"/>
    <mergeCell ref="B76:C76"/>
    <mergeCell ref="B77:C77"/>
    <mergeCell ref="B78:C78"/>
    <mergeCell ref="B79:C79"/>
    <mergeCell ref="B62:C62"/>
    <mergeCell ref="B63:C63"/>
    <mergeCell ref="B64:C64"/>
    <mergeCell ref="B65:C65"/>
    <mergeCell ref="B66:C66"/>
    <mergeCell ref="B67:C67"/>
    <mergeCell ref="B68:C68"/>
    <mergeCell ref="B69:C69"/>
    <mergeCell ref="B70:C70"/>
    <mergeCell ref="E49:E50"/>
    <mergeCell ref="A49:C50"/>
    <mergeCell ref="D26:D27"/>
    <mergeCell ref="E26:E27"/>
    <mergeCell ref="F26:H26"/>
    <mergeCell ref="A36:C36"/>
    <mergeCell ref="A39:C39"/>
    <mergeCell ref="A37:C37"/>
    <mergeCell ref="A31:C31"/>
    <mergeCell ref="A30:C30"/>
    <mergeCell ref="A29:C29"/>
    <mergeCell ref="A26:C27"/>
    <mergeCell ref="A44:C44"/>
    <mergeCell ref="A45:C45"/>
    <mergeCell ref="F49:H49"/>
    <mergeCell ref="A42:C42"/>
    <mergeCell ref="A43:C43"/>
    <mergeCell ref="F40:H40"/>
    <mergeCell ref="A46:C46"/>
    <mergeCell ref="D49:D50"/>
    <mergeCell ref="A12:C13"/>
    <mergeCell ref="D33:D34"/>
    <mergeCell ref="E33:E34"/>
    <mergeCell ref="F33:H33"/>
    <mergeCell ref="F19:H19"/>
    <mergeCell ref="D19:D20"/>
    <mergeCell ref="E19:E20"/>
    <mergeCell ref="A23:C23"/>
    <mergeCell ref="A22:C22"/>
    <mergeCell ref="A25:C25"/>
    <mergeCell ref="A24:C24"/>
    <mergeCell ref="A15:C15"/>
    <mergeCell ref="A33:C34"/>
    <mergeCell ref="D12:D13"/>
    <mergeCell ref="A16:C16"/>
    <mergeCell ref="A21:C21"/>
    <mergeCell ref="S96:AJ96"/>
    <mergeCell ref="B86:H86"/>
    <mergeCell ref="B87:H87"/>
    <mergeCell ref="B88:H88"/>
    <mergeCell ref="A91:H91"/>
    <mergeCell ref="B85:H85"/>
    <mergeCell ref="G80:H80"/>
    <mergeCell ref="B83:D83"/>
    <mergeCell ref="B82:D82"/>
    <mergeCell ref="B81:D81"/>
    <mergeCell ref="B80:D80"/>
    <mergeCell ref="J96:Q96"/>
    <mergeCell ref="A90:H90"/>
    <mergeCell ref="B60:C60"/>
    <mergeCell ref="B61:C61"/>
    <mergeCell ref="F5:H5"/>
    <mergeCell ref="E5:E6"/>
    <mergeCell ref="D5:D6"/>
    <mergeCell ref="A40:C41"/>
    <mergeCell ref="A9:C9"/>
    <mergeCell ref="A11:C11"/>
    <mergeCell ref="A5:C6"/>
    <mergeCell ref="A38:C38"/>
    <mergeCell ref="A35:C35"/>
    <mergeCell ref="A32:C32"/>
    <mergeCell ref="D40:D41"/>
    <mergeCell ref="E40:E41"/>
    <mergeCell ref="A10:C10"/>
    <mergeCell ref="A8:C8"/>
    <mergeCell ref="A28:C28"/>
    <mergeCell ref="A19:C20"/>
    <mergeCell ref="A7:C7"/>
    <mergeCell ref="E12:E13"/>
    <mergeCell ref="F12:H12"/>
    <mergeCell ref="A14:C14"/>
    <mergeCell ref="A18:C18"/>
    <mergeCell ref="A17:C17"/>
    <mergeCell ref="A52:C52"/>
    <mergeCell ref="B115:H115"/>
    <mergeCell ref="E54:E55"/>
    <mergeCell ref="F54:H54"/>
    <mergeCell ref="B54:C55"/>
    <mergeCell ref="A48:B48"/>
    <mergeCell ref="A53:B53"/>
    <mergeCell ref="B102:H102"/>
    <mergeCell ref="B95:H95"/>
    <mergeCell ref="B96:H96"/>
    <mergeCell ref="E81:F81"/>
    <mergeCell ref="E82:F82"/>
    <mergeCell ref="E83:F83"/>
    <mergeCell ref="E84:F84"/>
    <mergeCell ref="B84:D84"/>
    <mergeCell ref="A54:A55"/>
    <mergeCell ref="A51:C51"/>
    <mergeCell ref="E80:F80"/>
    <mergeCell ref="G81:H84"/>
    <mergeCell ref="B56:C56"/>
    <mergeCell ref="D54:D55"/>
    <mergeCell ref="B57:C57"/>
    <mergeCell ref="B58:C58"/>
    <mergeCell ref="B59:C59"/>
  </mergeCells>
  <phoneticPr fontId="16"/>
  <printOptions horizontalCentered="1"/>
  <pageMargins left="0.59055118110236227" right="0.59055118110236227" top="0.59055118110236227" bottom="0.39370078740157483" header="0.31496062992125984" footer="0.19685039370078741"/>
  <pageSetup paperSize="9" scale="99" fitToHeight="0" orientation="portrait" r:id="rId1"/>
  <rowBreaks count="2" manualBreakCount="2">
    <brk id="52" max="7" man="1"/>
    <brk id="92" max="7" man="1"/>
  </rowBreaks>
  <colBreaks count="1" manualBreakCount="1">
    <brk id="8" max="1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4"/>
    <pageSetUpPr fitToPage="1"/>
  </sheetPr>
  <dimension ref="A1:AO336"/>
  <sheetViews>
    <sheetView view="pageBreakPreview" topLeftCell="A277" zoomScaleNormal="100" zoomScaleSheetLayoutView="100" workbookViewId="0">
      <selection activeCell="AA307" sqref="AA307"/>
    </sheetView>
  </sheetViews>
  <sheetFormatPr defaultColWidth="9" defaultRowHeight="15" customHeight="1"/>
  <cols>
    <col min="1" max="1" width="4.625" style="1" customWidth="1"/>
    <col min="2" max="3" width="4.625" style="37" customWidth="1"/>
    <col min="4" max="4" width="4.625" style="1" customWidth="1"/>
    <col min="5" max="5" width="5.375" style="1" customWidth="1"/>
    <col min="6" max="38" width="4.625" style="1" customWidth="1"/>
    <col min="39" max="16384" width="9" style="1"/>
  </cols>
  <sheetData>
    <row r="1" spans="1:20" ht="15" customHeight="1">
      <c r="A1" s="1024" t="s">
        <v>310</v>
      </c>
      <c r="B1" s="1024"/>
      <c r="C1" s="1024"/>
      <c r="D1" s="1024"/>
      <c r="E1" s="1024"/>
      <c r="F1" s="1024"/>
      <c r="G1" s="1024"/>
      <c r="H1" s="1024"/>
      <c r="I1" s="1024"/>
      <c r="J1" s="1024"/>
      <c r="K1" s="1024"/>
      <c r="L1" s="1024"/>
      <c r="M1" s="1024"/>
      <c r="N1" s="1024"/>
      <c r="O1" s="1024"/>
      <c r="P1" s="1024"/>
      <c r="Q1" s="1024"/>
      <c r="R1" s="1024"/>
      <c r="S1" s="1024"/>
      <c r="T1" s="1024"/>
    </row>
    <row r="2" spans="1:20" ht="15" customHeight="1">
      <c r="A2" s="1024"/>
      <c r="B2" s="1024"/>
      <c r="C2" s="1024"/>
      <c r="D2" s="1024"/>
      <c r="E2" s="1024"/>
      <c r="F2" s="1024"/>
      <c r="G2" s="1024"/>
      <c r="H2" s="1024"/>
      <c r="I2" s="1024"/>
      <c r="J2" s="1024"/>
      <c r="K2" s="1024"/>
      <c r="L2" s="1024"/>
      <c r="M2" s="1024"/>
      <c r="N2" s="1024"/>
      <c r="O2" s="1024"/>
      <c r="P2" s="1024"/>
      <c r="Q2" s="1024"/>
      <c r="R2" s="1024"/>
      <c r="S2" s="1024"/>
      <c r="T2" s="1024"/>
    </row>
    <row r="3" spans="1:20" s="31" customFormat="1" ht="15" customHeight="1">
      <c r="A3" s="1201" t="str">
        <f>DBCS("＜　"&amp;【マスター】!C4&amp;【マスター】!D4&amp;"年　"&amp;【マスター】!F4&amp;"月　"&amp;【マスター】!H4&amp;"日現在　＞")</f>
        <v>＜　令和７年　４月　１日現在　＞</v>
      </c>
      <c r="B3" s="1201"/>
      <c r="C3" s="1201"/>
      <c r="D3" s="1201"/>
      <c r="E3" s="1201"/>
      <c r="F3" s="1201"/>
      <c r="G3" s="1201"/>
      <c r="H3" s="1201"/>
      <c r="I3" s="1201"/>
      <c r="J3" s="1201"/>
      <c r="K3" s="1201"/>
      <c r="L3" s="1201"/>
      <c r="M3" s="1201"/>
      <c r="N3" s="1201"/>
      <c r="O3" s="1201"/>
      <c r="P3" s="1201"/>
      <c r="Q3" s="1201"/>
      <c r="R3" s="1201"/>
      <c r="S3" s="1201"/>
      <c r="T3" s="1201"/>
    </row>
    <row r="4" spans="1:20" s="31" customFormat="1" ht="15" customHeight="1">
      <c r="B4" s="33"/>
      <c r="C4" s="33"/>
      <c r="D4" s="33"/>
      <c r="E4" s="33"/>
      <c r="F4" s="33"/>
      <c r="G4" s="33"/>
      <c r="H4" s="33"/>
      <c r="I4" s="33"/>
      <c r="J4" s="33"/>
      <c r="K4" s="33"/>
      <c r="L4" s="33"/>
      <c r="M4" s="33"/>
      <c r="N4" s="33"/>
      <c r="O4" s="33"/>
      <c r="P4" s="33"/>
      <c r="Q4" s="33"/>
      <c r="R4" s="33"/>
      <c r="S4" s="33"/>
      <c r="T4" s="33"/>
    </row>
    <row r="5" spans="1:20" s="31" customFormat="1" ht="15" customHeight="1">
      <c r="A5" s="31" t="s">
        <v>311</v>
      </c>
      <c r="B5" s="32"/>
      <c r="C5" s="32"/>
    </row>
    <row r="6" spans="1:20" s="31" customFormat="1" ht="15" customHeight="1">
      <c r="A6" s="42"/>
      <c r="B6" s="1161" t="s">
        <v>312</v>
      </c>
      <c r="C6" s="1161"/>
      <c r="D6" s="1161"/>
      <c r="E6" s="1161"/>
      <c r="F6" s="1161"/>
      <c r="G6" s="43"/>
      <c r="H6" s="1206" t="str">
        <f>IF(【マスター】!C22="","",【マスター】!C22)</f>
        <v>株式会社ケアサポート</v>
      </c>
      <c r="I6" s="1207"/>
      <c r="J6" s="1207"/>
      <c r="K6" s="1207"/>
      <c r="L6" s="1207"/>
      <c r="M6" s="1207"/>
      <c r="N6" s="1207"/>
      <c r="O6" s="1207"/>
      <c r="P6" s="1207"/>
      <c r="Q6" s="1208" t="s">
        <v>313</v>
      </c>
      <c r="R6" s="1208"/>
      <c r="S6" s="1208"/>
      <c r="T6" s="1209"/>
    </row>
    <row r="7" spans="1:20" s="31" customFormat="1" ht="15" customHeight="1">
      <c r="A7" s="42"/>
      <c r="B7" s="1161" t="s">
        <v>314</v>
      </c>
      <c r="C7" s="1161"/>
      <c r="D7" s="1161"/>
      <c r="E7" s="1161"/>
      <c r="F7" s="1161"/>
      <c r="G7" s="44"/>
      <c r="H7" s="1210" t="str">
        <f>IF(【マスター】!I26="","",【マスター】!I26)</f>
        <v>本多 康夫</v>
      </c>
      <c r="I7" s="1211"/>
      <c r="J7" s="1211"/>
      <c r="K7" s="1211"/>
      <c r="L7" s="1211"/>
      <c r="M7" s="1211"/>
      <c r="N7" s="1211"/>
      <c r="O7" s="1211"/>
      <c r="P7" s="1211"/>
      <c r="Q7" s="1211"/>
      <c r="R7" s="1211"/>
      <c r="S7" s="1211"/>
      <c r="T7" s="1212"/>
    </row>
    <row r="8" spans="1:20" s="31" customFormat="1" ht="15" customHeight="1">
      <c r="A8" s="459"/>
      <c r="B8" s="1213" t="s">
        <v>315</v>
      </c>
      <c r="C8" s="1213"/>
      <c r="D8" s="1213"/>
      <c r="E8" s="1213"/>
      <c r="F8" s="1213"/>
      <c r="G8" s="160"/>
      <c r="H8" s="1156" t="s">
        <v>316</v>
      </c>
      <c r="I8" s="1157"/>
      <c r="J8" s="1157"/>
      <c r="K8" s="1172" t="str">
        <f>DBCS(【マスター】!F23&amp;" "&amp;【マスター】!C24)</f>
        <v>愛知県豊川市大堀町２９３番地　</v>
      </c>
      <c r="L8" s="1172"/>
      <c r="M8" s="1172"/>
      <c r="N8" s="1172"/>
      <c r="O8" s="1172"/>
      <c r="P8" s="1172"/>
      <c r="Q8" s="1172"/>
      <c r="R8" s="1172"/>
      <c r="S8" s="1172"/>
      <c r="T8" s="1173"/>
    </row>
    <row r="9" spans="1:20" s="31" customFormat="1" ht="15" customHeight="1">
      <c r="A9" s="45"/>
      <c r="B9" s="1214"/>
      <c r="C9" s="1214"/>
      <c r="D9" s="1214"/>
      <c r="E9" s="1214"/>
      <c r="F9" s="1214"/>
      <c r="G9" s="46"/>
      <c r="H9" s="1200" t="s">
        <v>317</v>
      </c>
      <c r="I9" s="1201"/>
      <c r="J9" s="1201"/>
      <c r="K9" s="1074" t="str">
        <f>DBCS(【マスター】!C25)</f>
        <v>０５３３－６５－８７０２</v>
      </c>
      <c r="L9" s="1074"/>
      <c r="M9" s="1074"/>
      <c r="N9" s="1074"/>
      <c r="O9" s="1074"/>
      <c r="P9" s="1074"/>
      <c r="Q9" s="1074"/>
      <c r="R9" s="1074"/>
      <c r="S9" s="1074"/>
      <c r="T9" s="1075"/>
    </row>
    <row r="10" spans="1:20" s="31" customFormat="1" ht="15" customHeight="1">
      <c r="A10" s="47"/>
      <c r="B10" s="1215"/>
      <c r="C10" s="1215"/>
      <c r="D10" s="1215"/>
      <c r="E10" s="1215"/>
      <c r="F10" s="1215"/>
      <c r="G10" s="48"/>
      <c r="H10" s="1202" t="s">
        <v>318</v>
      </c>
      <c r="I10" s="1203"/>
      <c r="J10" s="1203"/>
      <c r="K10" s="1076" t="str">
        <f>DBCS(【マスター】!I25)</f>
        <v>０５３３－６５－８７０３</v>
      </c>
      <c r="L10" s="1076"/>
      <c r="M10" s="1076"/>
      <c r="N10" s="1076"/>
      <c r="O10" s="1076"/>
      <c r="P10" s="1076"/>
      <c r="Q10" s="1076"/>
      <c r="R10" s="1076"/>
      <c r="S10" s="1076"/>
      <c r="T10" s="1077"/>
    </row>
    <row r="11" spans="1:20" s="31" customFormat="1" ht="15" customHeight="1">
      <c r="G11" s="33"/>
    </row>
    <row r="12" spans="1:20" s="31" customFormat="1" ht="15" customHeight="1">
      <c r="A12" s="31" t="s">
        <v>319</v>
      </c>
      <c r="B12" s="32"/>
      <c r="C12" s="33"/>
      <c r="D12" s="33"/>
      <c r="E12" s="33"/>
      <c r="F12" s="33"/>
      <c r="G12" s="33"/>
    </row>
    <row r="13" spans="1:20" s="31" customFormat="1" ht="15" customHeight="1">
      <c r="A13" s="32" t="s">
        <v>320</v>
      </c>
      <c r="C13" s="32" t="s">
        <v>321</v>
      </c>
    </row>
    <row r="14" spans="1:20" s="31" customFormat="1" ht="15" customHeight="1">
      <c r="A14" s="42"/>
      <c r="B14" s="1161" t="s">
        <v>78</v>
      </c>
      <c r="C14" s="1161"/>
      <c r="D14" s="1161"/>
      <c r="E14" s="1161"/>
      <c r="F14" s="1161"/>
      <c r="G14" s="43"/>
      <c r="H14" s="1216" t="str">
        <f>IF(【マスター】!C7="","",【マスター】!C7)</f>
        <v>デイサービスさくら亭</v>
      </c>
      <c r="I14" s="1216"/>
      <c r="J14" s="1216"/>
      <c r="K14" s="1216"/>
      <c r="L14" s="1216"/>
      <c r="M14" s="1216"/>
      <c r="N14" s="1216"/>
      <c r="O14" s="1216"/>
      <c r="P14" s="1216"/>
      <c r="Q14" s="1216"/>
      <c r="R14" s="1216"/>
      <c r="S14" s="1216"/>
      <c r="T14" s="1216"/>
    </row>
    <row r="15" spans="1:20" s="31" customFormat="1" ht="15" customHeight="1">
      <c r="A15" s="459"/>
      <c r="B15" s="1213" t="s">
        <v>315</v>
      </c>
      <c r="C15" s="1213"/>
      <c r="D15" s="1213"/>
      <c r="E15" s="1213"/>
      <c r="F15" s="1213"/>
      <c r="G15" s="160"/>
      <c r="H15" s="1156" t="s">
        <v>316</v>
      </c>
      <c r="I15" s="1157"/>
      <c r="J15" s="1157"/>
      <c r="K15" s="1172" t="str">
        <f>DBCS(【マスター】!F8&amp;" "&amp;【マスター】!C9)</f>
        <v>愛知県豊橋市東田中郷町１１番　</v>
      </c>
      <c r="L15" s="1172"/>
      <c r="M15" s="1172"/>
      <c r="N15" s="1172"/>
      <c r="O15" s="1172"/>
      <c r="P15" s="1172"/>
      <c r="Q15" s="1172"/>
      <c r="R15" s="1172"/>
      <c r="S15" s="1172"/>
      <c r="T15" s="1173"/>
    </row>
    <row r="16" spans="1:20" s="31" customFormat="1" ht="15" customHeight="1">
      <c r="A16" s="45"/>
      <c r="B16" s="1214"/>
      <c r="C16" s="1214"/>
      <c r="D16" s="1214"/>
      <c r="E16" s="1214"/>
      <c r="F16" s="1214"/>
      <c r="G16" s="46"/>
      <c r="H16" s="1200" t="s">
        <v>317</v>
      </c>
      <c r="I16" s="1201"/>
      <c r="J16" s="1201"/>
      <c r="K16" s="1074" t="str">
        <f>DBCS(【マスター】!C10)</f>
        <v>０５３２－３９－７８５５</v>
      </c>
      <c r="L16" s="1074"/>
      <c r="M16" s="1074"/>
      <c r="N16" s="1074"/>
      <c r="O16" s="1074"/>
      <c r="P16" s="1074"/>
      <c r="Q16" s="1074"/>
      <c r="R16" s="1074"/>
      <c r="S16" s="1074"/>
      <c r="T16" s="1075"/>
    </row>
    <row r="17" spans="1:20" s="31" customFormat="1" ht="15" customHeight="1">
      <c r="A17" s="45"/>
      <c r="B17" s="1214"/>
      <c r="C17" s="1214"/>
      <c r="D17" s="1214"/>
      <c r="E17" s="1214"/>
      <c r="F17" s="1214"/>
      <c r="G17" s="46"/>
      <c r="H17" s="1202" t="s">
        <v>318</v>
      </c>
      <c r="I17" s="1203"/>
      <c r="J17" s="1203"/>
      <c r="K17" s="1076" t="str">
        <f>DBCS(【マスター】!I10)</f>
        <v>０５３２－３９－７８５６</v>
      </c>
      <c r="L17" s="1076"/>
      <c r="M17" s="1076"/>
      <c r="N17" s="1076"/>
      <c r="O17" s="1076"/>
      <c r="P17" s="1076"/>
      <c r="Q17" s="1076"/>
      <c r="R17" s="1076"/>
      <c r="S17" s="1076"/>
      <c r="T17" s="1077"/>
    </row>
    <row r="18" spans="1:20" s="31" customFormat="1" ht="15" customHeight="1">
      <c r="A18" s="42"/>
      <c r="B18" s="1161" t="s">
        <v>89</v>
      </c>
      <c r="C18" s="1161"/>
      <c r="D18" s="1161"/>
      <c r="E18" s="1161"/>
      <c r="F18" s="1161"/>
      <c r="G18" s="44"/>
      <c r="H18" s="1204" t="str">
        <f>DBCS(【マスター】!C11&amp;【マスター】!D11&amp;【マスター】!E11&amp;【マスター】!F11&amp;【マスター】!G11&amp;【マスター】!H11&amp;【マスター】!I11&amp;【マスター】!J11&amp;【マスター】!K11&amp;【マスター】!L11)</f>
        <v>２３９２０００６０６</v>
      </c>
      <c r="I18" s="1204"/>
      <c r="J18" s="1204"/>
      <c r="K18" s="1204"/>
      <c r="L18" s="1204"/>
      <c r="M18" s="1204"/>
      <c r="N18" s="1204"/>
      <c r="O18" s="1204"/>
      <c r="P18" s="1204"/>
      <c r="Q18" s="1204"/>
      <c r="R18" s="1204"/>
      <c r="S18" s="1204"/>
      <c r="T18" s="1204"/>
    </row>
    <row r="19" spans="1:20" s="31" customFormat="1" ht="15" customHeight="1">
      <c r="A19" s="42"/>
      <c r="B19" s="1161" t="s">
        <v>322</v>
      </c>
      <c r="C19" s="1161"/>
      <c r="D19" s="1161"/>
      <c r="E19" s="1161"/>
      <c r="F19" s="1161"/>
      <c r="G19" s="44"/>
      <c r="H19" s="1204" t="str">
        <f>IF(【マスター】!C21="","",【マスター】!C21)</f>
        <v>小久保　幾生</v>
      </c>
      <c r="I19" s="1204"/>
      <c r="J19" s="1204"/>
      <c r="K19" s="1204"/>
      <c r="L19" s="1204"/>
      <c r="M19" s="1204"/>
      <c r="N19" s="1204"/>
      <c r="O19" s="1204"/>
      <c r="P19" s="1204"/>
      <c r="Q19" s="1204"/>
      <c r="R19" s="1204"/>
      <c r="S19" s="1204"/>
      <c r="T19" s="1204"/>
    </row>
    <row r="20" spans="1:20" s="31" customFormat="1" ht="15" customHeight="1">
      <c r="A20" s="42"/>
      <c r="B20" s="1161" t="s">
        <v>323</v>
      </c>
      <c r="C20" s="1161"/>
      <c r="D20" s="1161"/>
      <c r="E20" s="1161"/>
      <c r="F20" s="1161"/>
      <c r="G20" s="44"/>
      <c r="H20" s="1217" t="s">
        <v>324</v>
      </c>
      <c r="I20" s="1218"/>
      <c r="J20" s="1218"/>
      <c r="K20" s="1218"/>
      <c r="L20" s="1218"/>
      <c r="M20" s="1218"/>
      <c r="N20" s="1218"/>
      <c r="O20" s="221" t="str">
        <f>DBCS(【マスター】!C18)</f>
        <v>１８</v>
      </c>
      <c r="P20" s="1188" t="s">
        <v>325</v>
      </c>
      <c r="Q20" s="1188"/>
      <c r="R20" s="221"/>
      <c r="S20" s="221"/>
      <c r="T20" s="222"/>
    </row>
    <row r="21" spans="1:20" s="31" customFormat="1" ht="15" customHeight="1">
      <c r="A21" s="32" t="s">
        <v>326</v>
      </c>
      <c r="C21" s="32" t="s">
        <v>327</v>
      </c>
    </row>
    <row r="22" spans="1:20" s="31" customFormat="1" ht="15" customHeight="1">
      <c r="A22" s="1071" t="s">
        <v>143</v>
      </c>
      <c r="B22" s="1071"/>
      <c r="C22" s="1071"/>
      <c r="D22" s="1071"/>
      <c r="E22" s="1071"/>
      <c r="F22" s="1193" t="s">
        <v>144</v>
      </c>
      <c r="G22" s="1194"/>
      <c r="H22" s="1071" t="s">
        <v>328</v>
      </c>
      <c r="I22" s="1071"/>
      <c r="J22" s="1071"/>
      <c r="K22" s="1071"/>
      <c r="L22" s="1071"/>
      <c r="M22" s="1071"/>
      <c r="N22" s="1071"/>
      <c r="O22" s="1071"/>
      <c r="P22" s="1193" t="s">
        <v>329</v>
      </c>
      <c r="Q22" s="1194"/>
      <c r="R22" s="1194"/>
      <c r="S22" s="1194"/>
      <c r="T22" s="1197"/>
    </row>
    <row r="23" spans="1:20" s="31" customFormat="1" ht="15" customHeight="1">
      <c r="A23" s="1071"/>
      <c r="B23" s="1071"/>
      <c r="C23" s="1071"/>
      <c r="D23" s="1071"/>
      <c r="E23" s="1071"/>
      <c r="F23" s="1195"/>
      <c r="G23" s="1196"/>
      <c r="H23" s="1192" t="s">
        <v>330</v>
      </c>
      <c r="I23" s="1192"/>
      <c r="J23" s="1192" t="s">
        <v>331</v>
      </c>
      <c r="K23" s="1192"/>
      <c r="L23" s="1192" t="s">
        <v>332</v>
      </c>
      <c r="M23" s="1192"/>
      <c r="N23" s="1192" t="s">
        <v>333</v>
      </c>
      <c r="O23" s="1192"/>
      <c r="P23" s="1195"/>
      <c r="Q23" s="1196"/>
      <c r="R23" s="1196"/>
      <c r="S23" s="1196"/>
      <c r="T23" s="1198"/>
    </row>
    <row r="24" spans="1:20" s="31" customFormat="1" ht="15" customHeight="1">
      <c r="A24" s="1071"/>
      <c r="B24" s="1071"/>
      <c r="C24" s="1071"/>
      <c r="D24" s="1071"/>
      <c r="E24" s="1071"/>
      <c r="F24" s="1189" t="s">
        <v>146</v>
      </c>
      <c r="G24" s="1190"/>
      <c r="H24" s="1189" t="s">
        <v>146</v>
      </c>
      <c r="I24" s="1190"/>
      <c r="J24" s="1189" t="s">
        <v>146</v>
      </c>
      <c r="K24" s="1190"/>
      <c r="L24" s="1189" t="s">
        <v>146</v>
      </c>
      <c r="M24" s="1190"/>
      <c r="N24" s="1189" t="s">
        <v>146</v>
      </c>
      <c r="O24" s="1190"/>
      <c r="P24" s="1189"/>
      <c r="Q24" s="1199"/>
      <c r="R24" s="1199"/>
      <c r="S24" s="1199"/>
      <c r="T24" s="1190"/>
    </row>
    <row r="25" spans="1:20" s="31" customFormat="1" ht="15" customHeight="1">
      <c r="A25" s="1146" t="s">
        <v>334</v>
      </c>
      <c r="B25" s="1146"/>
      <c r="C25" s="1146"/>
      <c r="D25" s="1146"/>
      <c r="E25" s="1146"/>
      <c r="F25" s="1187" t="str">
        <f>DBCS(【マスター】!C32)</f>
        <v>１</v>
      </c>
      <c r="G25" s="1187"/>
      <c r="H25" s="1187" t="str">
        <f>DBCS(IF(【マスター】!D32=0,"",【マスター】!D32))</f>
        <v/>
      </c>
      <c r="I25" s="1187"/>
      <c r="J25" s="1187" t="str">
        <f>DBCS(IF(【マスター】!F32=0,"",【マスター】!F32))</f>
        <v>１</v>
      </c>
      <c r="K25" s="1187"/>
      <c r="L25" s="1191"/>
      <c r="M25" s="1191"/>
      <c r="N25" s="1191"/>
      <c r="O25" s="1191"/>
      <c r="P25" s="1181" t="s">
        <v>335</v>
      </c>
      <c r="Q25" s="1182"/>
      <c r="R25" s="1182"/>
      <c r="S25" s="1182"/>
      <c r="T25" s="1183"/>
    </row>
    <row r="26" spans="1:20" s="31" customFormat="1" ht="15" customHeight="1">
      <c r="A26" s="1146" t="s">
        <v>152</v>
      </c>
      <c r="B26" s="1146"/>
      <c r="C26" s="1146"/>
      <c r="D26" s="1146"/>
      <c r="E26" s="1146"/>
      <c r="F26" s="1184" t="str">
        <f>DBCS(【マスター】!C33)</f>
        <v>３</v>
      </c>
      <c r="G26" s="1186"/>
      <c r="H26" s="1187" t="str">
        <f>DBCS(IF(【マスター】!D33=0,"",【マスター】!D33))</f>
        <v/>
      </c>
      <c r="I26" s="1187"/>
      <c r="J26" s="1187" t="str">
        <f>DBCS(IF(【マスター】!F33=0,"",【マスター】!F33))</f>
        <v>３</v>
      </c>
      <c r="K26" s="1187"/>
      <c r="L26" s="1187" t="str">
        <f>DBCS(IF(【マスター】!H33=0,"",【マスター】!H33))</f>
        <v/>
      </c>
      <c r="M26" s="1187"/>
      <c r="N26" s="1187" t="str">
        <f>DBCS(IF(【マスター】!J33=0,"",【マスター】!J33))</f>
        <v/>
      </c>
      <c r="O26" s="1187"/>
      <c r="P26" s="1181" t="s">
        <v>336</v>
      </c>
      <c r="Q26" s="1182"/>
      <c r="R26" s="1182"/>
      <c r="S26" s="1182"/>
      <c r="T26" s="1183"/>
    </row>
    <row r="27" spans="1:20" s="31" customFormat="1" ht="15" customHeight="1">
      <c r="A27" s="1146" t="s">
        <v>337</v>
      </c>
      <c r="B27" s="1146"/>
      <c r="C27" s="1146"/>
      <c r="D27" s="1146"/>
      <c r="E27" s="1146"/>
      <c r="F27" s="1184" t="str">
        <f>DBCS(【マスター】!C34)</f>
        <v>９</v>
      </c>
      <c r="G27" s="1186"/>
      <c r="H27" s="1187" t="str">
        <f>DBCS(IF(【マスター】!D34=0,"",【マスター】!D34))</f>
        <v>１</v>
      </c>
      <c r="I27" s="1187"/>
      <c r="J27" s="1187" t="str">
        <f>DBCS(IF(【マスター】!F34=0,"",【マスター】!F34))</f>
        <v>５</v>
      </c>
      <c r="K27" s="1187"/>
      <c r="L27" s="1187" t="str">
        <f>DBCS(IF(【マスター】!H34=0,"",【マスター】!H34))</f>
        <v>３</v>
      </c>
      <c r="M27" s="1187"/>
      <c r="N27" s="1187" t="str">
        <f>DBCS(IF(【マスター】!J34=0,"",【マスター】!J34))</f>
        <v/>
      </c>
      <c r="O27" s="1187"/>
      <c r="P27" s="1181" t="s">
        <v>338</v>
      </c>
      <c r="Q27" s="1182"/>
      <c r="R27" s="1182"/>
      <c r="S27" s="1182"/>
      <c r="T27" s="1183"/>
    </row>
    <row r="28" spans="1:20" s="31" customFormat="1" ht="15" customHeight="1">
      <c r="A28" s="1146" t="s">
        <v>154</v>
      </c>
      <c r="B28" s="1146"/>
      <c r="C28" s="1146"/>
      <c r="D28" s="1146"/>
      <c r="E28" s="1146"/>
      <c r="F28" s="1184" t="str">
        <f>DBCS(【マスター】!C35)</f>
        <v>３</v>
      </c>
      <c r="G28" s="1186"/>
      <c r="H28" s="1187" t="str">
        <f>DBCS(IF(【マスター】!D35=0,"",【マスター】!D35))</f>
        <v/>
      </c>
      <c r="I28" s="1187"/>
      <c r="J28" s="1187" t="str">
        <f>DBCS(IF(【マスター】!F35=0,"",【マスター】!F35))</f>
        <v>２</v>
      </c>
      <c r="K28" s="1187"/>
      <c r="L28" s="1187" t="str">
        <f>DBCS(IF(【マスター】!H35=0,"",【マスター】!H35))</f>
        <v/>
      </c>
      <c r="M28" s="1187"/>
      <c r="N28" s="1187" t="str">
        <f>DBCS(IF(【マスター】!J35=0,"",【マスター】!J35))</f>
        <v>１</v>
      </c>
      <c r="O28" s="1187"/>
      <c r="P28" s="1181" t="s">
        <v>339</v>
      </c>
      <c r="Q28" s="1182"/>
      <c r="R28" s="1182"/>
      <c r="S28" s="1182"/>
      <c r="T28" s="1183"/>
    </row>
    <row r="29" spans="1:20" s="31" customFormat="1" ht="15" customHeight="1">
      <c r="A29" s="1146" t="s">
        <v>155</v>
      </c>
      <c r="B29" s="1146"/>
      <c r="C29" s="1146"/>
      <c r="D29" s="1146"/>
      <c r="E29" s="1146"/>
      <c r="F29" s="1184" t="str">
        <f>DBCS(【マスター】!C36)</f>
        <v>３</v>
      </c>
      <c r="G29" s="1186"/>
      <c r="H29" s="1187" t="str">
        <f>DBCS(IF(【マスター】!D36=0,"",【マスター】!D36))</f>
        <v/>
      </c>
      <c r="I29" s="1187"/>
      <c r="J29" s="1187" t="str">
        <f>DBCS(IF(【マスター】!F36=0,"",【マスター】!F36))</f>
        <v>２</v>
      </c>
      <c r="K29" s="1187"/>
      <c r="L29" s="1187" t="str">
        <f>DBCS(IF(【マスター】!H36=0,"",【マスター】!H36))</f>
        <v/>
      </c>
      <c r="M29" s="1187"/>
      <c r="N29" s="1187" t="str">
        <f>DBCS(IF(【マスター】!J36=0,"",【マスター】!J36))</f>
        <v>１</v>
      </c>
      <c r="O29" s="1187"/>
      <c r="P29" s="1181" t="s">
        <v>340</v>
      </c>
      <c r="Q29" s="1182"/>
      <c r="R29" s="1182"/>
      <c r="S29" s="1182"/>
      <c r="T29" s="1183"/>
    </row>
    <row r="30" spans="1:20" s="31" customFormat="1" ht="15" customHeight="1">
      <c r="A30" s="32" t="s">
        <v>341</v>
      </c>
      <c r="C30" s="31" t="s">
        <v>342</v>
      </c>
      <c r="D30" s="33"/>
      <c r="E30" s="33"/>
      <c r="F30" s="33"/>
      <c r="G30" s="33"/>
      <c r="P30" s="33"/>
      <c r="Q30" s="33"/>
      <c r="R30" s="33"/>
      <c r="S30" s="33"/>
      <c r="T30" s="33"/>
    </row>
    <row r="31" spans="1:20" s="31" customFormat="1" ht="15" customHeight="1">
      <c r="A31" s="1146" t="s">
        <v>343</v>
      </c>
      <c r="B31" s="1146"/>
      <c r="C31" s="1146"/>
      <c r="D31" s="1146"/>
      <c r="E31" s="1146"/>
      <c r="F31" s="1134" t="s">
        <v>344</v>
      </c>
      <c r="G31" s="1134"/>
      <c r="H31" s="1134"/>
      <c r="I31" s="1134"/>
      <c r="J31" s="1134"/>
      <c r="K31" s="1134"/>
      <c r="L31" s="1134"/>
      <c r="M31" s="1134"/>
      <c r="N31" s="1134"/>
      <c r="O31" s="1134"/>
      <c r="P31" s="1184" t="s">
        <v>345</v>
      </c>
      <c r="Q31" s="1185"/>
      <c r="R31" s="1185"/>
      <c r="S31" s="1185"/>
      <c r="T31" s="1186"/>
    </row>
    <row r="32" spans="1:20" s="31" customFormat="1" ht="15" customHeight="1">
      <c r="A32" s="1146" t="s">
        <v>334</v>
      </c>
      <c r="B32" s="1146"/>
      <c r="C32" s="1146"/>
      <c r="D32" s="1146"/>
      <c r="E32" s="1146"/>
      <c r="F32" s="1150" t="s">
        <v>346</v>
      </c>
      <c r="G32" s="1151"/>
      <c r="H32" s="1151"/>
      <c r="I32" s="1151"/>
      <c r="J32" s="1151"/>
      <c r="K32" s="1151"/>
      <c r="L32" s="1151"/>
      <c r="M32" s="1151"/>
      <c r="N32" s="1151"/>
      <c r="O32" s="1152"/>
      <c r="P32" s="1156" t="s">
        <v>347</v>
      </c>
      <c r="Q32" s="1157"/>
      <c r="R32" s="1157"/>
      <c r="S32" s="1157"/>
      <c r="T32" s="1158"/>
    </row>
    <row r="33" spans="1:20" s="31" customFormat="1" ht="15" customHeight="1">
      <c r="A33" s="1146"/>
      <c r="B33" s="1146"/>
      <c r="C33" s="1146"/>
      <c r="D33" s="1146"/>
      <c r="E33" s="1146"/>
      <c r="F33" s="1153" t="str">
        <f>DBCS(【マスター】!I13&amp;【マスター】!J13&amp;【マスター】!K13)</f>
        <v>９：３０～１７：３０</v>
      </c>
      <c r="G33" s="1154"/>
      <c r="H33" s="1154"/>
      <c r="I33" s="1154"/>
      <c r="J33" s="1154"/>
      <c r="K33" s="1154"/>
      <c r="L33" s="1154"/>
      <c r="M33" s="1154"/>
      <c r="N33" s="1154"/>
      <c r="O33" s="1155"/>
      <c r="P33" s="1159"/>
      <c r="Q33" s="1025"/>
      <c r="R33" s="1025"/>
      <c r="S33" s="1025"/>
      <c r="T33" s="1160"/>
    </row>
    <row r="34" spans="1:20" s="31" customFormat="1" ht="15" customHeight="1">
      <c r="A34" s="1146" t="s">
        <v>152</v>
      </c>
      <c r="B34" s="1146"/>
      <c r="C34" s="1146"/>
      <c r="D34" s="1146"/>
      <c r="E34" s="1146"/>
      <c r="F34" s="1150" t="s">
        <v>348</v>
      </c>
      <c r="G34" s="1151"/>
      <c r="H34" s="1151"/>
      <c r="I34" s="1151"/>
      <c r="J34" s="1151"/>
      <c r="K34" s="1151"/>
      <c r="L34" s="1151"/>
      <c r="M34" s="1151"/>
      <c r="N34" s="1151"/>
      <c r="O34" s="1152"/>
      <c r="P34" s="1156" t="s">
        <v>347</v>
      </c>
      <c r="Q34" s="1157"/>
      <c r="R34" s="1157"/>
      <c r="S34" s="1157"/>
      <c r="T34" s="1158"/>
    </row>
    <row r="35" spans="1:20" s="31" customFormat="1" ht="15" customHeight="1">
      <c r="A35" s="1146"/>
      <c r="B35" s="1146"/>
      <c r="C35" s="1146"/>
      <c r="D35" s="1146"/>
      <c r="E35" s="1146"/>
      <c r="F35" s="1153" t="str">
        <f>DBCS(【マスター】!I13&amp;【マスター】!J13&amp;【マスター】!K13)</f>
        <v>９：３０～１７：３０</v>
      </c>
      <c r="G35" s="1154"/>
      <c r="H35" s="1154"/>
      <c r="I35" s="1154"/>
      <c r="J35" s="1154"/>
      <c r="K35" s="1154"/>
      <c r="L35" s="1154"/>
      <c r="M35" s="1154"/>
      <c r="N35" s="1154"/>
      <c r="O35" s="1155"/>
      <c r="P35" s="1159"/>
      <c r="Q35" s="1025"/>
      <c r="R35" s="1025"/>
      <c r="S35" s="1025"/>
      <c r="T35" s="1160"/>
    </row>
    <row r="36" spans="1:20" s="31" customFormat="1" ht="15" customHeight="1">
      <c r="A36" s="1146" t="s">
        <v>337</v>
      </c>
      <c r="B36" s="1146"/>
      <c r="C36" s="1146"/>
      <c r="D36" s="1146"/>
      <c r="E36" s="1146"/>
      <c r="F36" s="1150" t="s">
        <v>349</v>
      </c>
      <c r="G36" s="1151"/>
      <c r="H36" s="1151"/>
      <c r="I36" s="1151"/>
      <c r="J36" s="1151"/>
      <c r="K36" s="1151"/>
      <c r="L36" s="1151"/>
      <c r="M36" s="1151"/>
      <c r="N36" s="1151"/>
      <c r="O36" s="1152"/>
      <c r="P36" s="1156" t="s">
        <v>347</v>
      </c>
      <c r="Q36" s="1157"/>
      <c r="R36" s="1157"/>
      <c r="S36" s="1157"/>
      <c r="T36" s="1158"/>
    </row>
    <row r="37" spans="1:20" s="31" customFormat="1" ht="15" customHeight="1">
      <c r="A37" s="1146"/>
      <c r="B37" s="1146"/>
      <c r="C37" s="1146"/>
      <c r="D37" s="1146"/>
      <c r="E37" s="1146"/>
      <c r="F37" s="1153" t="str">
        <f>DBCS(【マスター】!I13&amp;【マスター】!J13&amp;【マスター】!K13)</f>
        <v>９：３０～１７：３０</v>
      </c>
      <c r="G37" s="1154"/>
      <c r="H37" s="1154"/>
      <c r="I37" s="1154"/>
      <c r="J37" s="1154"/>
      <c r="K37" s="1154"/>
      <c r="L37" s="1154"/>
      <c r="M37" s="1154"/>
      <c r="N37" s="1154"/>
      <c r="O37" s="1155"/>
      <c r="P37" s="1159"/>
      <c r="Q37" s="1025"/>
      <c r="R37" s="1025"/>
      <c r="S37" s="1025"/>
      <c r="T37" s="1160"/>
    </row>
    <row r="38" spans="1:20" s="31" customFormat="1" ht="15" customHeight="1">
      <c r="A38" s="1146" t="s">
        <v>154</v>
      </c>
      <c r="B38" s="1146"/>
      <c r="C38" s="1146"/>
      <c r="D38" s="1146"/>
      <c r="E38" s="1146"/>
      <c r="F38" s="1150" t="s">
        <v>349</v>
      </c>
      <c r="G38" s="1151"/>
      <c r="H38" s="1151"/>
      <c r="I38" s="1151"/>
      <c r="J38" s="1151"/>
      <c r="K38" s="1151"/>
      <c r="L38" s="1151"/>
      <c r="M38" s="1151"/>
      <c r="N38" s="1151"/>
      <c r="O38" s="1152"/>
      <c r="P38" s="1156" t="s">
        <v>347</v>
      </c>
      <c r="Q38" s="1157"/>
      <c r="R38" s="1157"/>
      <c r="S38" s="1157"/>
      <c r="T38" s="1158"/>
    </row>
    <row r="39" spans="1:20" s="31" customFormat="1" ht="15" customHeight="1">
      <c r="A39" s="1146"/>
      <c r="B39" s="1146"/>
      <c r="C39" s="1146"/>
      <c r="D39" s="1146"/>
      <c r="E39" s="1146"/>
      <c r="F39" s="1153" t="str">
        <f>DBCS(【マスター】!I13&amp;【マスター】!J13&amp;【マスター】!K13)</f>
        <v>９：３０～１７：３０</v>
      </c>
      <c r="G39" s="1154"/>
      <c r="H39" s="1154"/>
      <c r="I39" s="1154"/>
      <c r="J39" s="1154"/>
      <c r="K39" s="1154"/>
      <c r="L39" s="1154"/>
      <c r="M39" s="1154"/>
      <c r="N39" s="1154"/>
      <c r="O39" s="1155"/>
      <c r="P39" s="1159"/>
      <c r="Q39" s="1025"/>
      <c r="R39" s="1025"/>
      <c r="S39" s="1025"/>
      <c r="T39" s="1160"/>
    </row>
    <row r="40" spans="1:20" s="31" customFormat="1" ht="15" customHeight="1">
      <c r="A40" s="1146" t="s">
        <v>155</v>
      </c>
      <c r="B40" s="1146"/>
      <c r="C40" s="1146"/>
      <c r="D40" s="1146"/>
      <c r="E40" s="1146"/>
      <c r="F40" s="1150" t="s">
        <v>349</v>
      </c>
      <c r="G40" s="1151"/>
      <c r="H40" s="1151"/>
      <c r="I40" s="1151"/>
      <c r="J40" s="1151"/>
      <c r="K40" s="1151"/>
      <c r="L40" s="1151"/>
      <c r="M40" s="1151"/>
      <c r="N40" s="1151"/>
      <c r="O40" s="1152"/>
      <c r="P40" s="1156" t="s">
        <v>347</v>
      </c>
      <c r="Q40" s="1157"/>
      <c r="R40" s="1157"/>
      <c r="S40" s="1157"/>
      <c r="T40" s="1158"/>
    </row>
    <row r="41" spans="1:20" s="31" customFormat="1" ht="15" customHeight="1">
      <c r="A41" s="1146"/>
      <c r="B41" s="1146"/>
      <c r="C41" s="1146"/>
      <c r="D41" s="1146"/>
      <c r="E41" s="1146"/>
      <c r="F41" s="1153" t="str">
        <f>DBCS(【マスター】!I13&amp;【マスター】!J13&amp;【マスター】!K13)</f>
        <v>９：３０～１７：３０</v>
      </c>
      <c r="G41" s="1154"/>
      <c r="H41" s="1154"/>
      <c r="I41" s="1154"/>
      <c r="J41" s="1154"/>
      <c r="K41" s="1154"/>
      <c r="L41" s="1154"/>
      <c r="M41" s="1154"/>
      <c r="N41" s="1154"/>
      <c r="O41" s="1155"/>
      <c r="P41" s="1159"/>
      <c r="Q41" s="1025"/>
      <c r="R41" s="1025"/>
      <c r="S41" s="1025"/>
      <c r="T41" s="1160"/>
    </row>
    <row r="42" spans="1:20" s="31" customFormat="1" ht="15" customHeight="1">
      <c r="A42" s="32" t="s">
        <v>350</v>
      </c>
      <c r="C42" s="32" t="s">
        <v>351</v>
      </c>
    </row>
    <row r="43" spans="1:20" s="31" customFormat="1" ht="15" customHeight="1">
      <c r="A43" s="1165" t="s">
        <v>352</v>
      </c>
      <c r="B43" s="1166"/>
      <c r="C43" s="1166"/>
      <c r="D43" s="1166"/>
      <c r="E43" s="1167"/>
      <c r="F43" s="1171" t="str">
        <f>""&amp;【マスター】!C17&amp;IF(【マスター】!E17=0," ","・")&amp;【マスター】!E17&amp;""&amp;IF(【マスター】!G17=0," ","・")&amp;【マスター】!G17&amp;""&amp;IF(【マスター】!I17=0," ","・")&amp;【マスター】!I17&amp;""&amp;IF(【マスター】!K17=0," ","・")&amp;【マスター】!K17&amp;""</f>
        <v xml:space="preserve">豊橋市・豊川市   </v>
      </c>
      <c r="G43" s="1172"/>
      <c r="H43" s="1172"/>
      <c r="I43" s="1172"/>
      <c r="J43" s="1172"/>
      <c r="K43" s="1172"/>
      <c r="L43" s="1172"/>
      <c r="M43" s="1172"/>
      <c r="N43" s="1172"/>
      <c r="O43" s="1172"/>
      <c r="P43" s="1172"/>
      <c r="Q43" s="1172"/>
      <c r="R43" s="1172"/>
      <c r="S43" s="1172"/>
      <c r="T43" s="1173"/>
    </row>
    <row r="44" spans="1:20" s="31" customFormat="1" ht="15" customHeight="1">
      <c r="A44" s="1168"/>
      <c r="B44" s="1169"/>
      <c r="C44" s="1169"/>
      <c r="D44" s="1169"/>
      <c r="E44" s="1170"/>
      <c r="F44" s="1174"/>
      <c r="G44" s="1175"/>
      <c r="H44" s="1175"/>
      <c r="I44" s="1175"/>
      <c r="J44" s="1175"/>
      <c r="K44" s="1175"/>
      <c r="L44" s="1175"/>
      <c r="M44" s="1175"/>
      <c r="N44" s="1175"/>
      <c r="O44" s="1175"/>
      <c r="P44" s="1175"/>
      <c r="Q44" s="1175"/>
      <c r="R44" s="1175"/>
      <c r="S44" s="1175"/>
      <c r="T44" s="1176"/>
    </row>
    <row r="45" spans="1:20" s="31" customFormat="1" ht="15" customHeight="1">
      <c r="A45" s="32" t="s">
        <v>353</v>
      </c>
      <c r="C45" s="31" t="s">
        <v>354</v>
      </c>
      <c r="D45" s="33"/>
      <c r="E45" s="33"/>
      <c r="F45" s="33"/>
      <c r="G45" s="33"/>
      <c r="H45" s="33"/>
      <c r="I45" s="33"/>
      <c r="J45" s="33"/>
      <c r="K45" s="33"/>
      <c r="L45" s="33"/>
      <c r="M45" s="33"/>
      <c r="N45" s="33"/>
      <c r="O45" s="33"/>
      <c r="P45" s="33"/>
      <c r="Q45" s="33"/>
      <c r="R45" s="33"/>
      <c r="S45" s="33"/>
      <c r="T45" s="33"/>
    </row>
    <row r="46" spans="1:20" s="31" customFormat="1" ht="15" customHeight="1">
      <c r="A46" s="459"/>
      <c r="B46" s="1177" t="s">
        <v>355</v>
      </c>
      <c r="C46" s="1177"/>
      <c r="D46" s="1177"/>
      <c r="E46" s="1177"/>
      <c r="F46" s="1177"/>
      <c r="G46" s="160"/>
      <c r="H46" s="1149" t="str">
        <f>【マスター】!K16</f>
        <v>月曜日～日曜日（祝日を含む）</v>
      </c>
      <c r="I46" s="1134"/>
      <c r="J46" s="1134"/>
      <c r="K46" s="1134"/>
      <c r="L46" s="1134"/>
      <c r="M46" s="1134"/>
      <c r="N46" s="1134"/>
      <c r="O46" s="33"/>
      <c r="P46" s="33"/>
      <c r="Q46" s="33"/>
      <c r="R46" s="33"/>
      <c r="S46" s="33"/>
      <c r="T46" s="33"/>
    </row>
    <row r="47" spans="1:20" s="31" customFormat="1" ht="15" customHeight="1">
      <c r="A47" s="42"/>
      <c r="B47" s="1161" t="s">
        <v>357</v>
      </c>
      <c r="C47" s="1161"/>
      <c r="D47" s="1161"/>
      <c r="E47" s="1161"/>
      <c r="F47" s="1161"/>
      <c r="G47" s="43"/>
      <c r="H47" s="1178" t="str">
        <f>DBCS(【マスター】!C13&amp;【マスター】!D13&amp;【マスター】!E13)</f>
        <v>６：３０～２０：３０</v>
      </c>
      <c r="I47" s="1179"/>
      <c r="J47" s="1179"/>
      <c r="K47" s="1179"/>
      <c r="L47" s="1179"/>
      <c r="M47" s="1179"/>
      <c r="N47" s="1180"/>
      <c r="O47" s="33"/>
      <c r="P47" s="33"/>
      <c r="Q47" s="33"/>
      <c r="R47" s="33"/>
      <c r="S47" s="33"/>
      <c r="T47" s="33"/>
    </row>
    <row r="48" spans="1:20" s="31" customFormat="1" ht="15" customHeight="1">
      <c r="A48" s="42"/>
      <c r="B48" s="1161" t="s">
        <v>94</v>
      </c>
      <c r="C48" s="1161"/>
      <c r="D48" s="1161"/>
      <c r="E48" s="1161"/>
      <c r="F48" s="1161"/>
      <c r="G48" s="43"/>
      <c r="H48" s="1162" t="str">
        <f>DBCS(【マスター】!I13&amp;【マスター】!J13&amp;【マスター】!K13)</f>
        <v>９：３０～１７：３０</v>
      </c>
      <c r="I48" s="1163"/>
      <c r="J48" s="1163"/>
      <c r="K48" s="1163"/>
      <c r="L48" s="1163"/>
      <c r="M48" s="1163"/>
      <c r="N48" s="1164"/>
      <c r="O48" s="33"/>
      <c r="P48" s="33"/>
      <c r="Q48" s="33"/>
      <c r="R48" s="33"/>
      <c r="S48" s="33"/>
      <c r="T48" s="33"/>
    </row>
    <row r="49" spans="1:38" s="31" customFormat="1" ht="15" customHeight="1">
      <c r="B49" s="32"/>
      <c r="C49" s="33"/>
      <c r="D49" s="33"/>
      <c r="E49" s="33"/>
      <c r="F49" s="33"/>
      <c r="H49" s="31" t="str">
        <f>DBCS("※送迎対応時間は、"&amp;【マスター】!C14&amp;【マスター】!D14&amp;【マスター】!E14&amp;"とします。")</f>
        <v>※送迎対応時間は、６：３０～２０：３０とします。</v>
      </c>
      <c r="I49" s="33"/>
      <c r="J49" s="33"/>
      <c r="K49" s="33"/>
      <c r="L49" s="33"/>
      <c r="M49" s="33"/>
      <c r="N49" s="33"/>
      <c r="O49" s="33"/>
      <c r="P49" s="33"/>
      <c r="Q49" s="33"/>
      <c r="R49" s="33"/>
      <c r="S49" s="33"/>
      <c r="T49" s="33"/>
    </row>
    <row r="50" spans="1:38" s="31" customFormat="1" ht="15" customHeight="1">
      <c r="B50" s="32"/>
      <c r="C50" s="33"/>
      <c r="D50" s="33"/>
      <c r="E50" s="33"/>
      <c r="F50" s="33"/>
      <c r="I50" s="33"/>
      <c r="J50" s="33"/>
      <c r="K50" s="33"/>
      <c r="L50" s="33"/>
      <c r="M50" s="33"/>
      <c r="N50" s="33"/>
      <c r="O50" s="33"/>
      <c r="P50" s="33"/>
      <c r="Q50" s="33"/>
      <c r="R50" s="33"/>
      <c r="S50" s="33"/>
      <c r="T50" s="33"/>
    </row>
    <row r="51" spans="1:38" s="31" customFormat="1" ht="15" customHeight="1">
      <c r="A51" s="31" t="s">
        <v>358</v>
      </c>
      <c r="B51" s="32"/>
      <c r="C51" s="32"/>
    </row>
    <row r="52" spans="1:38" s="31" customFormat="1" ht="15" customHeight="1">
      <c r="A52" s="32" t="s">
        <v>320</v>
      </c>
      <c r="C52" s="31" t="s">
        <v>359</v>
      </c>
      <c r="D52" s="33"/>
      <c r="E52" s="33"/>
      <c r="F52" s="33"/>
      <c r="G52" s="33"/>
      <c r="H52" s="33"/>
      <c r="I52" s="33"/>
      <c r="J52" s="33"/>
      <c r="K52" s="33"/>
      <c r="L52" s="33"/>
      <c r="M52" s="33"/>
      <c r="N52" s="33"/>
      <c r="O52" s="33"/>
      <c r="P52" s="33"/>
      <c r="Q52" s="33"/>
      <c r="R52" s="33"/>
      <c r="S52" s="33"/>
      <c r="T52" s="33"/>
    </row>
    <row r="53" spans="1:38" s="31" customFormat="1" ht="15" customHeight="1">
      <c r="B53" s="31" t="s">
        <v>360</v>
      </c>
      <c r="D53" s="33"/>
      <c r="E53" s="33"/>
      <c r="F53" s="33"/>
      <c r="G53" s="33"/>
      <c r="H53" s="33"/>
      <c r="I53" s="33"/>
      <c r="J53" s="33"/>
      <c r="K53" s="33"/>
      <c r="L53" s="33"/>
      <c r="M53" s="33"/>
      <c r="N53" s="33"/>
      <c r="O53" s="33"/>
      <c r="P53" s="33"/>
      <c r="Q53" s="33"/>
      <c r="R53" s="33"/>
      <c r="S53" s="33"/>
      <c r="T53" s="33"/>
    </row>
    <row r="54" spans="1:38" s="31" customFormat="1" ht="15" customHeight="1">
      <c r="A54" s="1146" t="s">
        <v>361</v>
      </c>
      <c r="B54" s="1146"/>
      <c r="C54" s="1146"/>
      <c r="D54" s="1146"/>
      <c r="E54" s="1146"/>
      <c r="F54" s="1147" t="s">
        <v>362</v>
      </c>
      <c r="G54" s="1148"/>
      <c r="H54" s="1148"/>
      <c r="I54" s="1148"/>
      <c r="J54" s="1148"/>
      <c r="K54" s="1148"/>
      <c r="L54" s="1148"/>
      <c r="M54" s="1148"/>
      <c r="N54" s="1148"/>
      <c r="O54" s="1148"/>
      <c r="P54" s="1148"/>
      <c r="Q54" s="1148"/>
      <c r="R54" s="1148"/>
      <c r="S54" s="1148"/>
      <c r="T54" s="1149"/>
    </row>
    <row r="55" spans="1:38" s="31" customFormat="1" ht="15" customHeight="1">
      <c r="A55" s="496"/>
      <c r="B55" s="1138" t="s">
        <v>363</v>
      </c>
      <c r="C55" s="1138"/>
      <c r="D55" s="1138"/>
      <c r="E55" s="497"/>
      <c r="F55" s="1150" t="str">
        <f>IF(【マスター】!C72="",通所重説!Y56,通所重説!Y55)</f>
        <v>食事（昼食及び延長加算算定時の朝食、夕食）を提供します。</v>
      </c>
      <c r="G55" s="1151"/>
      <c r="H55" s="1151"/>
      <c r="I55" s="1151"/>
      <c r="J55" s="1151"/>
      <c r="K55" s="1151"/>
      <c r="L55" s="1151"/>
      <c r="M55" s="1151"/>
      <c r="N55" s="1151"/>
      <c r="O55" s="1151"/>
      <c r="P55" s="1151"/>
      <c r="Q55" s="1151"/>
      <c r="R55" s="1151"/>
      <c r="S55" s="1151"/>
      <c r="T55" s="1152"/>
      <c r="U55" s="31" t="s">
        <v>364</v>
      </c>
      <c r="Y55" s="1205" t="s">
        <v>365</v>
      </c>
      <c r="Z55" s="1205"/>
      <c r="AA55" s="1205"/>
      <c r="AB55" s="1205"/>
      <c r="AC55" s="1205"/>
      <c r="AD55" s="1205"/>
      <c r="AE55" s="1205"/>
      <c r="AF55" s="1205"/>
      <c r="AG55" s="1205"/>
      <c r="AH55" s="1205"/>
      <c r="AI55" s="1205"/>
      <c r="AJ55" s="1205"/>
      <c r="AK55" s="1205"/>
      <c r="AL55" s="1205"/>
    </row>
    <row r="56" spans="1:38" s="31" customFormat="1" ht="15" customHeight="1">
      <c r="A56" s="498"/>
      <c r="B56" s="1139"/>
      <c r="C56" s="1139"/>
      <c r="D56" s="1139"/>
      <c r="E56" s="499"/>
      <c r="F56" s="1153"/>
      <c r="G56" s="1154"/>
      <c r="H56" s="1154"/>
      <c r="I56" s="1154"/>
      <c r="J56" s="1154"/>
      <c r="K56" s="1154"/>
      <c r="L56" s="1154"/>
      <c r="M56" s="1154"/>
      <c r="N56" s="1154"/>
      <c r="O56" s="1154"/>
      <c r="P56" s="1154"/>
      <c r="Q56" s="1154"/>
      <c r="R56" s="1154"/>
      <c r="S56" s="1154"/>
      <c r="T56" s="1155"/>
      <c r="U56" s="31" t="s">
        <v>366</v>
      </c>
      <c r="Y56" s="1205" t="s">
        <v>367</v>
      </c>
      <c r="Z56" s="1205"/>
      <c r="AA56" s="1205"/>
      <c r="AB56" s="1205"/>
      <c r="AC56" s="1205"/>
      <c r="AD56" s="1205"/>
      <c r="AE56" s="1205"/>
      <c r="AF56" s="1205"/>
      <c r="AG56" s="1205"/>
      <c r="AH56" s="1205"/>
      <c r="AI56" s="1205"/>
      <c r="AJ56" s="1205"/>
      <c r="AK56" s="1205"/>
      <c r="AL56" s="1205"/>
    </row>
    <row r="57" spans="1:38" s="31" customFormat="1" ht="15" customHeight="1">
      <c r="A57" s="496"/>
      <c r="B57" s="1138" t="s">
        <v>368</v>
      </c>
      <c r="C57" s="1138"/>
      <c r="D57" s="1138"/>
      <c r="E57" s="497"/>
      <c r="F57" s="1150" t="s">
        <v>369</v>
      </c>
      <c r="G57" s="1151"/>
      <c r="H57" s="1151"/>
      <c r="I57" s="1151"/>
      <c r="J57" s="1151"/>
      <c r="K57" s="1151"/>
      <c r="L57" s="1151"/>
      <c r="M57" s="1151"/>
      <c r="N57" s="1151"/>
      <c r="O57" s="1151"/>
      <c r="P57" s="1151"/>
      <c r="Q57" s="1151"/>
      <c r="R57" s="1151"/>
      <c r="S57" s="1151"/>
      <c r="T57" s="1152"/>
    </row>
    <row r="58" spans="1:38" s="31" customFormat="1" ht="15" customHeight="1">
      <c r="A58" s="498"/>
      <c r="B58" s="1139"/>
      <c r="C58" s="1139"/>
      <c r="D58" s="1139"/>
      <c r="E58" s="499"/>
      <c r="F58" s="1153" t="s">
        <v>370</v>
      </c>
      <c r="G58" s="1154"/>
      <c r="H58" s="1154"/>
      <c r="I58" s="1154"/>
      <c r="J58" s="1154"/>
      <c r="K58" s="1154"/>
      <c r="L58" s="1154"/>
      <c r="M58" s="1154"/>
      <c r="N58" s="1154"/>
      <c r="O58" s="1154"/>
      <c r="P58" s="1154"/>
      <c r="Q58" s="1154"/>
      <c r="R58" s="1154"/>
      <c r="S58" s="1154"/>
      <c r="T58" s="1155"/>
    </row>
    <row r="59" spans="1:38" s="31" customFormat="1" ht="15" customHeight="1">
      <c r="A59" s="496"/>
      <c r="B59" s="1138" t="s">
        <v>371</v>
      </c>
      <c r="C59" s="1138"/>
      <c r="D59" s="1138"/>
      <c r="E59" s="497"/>
      <c r="F59" s="1140" t="s">
        <v>372</v>
      </c>
      <c r="G59" s="1141"/>
      <c r="H59" s="1141"/>
      <c r="I59" s="1141"/>
      <c r="J59" s="1141"/>
      <c r="K59" s="1141"/>
      <c r="L59" s="1141"/>
      <c r="M59" s="1141"/>
      <c r="N59" s="1141"/>
      <c r="O59" s="1141"/>
      <c r="P59" s="1141"/>
      <c r="Q59" s="1141"/>
      <c r="R59" s="1141"/>
      <c r="S59" s="1141"/>
      <c r="T59" s="1142"/>
    </row>
    <row r="60" spans="1:38" s="31" customFormat="1" ht="15" customHeight="1">
      <c r="A60" s="498"/>
      <c r="B60" s="1139"/>
      <c r="C60" s="1139"/>
      <c r="D60" s="1139"/>
      <c r="E60" s="499"/>
      <c r="F60" s="1143"/>
      <c r="G60" s="1144"/>
      <c r="H60" s="1144"/>
      <c r="I60" s="1144"/>
      <c r="J60" s="1144"/>
      <c r="K60" s="1144"/>
      <c r="L60" s="1144"/>
      <c r="M60" s="1144"/>
      <c r="N60" s="1144"/>
      <c r="O60" s="1144"/>
      <c r="P60" s="1144"/>
      <c r="Q60" s="1144"/>
      <c r="R60" s="1144"/>
      <c r="S60" s="1144"/>
      <c r="T60" s="1145"/>
    </row>
    <row r="61" spans="1:38" s="31" customFormat="1" ht="15" customHeight="1">
      <c r="A61" s="496"/>
      <c r="B61" s="1138" t="s">
        <v>373</v>
      </c>
      <c r="C61" s="1138"/>
      <c r="D61" s="1138"/>
      <c r="E61" s="497"/>
      <c r="F61" s="1140" t="s">
        <v>374</v>
      </c>
      <c r="G61" s="1141"/>
      <c r="H61" s="1141"/>
      <c r="I61" s="1141"/>
      <c r="J61" s="1141"/>
      <c r="K61" s="1141"/>
      <c r="L61" s="1141"/>
      <c r="M61" s="1141"/>
      <c r="N61" s="1141"/>
      <c r="O61" s="1141"/>
      <c r="P61" s="1141"/>
      <c r="Q61" s="1141"/>
      <c r="R61" s="1141"/>
      <c r="S61" s="1141"/>
      <c r="T61" s="1142"/>
    </row>
    <row r="62" spans="1:38" s="31" customFormat="1" ht="15" customHeight="1">
      <c r="A62" s="498"/>
      <c r="B62" s="1139"/>
      <c r="C62" s="1139"/>
      <c r="D62" s="1139"/>
      <c r="E62" s="499"/>
      <c r="F62" s="1143"/>
      <c r="G62" s="1144"/>
      <c r="H62" s="1144"/>
      <c r="I62" s="1144"/>
      <c r="J62" s="1144"/>
      <c r="K62" s="1144"/>
      <c r="L62" s="1144"/>
      <c r="M62" s="1144"/>
      <c r="N62" s="1144"/>
      <c r="O62" s="1144"/>
      <c r="P62" s="1144"/>
      <c r="Q62" s="1144"/>
      <c r="R62" s="1144"/>
      <c r="S62" s="1144"/>
      <c r="T62" s="1145"/>
    </row>
    <row r="63" spans="1:38" s="31" customFormat="1" ht="15" customHeight="1">
      <c r="A63" s="496"/>
      <c r="B63" s="1138" t="s">
        <v>375</v>
      </c>
      <c r="C63" s="1138"/>
      <c r="D63" s="1138"/>
      <c r="E63" s="497"/>
      <c r="F63" s="1150" t="s">
        <v>376</v>
      </c>
      <c r="G63" s="1151"/>
      <c r="H63" s="1151"/>
      <c r="I63" s="1151"/>
      <c r="J63" s="1151"/>
      <c r="K63" s="1151"/>
      <c r="L63" s="1151"/>
      <c r="M63" s="1151"/>
      <c r="N63" s="1151"/>
      <c r="O63" s="1151"/>
      <c r="P63" s="1151"/>
      <c r="Q63" s="1151"/>
      <c r="R63" s="1151"/>
      <c r="S63" s="1151"/>
      <c r="T63" s="1152"/>
    </row>
    <row r="64" spans="1:38" s="31" customFormat="1" ht="15" customHeight="1">
      <c r="A64" s="498"/>
      <c r="B64" s="1139"/>
      <c r="C64" s="1139"/>
      <c r="D64" s="1139"/>
      <c r="E64" s="499"/>
      <c r="F64" s="1153" t="s">
        <v>377</v>
      </c>
      <c r="G64" s="1154"/>
      <c r="H64" s="1154"/>
      <c r="I64" s="1154"/>
      <c r="J64" s="1154"/>
      <c r="K64" s="1154"/>
      <c r="L64" s="1154"/>
      <c r="M64" s="1154"/>
      <c r="N64" s="1154"/>
      <c r="O64" s="1154"/>
      <c r="P64" s="1154"/>
      <c r="Q64" s="1154"/>
      <c r="R64" s="1154"/>
      <c r="S64" s="1154"/>
      <c r="T64" s="1155"/>
    </row>
    <row r="65" spans="1:21" s="31" customFormat="1" ht="15" customHeight="1">
      <c r="A65" s="496"/>
      <c r="B65" s="1138" t="s">
        <v>378</v>
      </c>
      <c r="C65" s="1138"/>
      <c r="D65" s="1138"/>
      <c r="E65" s="497"/>
      <c r="F65" s="1150" t="s">
        <v>379</v>
      </c>
      <c r="G65" s="1151"/>
      <c r="H65" s="1151"/>
      <c r="I65" s="1151"/>
      <c r="J65" s="1151"/>
      <c r="K65" s="1151"/>
      <c r="L65" s="1151"/>
      <c r="M65" s="1151"/>
      <c r="N65" s="1151"/>
      <c r="O65" s="1151"/>
      <c r="P65" s="1151"/>
      <c r="Q65" s="1151"/>
      <c r="R65" s="1151"/>
      <c r="S65" s="1151"/>
      <c r="T65" s="1152"/>
    </row>
    <row r="66" spans="1:21" s="31" customFormat="1" ht="15" customHeight="1">
      <c r="A66" s="498"/>
      <c r="B66" s="1139"/>
      <c r="C66" s="1139"/>
      <c r="D66" s="1139"/>
      <c r="E66" s="499"/>
      <c r="F66" s="1153"/>
      <c r="G66" s="1154"/>
      <c r="H66" s="1154"/>
      <c r="I66" s="1154"/>
      <c r="J66" s="1154"/>
      <c r="K66" s="1154"/>
      <c r="L66" s="1154"/>
      <c r="M66" s="1154"/>
      <c r="N66" s="1154"/>
      <c r="O66" s="1154"/>
      <c r="P66" s="1154"/>
      <c r="Q66" s="1154"/>
      <c r="R66" s="1154"/>
      <c r="S66" s="1154"/>
      <c r="T66" s="1155"/>
    </row>
    <row r="67" spans="1:21" s="31" customFormat="1" ht="15" customHeight="1">
      <c r="A67" s="496"/>
      <c r="B67" s="1138" t="s">
        <v>380</v>
      </c>
      <c r="C67" s="1138"/>
      <c r="D67" s="1138"/>
      <c r="E67" s="497"/>
      <c r="F67" s="1140" t="s">
        <v>381</v>
      </c>
      <c r="G67" s="1141"/>
      <c r="H67" s="1141"/>
      <c r="I67" s="1141"/>
      <c r="J67" s="1141"/>
      <c r="K67" s="1141"/>
      <c r="L67" s="1141"/>
      <c r="M67" s="1141"/>
      <c r="N67" s="1141"/>
      <c r="O67" s="1141"/>
      <c r="P67" s="1141"/>
      <c r="Q67" s="1141"/>
      <c r="R67" s="1141"/>
      <c r="S67" s="1141"/>
      <c r="T67" s="1142"/>
    </row>
    <row r="68" spans="1:21" s="31" customFormat="1" ht="15" customHeight="1">
      <c r="A68" s="498"/>
      <c r="B68" s="1139"/>
      <c r="C68" s="1139"/>
      <c r="D68" s="1139"/>
      <c r="E68" s="499"/>
      <c r="F68" s="1143"/>
      <c r="G68" s="1144"/>
      <c r="H68" s="1144"/>
      <c r="I68" s="1144"/>
      <c r="J68" s="1144"/>
      <c r="K68" s="1144"/>
      <c r="L68" s="1144"/>
      <c r="M68" s="1144"/>
      <c r="N68" s="1144"/>
      <c r="O68" s="1144"/>
      <c r="P68" s="1144"/>
      <c r="Q68" s="1144"/>
      <c r="R68" s="1144"/>
      <c r="S68" s="1144"/>
      <c r="T68" s="1145"/>
    </row>
    <row r="69" spans="1:21" s="31" customFormat="1" ht="15" customHeight="1">
      <c r="A69" s="496"/>
      <c r="B69" s="1138" t="s">
        <v>382</v>
      </c>
      <c r="C69" s="1138"/>
      <c r="D69" s="1138"/>
      <c r="E69" s="497"/>
      <c r="F69" s="1140" t="s">
        <v>383</v>
      </c>
      <c r="G69" s="1141"/>
      <c r="H69" s="1141"/>
      <c r="I69" s="1141"/>
      <c r="J69" s="1141"/>
      <c r="K69" s="1141"/>
      <c r="L69" s="1141"/>
      <c r="M69" s="1141"/>
      <c r="N69" s="1141"/>
      <c r="O69" s="1141"/>
      <c r="P69" s="1141"/>
      <c r="Q69" s="1141"/>
      <c r="R69" s="1141"/>
      <c r="S69" s="1141"/>
      <c r="T69" s="1142"/>
    </row>
    <row r="70" spans="1:21" s="31" customFormat="1" ht="15" customHeight="1">
      <c r="A70" s="498"/>
      <c r="B70" s="1139"/>
      <c r="C70" s="1139"/>
      <c r="D70" s="1139"/>
      <c r="E70" s="499"/>
      <c r="F70" s="1143"/>
      <c r="G70" s="1144"/>
      <c r="H70" s="1144"/>
      <c r="I70" s="1144"/>
      <c r="J70" s="1144"/>
      <c r="K70" s="1144"/>
      <c r="L70" s="1144"/>
      <c r="M70" s="1144"/>
      <c r="N70" s="1144"/>
      <c r="O70" s="1144"/>
      <c r="P70" s="1144"/>
      <c r="Q70" s="1144"/>
      <c r="R70" s="1144"/>
      <c r="S70" s="1144"/>
      <c r="T70" s="1145"/>
    </row>
    <row r="71" spans="1:21" s="31" customFormat="1" ht="15" customHeight="1">
      <c r="B71" s="31" t="s">
        <v>384</v>
      </c>
      <c r="D71" s="33"/>
      <c r="E71" s="33"/>
      <c r="F71" s="33"/>
      <c r="G71" s="33"/>
      <c r="H71" s="33"/>
      <c r="I71" s="33"/>
      <c r="J71" s="33"/>
      <c r="K71" s="33"/>
      <c r="L71" s="33"/>
      <c r="M71" s="33"/>
      <c r="N71" s="33"/>
      <c r="O71" s="33"/>
      <c r="P71" s="33"/>
      <c r="Q71" s="33"/>
      <c r="R71" s="33"/>
      <c r="S71" s="33"/>
      <c r="T71" s="33"/>
    </row>
    <row r="72" spans="1:21" s="31" customFormat="1" ht="15" customHeight="1">
      <c r="A72" s="1137" t="s">
        <v>385</v>
      </c>
      <c r="B72" s="1137"/>
      <c r="C72" s="1137"/>
      <c r="D72" s="1137"/>
      <c r="E72" s="1137"/>
      <c r="F72" s="1137"/>
      <c r="G72" s="1137"/>
      <c r="H72" s="1137"/>
      <c r="I72" s="1137"/>
      <c r="J72" s="1137"/>
      <c r="K72" s="1137"/>
      <c r="L72" s="1137"/>
      <c r="M72" s="1137"/>
      <c r="N72" s="1137"/>
      <c r="O72" s="1137"/>
      <c r="P72" s="1137"/>
      <c r="Q72" s="1137"/>
      <c r="R72" s="1137"/>
      <c r="S72" s="1137"/>
      <c r="T72" s="1137"/>
    </row>
    <row r="73" spans="1:21" s="31" customFormat="1" ht="15" customHeight="1">
      <c r="A73" s="32" t="s">
        <v>326</v>
      </c>
      <c r="B73" s="32"/>
      <c r="C73" s="32" t="s">
        <v>271</v>
      </c>
      <c r="D73" s="34"/>
      <c r="E73" s="34"/>
      <c r="F73" s="34"/>
      <c r="G73" s="34"/>
      <c r="H73" s="34"/>
      <c r="I73" s="34"/>
      <c r="J73" s="34"/>
      <c r="K73" s="34"/>
      <c r="L73" s="34"/>
      <c r="M73" s="34"/>
      <c r="N73" s="34"/>
      <c r="O73" s="34"/>
      <c r="P73" s="34"/>
      <c r="Q73" s="34"/>
      <c r="R73" s="34"/>
      <c r="S73" s="34"/>
      <c r="T73" s="34"/>
    </row>
    <row r="74" spans="1:21" s="31" customFormat="1" ht="15" customHeight="1">
      <c r="C74" s="32" t="s">
        <v>386</v>
      </c>
    </row>
    <row r="75" spans="1:21" s="31" customFormat="1" ht="15" customHeight="1">
      <c r="B75" s="32"/>
      <c r="C75" s="32"/>
      <c r="E75" s="1136" t="str">
        <f>【マスター】!C84</f>
        <v>口座振替・振込・現金支払</v>
      </c>
      <c r="F75" s="1136"/>
      <c r="G75" s="1136"/>
      <c r="H75" s="1136"/>
      <c r="I75" s="1136"/>
      <c r="J75" s="1136"/>
      <c r="K75" s="1136"/>
      <c r="L75" s="1136"/>
      <c r="M75" s="1136"/>
      <c r="N75" s="1136"/>
      <c r="O75" s="1136"/>
      <c r="P75" s="32" t="s">
        <v>387</v>
      </c>
    </row>
    <row r="76" spans="1:21" s="31" customFormat="1" ht="15" customHeight="1">
      <c r="C76" s="32" t="s">
        <v>388</v>
      </c>
      <c r="D76" s="34"/>
      <c r="E76" s="34"/>
      <c r="F76" s="34"/>
      <c r="G76" s="34"/>
      <c r="H76" s="34"/>
      <c r="I76" s="34"/>
      <c r="J76" s="34"/>
      <c r="K76" s="34"/>
      <c r="L76" s="34"/>
      <c r="M76" s="34"/>
      <c r="N76" s="34"/>
      <c r="O76" s="34"/>
      <c r="P76" s="34"/>
      <c r="Q76" s="34"/>
      <c r="R76" s="34"/>
      <c r="S76" s="34"/>
      <c r="T76" s="34"/>
    </row>
    <row r="77" spans="1:21" s="31" customFormat="1" ht="15" customHeight="1">
      <c r="B77" s="32"/>
      <c r="C77" s="34"/>
      <c r="D77" s="34"/>
      <c r="E77" s="34"/>
      <c r="F77" s="34"/>
      <c r="G77" s="34"/>
      <c r="H77" s="34"/>
      <c r="I77" s="34"/>
      <c r="J77" s="34"/>
      <c r="K77" s="34"/>
      <c r="L77" s="34"/>
      <c r="M77" s="34"/>
      <c r="N77" s="34"/>
      <c r="O77" s="34"/>
      <c r="P77" s="34"/>
      <c r="Q77" s="34"/>
      <c r="R77" s="34"/>
      <c r="S77" s="34"/>
      <c r="T77" s="34"/>
    </row>
    <row r="78" spans="1:21" s="31" customFormat="1" ht="15" customHeight="1">
      <c r="A78" s="31" t="s">
        <v>389</v>
      </c>
      <c r="B78" s="32"/>
      <c r="C78" s="34"/>
      <c r="D78" s="34"/>
      <c r="E78" s="34"/>
      <c r="F78" s="34"/>
      <c r="G78" s="34"/>
      <c r="H78" s="34"/>
      <c r="I78" s="34"/>
      <c r="J78" s="34"/>
      <c r="K78" s="34"/>
      <c r="L78" s="34"/>
      <c r="M78" s="34"/>
      <c r="N78" s="34"/>
      <c r="O78" s="34"/>
      <c r="P78" s="34"/>
      <c r="Q78" s="34"/>
      <c r="R78" s="34"/>
      <c r="S78" s="34"/>
      <c r="T78" s="34"/>
    </row>
    <row r="79" spans="1:21" s="31" customFormat="1" ht="15" customHeight="1">
      <c r="A79" s="31" t="s">
        <v>390</v>
      </c>
      <c r="B79" s="32"/>
      <c r="C79" s="34"/>
      <c r="D79" s="34"/>
      <c r="E79" s="34"/>
      <c r="F79" s="34"/>
      <c r="G79" s="34"/>
      <c r="H79" s="34"/>
      <c r="I79" s="34"/>
      <c r="J79" s="34"/>
      <c r="K79" s="34"/>
      <c r="L79" s="34"/>
      <c r="M79" s="34"/>
      <c r="N79" s="34"/>
      <c r="O79" s="34"/>
      <c r="P79" s="34"/>
      <c r="Q79" s="34"/>
      <c r="R79" s="34"/>
      <c r="S79" s="34"/>
      <c r="T79" s="34"/>
    </row>
    <row r="80" spans="1:21" s="31" customFormat="1" ht="15" customHeight="1">
      <c r="C80" s="1013" t="s">
        <v>391</v>
      </c>
      <c r="D80" s="1013"/>
      <c r="E80" s="1013"/>
      <c r="F80" s="1013"/>
      <c r="G80" s="1013"/>
      <c r="H80" s="1013"/>
      <c r="I80" s="1013"/>
      <c r="J80" s="1013"/>
      <c r="K80" s="1013"/>
      <c r="L80" s="1013"/>
      <c r="M80" s="1013"/>
      <c r="N80" s="1013"/>
      <c r="O80" s="1013"/>
      <c r="P80" s="1013"/>
      <c r="Q80" s="1013"/>
      <c r="R80" s="1013"/>
      <c r="S80" s="1013"/>
      <c r="T80" s="1013"/>
      <c r="U80" s="32"/>
    </row>
    <row r="81" spans="1:21" s="31" customFormat="1" ht="15" customHeight="1">
      <c r="C81" s="1013"/>
      <c r="D81" s="1013"/>
      <c r="E81" s="1013"/>
      <c r="F81" s="1013"/>
      <c r="G81" s="1013"/>
      <c r="H81" s="1013"/>
      <c r="I81" s="1013"/>
      <c r="J81" s="1013"/>
      <c r="K81" s="1013"/>
      <c r="L81" s="1013"/>
      <c r="M81" s="1013"/>
      <c r="N81" s="1013"/>
      <c r="O81" s="1013"/>
      <c r="P81" s="1013"/>
      <c r="Q81" s="1013"/>
      <c r="R81" s="1013"/>
      <c r="S81" s="1013"/>
      <c r="T81" s="1013"/>
      <c r="U81" s="32"/>
    </row>
    <row r="82" spans="1:21" s="31" customFormat="1" ht="15" customHeight="1">
      <c r="C82" s="1013"/>
      <c r="D82" s="1013"/>
      <c r="E82" s="1013"/>
      <c r="F82" s="1013"/>
      <c r="G82" s="1013"/>
      <c r="H82" s="1013"/>
      <c r="I82" s="1013"/>
      <c r="J82" s="1013"/>
      <c r="K82" s="1013"/>
      <c r="L82" s="1013"/>
      <c r="M82" s="1013"/>
      <c r="N82" s="1013"/>
      <c r="O82" s="1013"/>
      <c r="P82" s="1013"/>
      <c r="Q82" s="1013"/>
      <c r="R82" s="1013"/>
      <c r="S82" s="1013"/>
      <c r="T82" s="1013"/>
      <c r="U82" s="500"/>
    </row>
    <row r="83" spans="1:21" s="31" customFormat="1" ht="15" customHeight="1">
      <c r="C83" s="1013"/>
      <c r="D83" s="1013"/>
      <c r="E83" s="1013"/>
      <c r="F83" s="1013"/>
      <c r="G83" s="1013"/>
      <c r="H83" s="1013"/>
      <c r="I83" s="1013"/>
      <c r="J83" s="1013"/>
      <c r="K83" s="1013"/>
      <c r="L83" s="1013"/>
      <c r="M83" s="1013"/>
      <c r="N83" s="1013"/>
      <c r="O83" s="1013"/>
      <c r="P83" s="1013"/>
      <c r="Q83" s="1013"/>
      <c r="R83" s="1013"/>
      <c r="S83" s="1013"/>
      <c r="T83" s="1013"/>
      <c r="U83" s="500"/>
    </row>
    <row r="84" spans="1:21" s="31" customFormat="1" ht="15" customHeight="1">
      <c r="A84" s="31" t="s">
        <v>392</v>
      </c>
      <c r="B84" s="32"/>
      <c r="C84" s="32"/>
    </row>
    <row r="85" spans="1:21" s="31" customFormat="1" ht="15" customHeight="1">
      <c r="B85" s="162" t="s">
        <v>393</v>
      </c>
      <c r="C85" s="1093" t="s">
        <v>394</v>
      </c>
      <c r="D85" s="1093"/>
      <c r="E85" s="1093"/>
      <c r="F85" s="1093"/>
      <c r="G85" s="1093"/>
      <c r="H85" s="1093"/>
      <c r="I85" s="1093"/>
      <c r="J85" s="1093"/>
      <c r="K85" s="1093"/>
      <c r="L85" s="1093"/>
      <c r="M85" s="1093"/>
      <c r="N85" s="1093"/>
      <c r="O85" s="1093"/>
      <c r="P85" s="1093"/>
      <c r="Q85" s="1093"/>
      <c r="R85" s="1093"/>
      <c r="S85" s="1093"/>
      <c r="T85" s="1093"/>
    </row>
    <row r="86" spans="1:21" s="31" customFormat="1" ht="15" customHeight="1">
      <c r="B86" s="32"/>
      <c r="C86" s="1093"/>
      <c r="D86" s="1093"/>
      <c r="E86" s="1093"/>
      <c r="F86" s="1093"/>
      <c r="G86" s="1093"/>
      <c r="H86" s="1093"/>
      <c r="I86" s="1093"/>
      <c r="J86" s="1093"/>
      <c r="K86" s="1093"/>
      <c r="L86" s="1093"/>
      <c r="M86" s="1093"/>
      <c r="N86" s="1093"/>
      <c r="O86" s="1093"/>
      <c r="P86" s="1093"/>
      <c r="Q86" s="1093"/>
      <c r="R86" s="1093"/>
      <c r="S86" s="1093"/>
      <c r="T86" s="1093"/>
    </row>
    <row r="87" spans="1:21" s="31" customFormat="1" ht="15" customHeight="1">
      <c r="B87" s="162" t="s">
        <v>395</v>
      </c>
      <c r="C87" s="1093" t="s">
        <v>396</v>
      </c>
      <c r="D87" s="1093"/>
      <c r="E87" s="1093"/>
      <c r="F87" s="1093"/>
      <c r="G87" s="1093"/>
      <c r="H87" s="1093"/>
      <c r="I87" s="1093"/>
      <c r="J87" s="1093"/>
      <c r="K87" s="1093"/>
      <c r="L87" s="1093"/>
      <c r="M87" s="1093"/>
      <c r="N87" s="1093"/>
      <c r="O87" s="1093"/>
      <c r="P87" s="1093"/>
      <c r="Q87" s="1093"/>
      <c r="R87" s="1093"/>
      <c r="S87" s="1093"/>
      <c r="T87" s="1093"/>
    </row>
    <row r="88" spans="1:21" s="31" customFormat="1" ht="15" customHeight="1">
      <c r="B88" s="32"/>
      <c r="C88" s="1093"/>
      <c r="D88" s="1093"/>
      <c r="E88" s="1093"/>
      <c r="F88" s="1093"/>
      <c r="G88" s="1093"/>
      <c r="H88" s="1093"/>
      <c r="I88" s="1093"/>
      <c r="J88" s="1093"/>
      <c r="K88" s="1093"/>
      <c r="L88" s="1093"/>
      <c r="M88" s="1093"/>
      <c r="N88" s="1093"/>
      <c r="O88" s="1093"/>
      <c r="P88" s="1093"/>
      <c r="Q88" s="1093"/>
      <c r="R88" s="1093"/>
      <c r="S88" s="1093"/>
      <c r="T88" s="1093"/>
    </row>
    <row r="89" spans="1:21" s="31" customFormat="1" ht="15" customHeight="1">
      <c r="B89" s="162" t="s">
        <v>397</v>
      </c>
      <c r="C89" s="1093" t="s">
        <v>398</v>
      </c>
      <c r="D89" s="1093"/>
      <c r="E89" s="1093"/>
      <c r="F89" s="1093"/>
      <c r="G89" s="1093"/>
      <c r="H89" s="1093"/>
      <c r="I89" s="1093"/>
      <c r="J89" s="1093"/>
      <c r="K89" s="1093"/>
      <c r="L89" s="1093"/>
      <c r="M89" s="1093"/>
      <c r="N89" s="1093"/>
      <c r="O89" s="1093"/>
      <c r="P89" s="1093"/>
      <c r="Q89" s="1093"/>
      <c r="R89" s="1093"/>
      <c r="S89" s="1093"/>
      <c r="T89" s="1093"/>
    </row>
    <row r="90" spans="1:21" s="31" customFormat="1" ht="15" customHeight="1">
      <c r="B90" s="32"/>
      <c r="C90" s="1093"/>
      <c r="D90" s="1093"/>
      <c r="E90" s="1093"/>
      <c r="F90" s="1093"/>
      <c r="G90" s="1093"/>
      <c r="H90" s="1093"/>
      <c r="I90" s="1093"/>
      <c r="J90" s="1093"/>
      <c r="K90" s="1093"/>
      <c r="L90" s="1093"/>
      <c r="M90" s="1093"/>
      <c r="N90" s="1093"/>
      <c r="O90" s="1093"/>
      <c r="P90" s="1093"/>
      <c r="Q90" s="1093"/>
      <c r="R90" s="1093"/>
      <c r="S90" s="1093"/>
      <c r="T90" s="1093"/>
    </row>
    <row r="91" spans="1:21" ht="15" customHeight="1">
      <c r="B91" s="162" t="s">
        <v>399</v>
      </c>
      <c r="C91" s="1093" t="s">
        <v>400</v>
      </c>
      <c r="D91" s="1093"/>
      <c r="E91" s="1093"/>
      <c r="F91" s="1093"/>
      <c r="G91" s="1093"/>
      <c r="H91" s="1093"/>
      <c r="I91" s="1093"/>
      <c r="J91" s="1093"/>
      <c r="K91" s="1093"/>
      <c r="L91" s="1093"/>
      <c r="M91" s="1093"/>
      <c r="N91" s="1093"/>
      <c r="O91" s="1093"/>
      <c r="P91" s="1093"/>
      <c r="Q91" s="1093"/>
      <c r="R91" s="1093"/>
      <c r="S91" s="1093"/>
      <c r="T91" s="1093"/>
    </row>
    <row r="92" spans="1:21" ht="15" customHeight="1">
      <c r="B92" s="32"/>
      <c r="C92" s="1093"/>
      <c r="D92" s="1093"/>
      <c r="E92" s="1093"/>
      <c r="F92" s="1093"/>
      <c r="G92" s="1093"/>
      <c r="H92" s="1093"/>
      <c r="I92" s="1093"/>
      <c r="J92" s="1093"/>
      <c r="K92" s="1093"/>
      <c r="L92" s="1093"/>
      <c r="M92" s="1093"/>
      <c r="N92" s="1093"/>
      <c r="O92" s="1093"/>
      <c r="P92" s="1093"/>
      <c r="Q92" s="1093"/>
      <c r="R92" s="1093"/>
      <c r="S92" s="1093"/>
      <c r="T92" s="1093"/>
    </row>
    <row r="93" spans="1:21" ht="15" customHeight="1">
      <c r="B93" s="162" t="s">
        <v>401</v>
      </c>
      <c r="C93" s="1093" t="s">
        <v>402</v>
      </c>
      <c r="D93" s="1093"/>
      <c r="E93" s="1093"/>
      <c r="F93" s="1093"/>
      <c r="G93" s="1093"/>
      <c r="H93" s="1093"/>
      <c r="I93" s="1093"/>
      <c r="J93" s="1093"/>
      <c r="K93" s="1093"/>
      <c r="L93" s="1093"/>
      <c r="M93" s="1093"/>
      <c r="N93" s="1093"/>
      <c r="O93" s="1093"/>
      <c r="P93" s="1093"/>
      <c r="Q93" s="1093"/>
      <c r="R93" s="1093"/>
      <c r="S93" s="1093"/>
      <c r="T93" s="1093"/>
    </row>
    <row r="94" spans="1:21" ht="15" customHeight="1">
      <c r="B94" s="32"/>
      <c r="C94" s="1093"/>
      <c r="D94" s="1093"/>
      <c r="E94" s="1093"/>
      <c r="F94" s="1093"/>
      <c r="G94" s="1093"/>
      <c r="H94" s="1093"/>
      <c r="I94" s="1093"/>
      <c r="J94" s="1093"/>
      <c r="K94" s="1093"/>
      <c r="L94" s="1093"/>
      <c r="M94" s="1093"/>
      <c r="N94" s="1093"/>
      <c r="O94" s="1093"/>
      <c r="P94" s="1093"/>
      <c r="Q94" s="1093"/>
      <c r="R94" s="1093"/>
      <c r="S94" s="1093"/>
      <c r="T94" s="1093"/>
    </row>
    <row r="95" spans="1:21" ht="15" customHeight="1">
      <c r="B95" s="162" t="s">
        <v>403</v>
      </c>
      <c r="C95" s="1093" t="s">
        <v>404</v>
      </c>
      <c r="D95" s="1093"/>
      <c r="E95" s="1093"/>
      <c r="F95" s="1093"/>
      <c r="G95" s="1093"/>
      <c r="H95" s="1093"/>
      <c r="I95" s="1093"/>
      <c r="J95" s="1093"/>
      <c r="K95" s="1093"/>
      <c r="L95" s="1093"/>
      <c r="M95" s="1093"/>
      <c r="N95" s="1093"/>
      <c r="O95" s="1093"/>
      <c r="P95" s="1093"/>
      <c r="Q95" s="1093"/>
      <c r="R95" s="1093"/>
      <c r="S95" s="1093"/>
      <c r="T95" s="1093"/>
    </row>
    <row r="96" spans="1:21" ht="15" customHeight="1">
      <c r="B96" s="32"/>
      <c r="C96" s="1093"/>
      <c r="D96" s="1093"/>
      <c r="E96" s="1093"/>
      <c r="F96" s="1093"/>
      <c r="G96" s="1093"/>
      <c r="H96" s="1093"/>
      <c r="I96" s="1093"/>
      <c r="J96" s="1093"/>
      <c r="K96" s="1093"/>
      <c r="L96" s="1093"/>
      <c r="M96" s="1093"/>
      <c r="N96" s="1093"/>
      <c r="O96" s="1093"/>
      <c r="P96" s="1093"/>
      <c r="Q96" s="1093"/>
      <c r="R96" s="1093"/>
      <c r="S96" s="1093"/>
      <c r="T96" s="1093"/>
    </row>
    <row r="97" spans="1:21" s="31" customFormat="1" ht="15" customHeight="1">
      <c r="A97" s="31" t="s">
        <v>405</v>
      </c>
      <c r="B97" s="32"/>
      <c r="C97" s="34"/>
      <c r="D97" s="34"/>
      <c r="E97" s="34"/>
      <c r="F97" s="34"/>
      <c r="G97" s="34"/>
      <c r="H97" s="34"/>
      <c r="I97" s="34"/>
      <c r="J97" s="34"/>
      <c r="K97" s="34"/>
      <c r="L97" s="34"/>
      <c r="M97" s="34"/>
      <c r="N97" s="34"/>
      <c r="O97" s="34"/>
      <c r="P97" s="34"/>
      <c r="Q97" s="34"/>
      <c r="R97" s="34"/>
      <c r="S97" s="34"/>
      <c r="T97" s="34"/>
    </row>
    <row r="98" spans="1:21" s="31" customFormat="1" ht="15" customHeight="1">
      <c r="A98" s="1134" t="s">
        <v>406</v>
      </c>
      <c r="B98" s="1134"/>
      <c r="C98" s="1134"/>
      <c r="D98" s="1134"/>
      <c r="E98" s="1134"/>
      <c r="F98" s="1135" t="s">
        <v>362</v>
      </c>
      <c r="G98" s="1135"/>
      <c r="H98" s="1135"/>
      <c r="I98" s="1135"/>
      <c r="J98" s="1135"/>
      <c r="K98" s="1135"/>
      <c r="L98" s="1135"/>
      <c r="M98" s="1135"/>
      <c r="N98" s="1135"/>
      <c r="O98" s="1135"/>
      <c r="P98" s="1135"/>
      <c r="Q98" s="1135"/>
      <c r="R98" s="1135"/>
      <c r="S98" s="1135"/>
      <c r="T98" s="1135"/>
    </row>
    <row r="99" spans="1:21" s="31" customFormat="1" ht="15" customHeight="1">
      <c r="A99" s="1071" t="s">
        <v>407</v>
      </c>
      <c r="B99" s="1071"/>
      <c r="C99" s="1071"/>
      <c r="D99" s="1071"/>
      <c r="E99" s="1071"/>
      <c r="F99" s="1115" t="s">
        <v>408</v>
      </c>
      <c r="G99" s="1115"/>
      <c r="H99" s="1115"/>
      <c r="I99" s="1115"/>
      <c r="J99" s="1115"/>
      <c r="K99" s="1115"/>
      <c r="L99" s="1115"/>
      <c r="M99" s="1115"/>
      <c r="N99" s="1115"/>
      <c r="O99" s="1115"/>
      <c r="P99" s="1115"/>
      <c r="Q99" s="1115"/>
      <c r="R99" s="1115"/>
      <c r="S99" s="1115"/>
      <c r="T99" s="1115"/>
      <c r="U99" s="196"/>
    </row>
    <row r="100" spans="1:21" s="31" customFormat="1" ht="15" customHeight="1">
      <c r="A100" s="1071"/>
      <c r="B100" s="1071"/>
      <c r="C100" s="1071"/>
      <c r="D100" s="1071"/>
      <c r="E100" s="1071"/>
      <c r="F100" s="1115"/>
      <c r="G100" s="1115"/>
      <c r="H100" s="1115"/>
      <c r="I100" s="1115"/>
      <c r="J100" s="1115"/>
      <c r="K100" s="1115"/>
      <c r="L100" s="1115"/>
      <c r="M100" s="1115"/>
      <c r="N100" s="1115"/>
      <c r="O100" s="1115"/>
      <c r="P100" s="1115"/>
      <c r="Q100" s="1115"/>
      <c r="R100" s="1115"/>
      <c r="S100" s="1115"/>
      <c r="T100" s="1115"/>
    </row>
    <row r="101" spans="1:21" s="31" customFormat="1" ht="15" customHeight="1">
      <c r="A101" s="1071"/>
      <c r="B101" s="1071"/>
      <c r="C101" s="1071"/>
      <c r="D101" s="1071"/>
      <c r="E101" s="1071"/>
      <c r="F101" s="1115"/>
      <c r="G101" s="1115"/>
      <c r="H101" s="1115"/>
      <c r="I101" s="1115"/>
      <c r="J101" s="1115"/>
      <c r="K101" s="1115"/>
      <c r="L101" s="1115"/>
      <c r="M101" s="1115"/>
      <c r="N101" s="1115"/>
      <c r="O101" s="1115"/>
      <c r="P101" s="1115"/>
      <c r="Q101" s="1115"/>
      <c r="R101" s="1115"/>
      <c r="S101" s="1115"/>
      <c r="T101" s="1115"/>
    </row>
    <row r="102" spans="1:21" s="31" customFormat="1" ht="15" customHeight="1">
      <c r="A102" s="1071"/>
      <c r="B102" s="1071"/>
      <c r="C102" s="1071"/>
      <c r="D102" s="1071"/>
      <c r="E102" s="1071"/>
      <c r="F102" s="1115"/>
      <c r="G102" s="1115"/>
      <c r="H102" s="1115"/>
      <c r="I102" s="1115"/>
      <c r="J102" s="1115"/>
      <c r="K102" s="1115"/>
      <c r="L102" s="1115"/>
      <c r="M102" s="1115"/>
      <c r="N102" s="1115"/>
      <c r="O102" s="1115"/>
      <c r="P102" s="1115"/>
      <c r="Q102" s="1115"/>
      <c r="R102" s="1115"/>
      <c r="S102" s="1115"/>
      <c r="T102" s="1115"/>
    </row>
    <row r="103" spans="1:21" s="31" customFormat="1" ht="15" customHeight="1">
      <c r="A103" s="1071"/>
      <c r="B103" s="1071"/>
      <c r="C103" s="1071"/>
      <c r="D103" s="1071"/>
      <c r="E103" s="1071"/>
      <c r="F103" s="1115"/>
      <c r="G103" s="1115"/>
      <c r="H103" s="1115"/>
      <c r="I103" s="1115"/>
      <c r="J103" s="1115"/>
      <c r="K103" s="1115"/>
      <c r="L103" s="1115"/>
      <c r="M103" s="1115"/>
      <c r="N103" s="1115"/>
      <c r="O103" s="1115"/>
      <c r="P103" s="1115"/>
      <c r="Q103" s="1115"/>
      <c r="R103" s="1115"/>
      <c r="S103" s="1115"/>
      <c r="T103" s="1115"/>
    </row>
    <row r="104" spans="1:21" s="31" customFormat="1" ht="45" customHeight="1">
      <c r="A104" s="1128" t="s">
        <v>409</v>
      </c>
      <c r="B104" s="1129"/>
      <c r="C104" s="1129"/>
      <c r="D104" s="1129"/>
      <c r="E104" s="1130"/>
      <c r="F104" s="1131" t="s">
        <v>410</v>
      </c>
      <c r="G104" s="1132"/>
      <c r="H104" s="1132"/>
      <c r="I104" s="1132"/>
      <c r="J104" s="1132"/>
      <c r="K104" s="1132"/>
      <c r="L104" s="1132"/>
      <c r="M104" s="1132"/>
      <c r="N104" s="1132"/>
      <c r="O104" s="1132"/>
      <c r="P104" s="1132"/>
      <c r="Q104" s="1132"/>
      <c r="R104" s="1132"/>
      <c r="S104" s="1132"/>
      <c r="T104" s="1133"/>
      <c r="U104" s="196"/>
    </row>
    <row r="105" spans="1:21" s="31" customFormat="1" ht="15" customHeight="1">
      <c r="A105" s="1071" t="s">
        <v>411</v>
      </c>
      <c r="B105" s="1071"/>
      <c r="C105" s="1071"/>
      <c r="D105" s="1071"/>
      <c r="E105" s="1071"/>
      <c r="F105" s="1116" t="s">
        <v>412</v>
      </c>
      <c r="G105" s="1117"/>
      <c r="H105" s="1117"/>
      <c r="I105" s="1117"/>
      <c r="J105" s="1117"/>
      <c r="K105" s="1117"/>
      <c r="L105" s="1117"/>
      <c r="M105" s="1118" t="s">
        <v>413</v>
      </c>
      <c r="N105" s="1118"/>
      <c r="O105" s="1118"/>
      <c r="P105" s="1118"/>
      <c r="Q105" s="1118"/>
      <c r="R105" s="1118"/>
      <c r="S105" s="1118"/>
      <c r="T105" s="1119"/>
    </row>
    <row r="106" spans="1:21" s="31" customFormat="1" ht="15" customHeight="1">
      <c r="A106" s="1071"/>
      <c r="B106" s="1071"/>
      <c r="C106" s="1071"/>
      <c r="D106" s="1071"/>
      <c r="E106" s="1071"/>
      <c r="F106" s="1120" t="s">
        <v>414</v>
      </c>
      <c r="G106" s="1121"/>
      <c r="H106" s="1121"/>
      <c r="I106" s="1121"/>
      <c r="J106" s="1121"/>
      <c r="K106" s="1121"/>
      <c r="L106" s="1121"/>
      <c r="M106" s="1122" t="s">
        <v>415</v>
      </c>
      <c r="N106" s="1122"/>
      <c r="O106" s="1122"/>
      <c r="P106" s="1122"/>
      <c r="Q106" s="1122"/>
      <c r="R106" s="1122"/>
      <c r="S106" s="1122"/>
      <c r="T106" s="1123"/>
    </row>
    <row r="107" spans="1:21" s="31" customFormat="1" ht="15" customHeight="1">
      <c r="A107" s="1071"/>
      <c r="B107" s="1071"/>
      <c r="C107" s="1071"/>
      <c r="D107" s="1071"/>
      <c r="E107" s="1071"/>
      <c r="F107" s="1124" t="s">
        <v>416</v>
      </c>
      <c r="G107" s="1125"/>
      <c r="H107" s="1125"/>
      <c r="I107" s="1125"/>
      <c r="J107" s="1125"/>
      <c r="K107" s="1125"/>
      <c r="L107" s="1125"/>
      <c r="M107" s="1126" t="s">
        <v>417</v>
      </c>
      <c r="N107" s="1126"/>
      <c r="O107" s="1126"/>
      <c r="P107" s="1126"/>
      <c r="Q107" s="1126"/>
      <c r="R107" s="1126"/>
      <c r="S107" s="1126"/>
      <c r="T107" s="1127"/>
    </row>
    <row r="108" spans="1:21" s="31" customFormat="1" ht="15" customHeight="1"/>
    <row r="109" spans="1:21" s="31" customFormat="1" ht="15" customHeight="1">
      <c r="A109" s="31" t="s">
        <v>418</v>
      </c>
      <c r="B109" s="32"/>
      <c r="C109" s="34"/>
      <c r="D109" s="34"/>
      <c r="E109" s="34"/>
      <c r="F109" s="34"/>
      <c r="G109" s="34"/>
      <c r="H109" s="34"/>
      <c r="I109" s="34"/>
      <c r="J109" s="34"/>
      <c r="K109" s="34"/>
      <c r="L109" s="34"/>
      <c r="M109" s="34"/>
      <c r="N109" s="34"/>
      <c r="O109" s="34"/>
      <c r="P109" s="34"/>
      <c r="Q109" s="34"/>
      <c r="R109" s="34"/>
      <c r="S109" s="34"/>
      <c r="T109" s="34"/>
    </row>
    <row r="110" spans="1:21" s="31" customFormat="1" ht="15" customHeight="1">
      <c r="A110" s="1097"/>
      <c r="B110" s="1072" t="s">
        <v>419</v>
      </c>
      <c r="C110" s="1072"/>
      <c r="D110" s="1072"/>
      <c r="E110" s="1073"/>
      <c r="F110" s="1078" t="s">
        <v>420</v>
      </c>
      <c r="G110" s="1078"/>
      <c r="H110" s="1078"/>
      <c r="I110" s="1078"/>
      <c r="J110" s="1078"/>
      <c r="K110" s="1109" t="str">
        <f>""&amp;【マスター】!C21&amp;"  "&amp;【マスター】!I21&amp;""</f>
        <v xml:space="preserve">小久保　幾生  </v>
      </c>
      <c r="L110" s="1109"/>
      <c r="M110" s="1109"/>
      <c r="N110" s="1109"/>
      <c r="O110" s="1109"/>
      <c r="P110" s="1109"/>
      <c r="Q110" s="1109"/>
      <c r="R110" s="1109"/>
      <c r="S110" s="1109"/>
      <c r="T110" s="1109"/>
    </row>
    <row r="111" spans="1:21" s="31" customFormat="1" ht="15" customHeight="1">
      <c r="A111" s="1098"/>
      <c r="B111" s="1074"/>
      <c r="C111" s="1074"/>
      <c r="D111" s="1074"/>
      <c r="E111" s="1075"/>
      <c r="F111" s="1082" t="s">
        <v>421</v>
      </c>
      <c r="G111" s="1082"/>
      <c r="H111" s="1082"/>
      <c r="I111" s="1082"/>
      <c r="J111" s="1082"/>
      <c r="K111" s="1105" t="str">
        <f>DBCS(【マスター】!I13&amp;【マスター】!J13&amp;【マスター】!K13)</f>
        <v>９：３０～１７：３０</v>
      </c>
      <c r="L111" s="1105"/>
      <c r="M111" s="1105"/>
      <c r="N111" s="1105"/>
      <c r="O111" s="1105"/>
      <c r="P111" s="1105"/>
      <c r="Q111" s="1105"/>
      <c r="R111" s="1105"/>
      <c r="S111" s="1105"/>
      <c r="T111" s="1105"/>
    </row>
    <row r="112" spans="1:21" s="31" customFormat="1" ht="15" customHeight="1">
      <c r="A112" s="1098"/>
      <c r="B112" s="1074"/>
      <c r="C112" s="1074"/>
      <c r="D112" s="1074"/>
      <c r="E112" s="1075"/>
      <c r="F112" s="1110" t="s">
        <v>422</v>
      </c>
      <c r="G112" s="1111"/>
      <c r="H112" s="1111"/>
      <c r="I112" s="1103" t="s">
        <v>281</v>
      </c>
      <c r="J112" s="1104"/>
      <c r="K112" s="1105" t="str">
        <f>DBCS(【マスター】!C10)</f>
        <v>０５３２－３９－７８５５</v>
      </c>
      <c r="L112" s="1105"/>
      <c r="M112" s="1105"/>
      <c r="N112" s="1105"/>
      <c r="O112" s="1105"/>
      <c r="P112" s="1105"/>
      <c r="Q112" s="1105"/>
      <c r="R112" s="1105"/>
      <c r="S112" s="1105"/>
      <c r="T112" s="1105"/>
    </row>
    <row r="113" spans="1:21" s="31" customFormat="1" ht="15" customHeight="1">
      <c r="A113" s="1098"/>
      <c r="B113" s="1074"/>
      <c r="C113" s="1074"/>
      <c r="D113" s="1074"/>
      <c r="E113" s="1075"/>
      <c r="F113" s="1112"/>
      <c r="G113" s="1092"/>
      <c r="H113" s="1092"/>
      <c r="I113" s="1103" t="s">
        <v>423</v>
      </c>
      <c r="J113" s="1104"/>
      <c r="K113" s="1105" t="s">
        <v>424</v>
      </c>
      <c r="L113" s="1105"/>
      <c r="M113" s="1105"/>
      <c r="N113" s="1105"/>
      <c r="O113" s="1105"/>
      <c r="P113" s="1105"/>
      <c r="Q113" s="1105"/>
      <c r="R113" s="1105"/>
      <c r="S113" s="1105"/>
      <c r="T113" s="1105"/>
    </row>
    <row r="114" spans="1:21" s="31" customFormat="1" ht="15" customHeight="1">
      <c r="A114" s="1099"/>
      <c r="B114" s="1076"/>
      <c r="C114" s="1076"/>
      <c r="D114" s="1076"/>
      <c r="E114" s="1077"/>
      <c r="F114" s="1113"/>
      <c r="G114" s="1114"/>
      <c r="H114" s="1114"/>
      <c r="I114" s="1106" t="s">
        <v>425</v>
      </c>
      <c r="J114" s="1107"/>
      <c r="K114" s="1108" t="str">
        <f>"（"&amp;【マスター】!C82&amp;"に設置）"</f>
        <v>（玄関に設置）</v>
      </c>
      <c r="L114" s="1108"/>
      <c r="M114" s="1108"/>
      <c r="N114" s="1108"/>
      <c r="O114" s="1108"/>
      <c r="P114" s="1108"/>
      <c r="Q114" s="1108"/>
      <c r="R114" s="1108"/>
      <c r="S114" s="1108"/>
      <c r="T114" s="1108"/>
    </row>
    <row r="115" spans="1:21" s="31" customFormat="1" ht="15" customHeight="1">
      <c r="A115" s="1097" t="s">
        <v>426</v>
      </c>
      <c r="B115" s="1072" t="str">
        <f>IF(【マスター】!A86="","",【マスター】!A86)</f>
        <v>東三河広域連合</v>
      </c>
      <c r="C115" s="1072"/>
      <c r="D115" s="1072"/>
      <c r="E115" s="1073"/>
      <c r="F115" s="1100" t="s">
        <v>427</v>
      </c>
      <c r="G115" s="1101"/>
      <c r="H115" s="1101"/>
      <c r="I115" s="1101"/>
      <c r="J115" s="1102"/>
      <c r="K115" s="1079" t="str">
        <f>DBCS(【マスター】!D86)</f>
        <v>愛知県豊橋市八町通２丁目１６番地</v>
      </c>
      <c r="L115" s="1080"/>
      <c r="M115" s="1080"/>
      <c r="N115" s="1080"/>
      <c r="O115" s="1080"/>
      <c r="P115" s="1080"/>
      <c r="Q115" s="1080"/>
      <c r="R115" s="1080"/>
      <c r="S115" s="1080"/>
      <c r="T115" s="1081"/>
      <c r="U115" s="196"/>
    </row>
    <row r="116" spans="1:21" s="31" customFormat="1" ht="15" customHeight="1">
      <c r="A116" s="1098"/>
      <c r="B116" s="1074"/>
      <c r="C116" s="1074"/>
      <c r="D116" s="1074"/>
      <c r="E116" s="1075"/>
      <c r="F116" s="1082" t="s">
        <v>428</v>
      </c>
      <c r="G116" s="1082"/>
      <c r="H116" s="1082"/>
      <c r="I116" s="1082"/>
      <c r="J116" s="1082"/>
      <c r="K116" s="1083" t="str">
        <f>DBCS(【マスター】!D87)</f>
        <v>０５３２－２６－８４７１</v>
      </c>
      <c r="L116" s="1084"/>
      <c r="M116" s="1084"/>
      <c r="N116" s="1084"/>
      <c r="O116" s="1084"/>
      <c r="P116" s="1084"/>
      <c r="Q116" s="1084"/>
      <c r="R116" s="1084"/>
      <c r="S116" s="1084"/>
      <c r="T116" s="1085"/>
    </row>
    <row r="117" spans="1:21" s="31" customFormat="1" ht="15" customHeight="1">
      <c r="A117" s="1099"/>
      <c r="B117" s="1076" t="s">
        <v>429</v>
      </c>
      <c r="C117" s="1076"/>
      <c r="D117" s="1076"/>
      <c r="E117" s="1077"/>
      <c r="F117" s="1086" t="s">
        <v>421</v>
      </c>
      <c r="G117" s="1086"/>
      <c r="H117" s="1086"/>
      <c r="I117" s="1086"/>
      <c r="J117" s="1086"/>
      <c r="K117" s="1087" t="str">
        <f>DBCS(IF(B115=0,"",【マスター】!J87&amp;"～"&amp;【マスター】!L87))</f>
        <v>８：３０～１７：１５</v>
      </c>
      <c r="L117" s="1088"/>
      <c r="M117" s="1088"/>
      <c r="N117" s="1088"/>
      <c r="O117" s="1088"/>
      <c r="P117" s="1088"/>
      <c r="Q117" s="1088"/>
      <c r="R117" s="1088"/>
      <c r="S117" s="1088"/>
      <c r="T117" s="1089"/>
    </row>
    <row r="118" spans="1:21" s="31" customFormat="1" ht="15" customHeight="1">
      <c r="A118" s="1097" t="s">
        <v>426</v>
      </c>
      <c r="B118" s="1072" t="str">
        <f>IF(【マスター】!A88="","",【マスター】!A88)</f>
        <v/>
      </c>
      <c r="C118" s="1072"/>
      <c r="D118" s="1072"/>
      <c r="E118" s="1073"/>
      <c r="F118" s="1100" t="s">
        <v>427</v>
      </c>
      <c r="G118" s="1101"/>
      <c r="H118" s="1101"/>
      <c r="I118" s="1101"/>
      <c r="J118" s="1102"/>
      <c r="K118" s="1079" t="str">
        <f>DBCS(【マスター】!D88)</f>
        <v/>
      </c>
      <c r="L118" s="1080"/>
      <c r="M118" s="1080"/>
      <c r="N118" s="1080"/>
      <c r="O118" s="1080"/>
      <c r="P118" s="1080"/>
      <c r="Q118" s="1080"/>
      <c r="R118" s="1080"/>
      <c r="S118" s="1080"/>
      <c r="T118" s="1081"/>
    </row>
    <row r="119" spans="1:21" s="31" customFormat="1" ht="15" customHeight="1">
      <c r="A119" s="1098"/>
      <c r="B119" s="1074"/>
      <c r="C119" s="1074"/>
      <c r="D119" s="1074"/>
      <c r="E119" s="1075"/>
      <c r="F119" s="1082" t="s">
        <v>428</v>
      </c>
      <c r="G119" s="1082"/>
      <c r="H119" s="1082"/>
      <c r="I119" s="1082"/>
      <c r="J119" s="1082"/>
      <c r="K119" s="1083" t="str">
        <f>DBCS(【マスター】!D89)</f>
        <v/>
      </c>
      <c r="L119" s="1084"/>
      <c r="M119" s="1084"/>
      <c r="N119" s="1084"/>
      <c r="O119" s="1084"/>
      <c r="P119" s="1084"/>
      <c r="Q119" s="1084"/>
      <c r="R119" s="1084"/>
      <c r="S119" s="1084"/>
      <c r="T119" s="1085"/>
    </row>
    <row r="120" spans="1:21" s="31" customFormat="1" ht="15" customHeight="1">
      <c r="A120" s="1099"/>
      <c r="B120" s="1076" t="s">
        <v>429</v>
      </c>
      <c r="C120" s="1076"/>
      <c r="D120" s="1076"/>
      <c r="E120" s="1077"/>
      <c r="F120" s="1086" t="s">
        <v>421</v>
      </c>
      <c r="G120" s="1086"/>
      <c r="H120" s="1086"/>
      <c r="I120" s="1086"/>
      <c r="J120" s="1086"/>
      <c r="K120" s="1087" t="str">
        <f>DBCS(IF(B118=0,"",【マスター】!J89&amp;"～"&amp;【マスター】!L89))</f>
        <v>～</v>
      </c>
      <c r="L120" s="1088"/>
      <c r="M120" s="1088"/>
      <c r="N120" s="1088"/>
      <c r="O120" s="1088"/>
      <c r="P120" s="1088"/>
      <c r="Q120" s="1088"/>
      <c r="R120" s="1088"/>
      <c r="S120" s="1088"/>
      <c r="T120" s="1089"/>
    </row>
    <row r="121" spans="1:21" s="31" customFormat="1" ht="15" customHeight="1">
      <c r="A121" s="1097"/>
      <c r="B121" s="1072" t="s">
        <v>430</v>
      </c>
      <c r="C121" s="1072"/>
      <c r="D121" s="1072"/>
      <c r="E121" s="1073"/>
      <c r="F121" s="1078" t="s">
        <v>427</v>
      </c>
      <c r="G121" s="1078"/>
      <c r="H121" s="1078"/>
      <c r="I121" s="1078"/>
      <c r="J121" s="1078"/>
      <c r="K121" s="1079" t="str">
        <f>DBCS(【マスター】!D90)</f>
        <v>愛知県名古屋市東区泉一丁目６番５号</v>
      </c>
      <c r="L121" s="1080"/>
      <c r="M121" s="1080"/>
      <c r="N121" s="1080"/>
      <c r="O121" s="1080"/>
      <c r="P121" s="1080"/>
      <c r="Q121" s="1080"/>
      <c r="R121" s="1080"/>
      <c r="S121" s="1080"/>
      <c r="T121" s="1081"/>
    </row>
    <row r="122" spans="1:21" s="31" customFormat="1" ht="15" customHeight="1">
      <c r="A122" s="1098"/>
      <c r="B122" s="1074"/>
      <c r="C122" s="1074"/>
      <c r="D122" s="1074"/>
      <c r="E122" s="1075"/>
      <c r="F122" s="1082" t="s">
        <v>428</v>
      </c>
      <c r="G122" s="1082"/>
      <c r="H122" s="1082"/>
      <c r="I122" s="1082"/>
      <c r="J122" s="1082"/>
      <c r="K122" s="1083" t="str">
        <f>DBCS(【マスター】!D91)</f>
        <v>０５２－９７１－４１６５</v>
      </c>
      <c r="L122" s="1084"/>
      <c r="M122" s="1084"/>
      <c r="N122" s="1084"/>
      <c r="O122" s="1084"/>
      <c r="P122" s="1084"/>
      <c r="Q122" s="1084"/>
      <c r="R122" s="1084"/>
      <c r="S122" s="1084"/>
      <c r="T122" s="1085"/>
    </row>
    <row r="123" spans="1:21" s="31" customFormat="1" ht="15" customHeight="1">
      <c r="A123" s="1099"/>
      <c r="B123" s="1076"/>
      <c r="C123" s="1076"/>
      <c r="D123" s="1076"/>
      <c r="E123" s="1077"/>
      <c r="F123" s="1086" t="s">
        <v>421</v>
      </c>
      <c r="G123" s="1086"/>
      <c r="H123" s="1086"/>
      <c r="I123" s="1086"/>
      <c r="J123" s="1086"/>
      <c r="K123" s="1087" t="str">
        <f>DBCS(【マスター】!J91&amp;【マスター】!K91&amp;【マスター】!L91)</f>
        <v>９：００～１７：００</v>
      </c>
      <c r="L123" s="1088"/>
      <c r="M123" s="1088"/>
      <c r="N123" s="1088"/>
      <c r="O123" s="1088"/>
      <c r="P123" s="1088"/>
      <c r="Q123" s="1088"/>
      <c r="R123" s="1088"/>
      <c r="S123" s="1088"/>
      <c r="T123" s="1089"/>
    </row>
    <row r="124" spans="1:21" s="31" customFormat="1" ht="15" customHeight="1">
      <c r="A124" s="501"/>
      <c r="B124" s="521"/>
      <c r="C124" s="521"/>
      <c r="D124" s="521"/>
      <c r="E124" s="521"/>
      <c r="F124" s="481"/>
      <c r="G124" s="481"/>
      <c r="H124" s="481"/>
      <c r="I124" s="481"/>
      <c r="J124" s="481"/>
      <c r="K124" s="49"/>
      <c r="L124" s="49"/>
      <c r="M124" s="49"/>
      <c r="N124" s="49"/>
      <c r="O124" s="49"/>
      <c r="P124" s="49"/>
      <c r="Q124" s="49"/>
      <c r="R124" s="49"/>
      <c r="S124" s="49"/>
      <c r="T124" s="49"/>
    </row>
    <row r="125" spans="1:21" s="31" customFormat="1" ht="15" customHeight="1">
      <c r="A125" s="31" t="s">
        <v>431</v>
      </c>
      <c r="B125" s="32"/>
      <c r="C125" s="32"/>
    </row>
    <row r="126" spans="1:21" s="31" customFormat="1" ht="15" customHeight="1">
      <c r="A126" s="1091" t="s">
        <v>432</v>
      </c>
      <c r="B126" s="1091"/>
      <c r="C126" s="1091"/>
      <c r="D126" s="1091"/>
      <c r="E126" s="1091"/>
      <c r="F126" s="1091"/>
      <c r="G126" s="1091"/>
      <c r="H126" s="1091"/>
      <c r="I126" s="1091"/>
      <c r="J126" s="1091"/>
      <c r="K126" s="1091"/>
      <c r="L126" s="1091"/>
      <c r="M126" s="1091"/>
      <c r="N126" s="1091"/>
      <c r="O126" s="1091"/>
      <c r="P126" s="1091"/>
      <c r="Q126" s="1091"/>
      <c r="R126" s="1091"/>
      <c r="S126" s="1091"/>
      <c r="T126" s="1091"/>
    </row>
    <row r="127" spans="1:21" s="31" customFormat="1" ht="15" customHeight="1">
      <c r="A127" s="1091"/>
      <c r="B127" s="1091"/>
      <c r="C127" s="1091"/>
      <c r="D127" s="1091"/>
      <c r="E127" s="1091"/>
      <c r="F127" s="1091"/>
      <c r="G127" s="1091"/>
      <c r="H127" s="1091"/>
      <c r="I127" s="1091"/>
      <c r="J127" s="1091"/>
      <c r="K127" s="1091"/>
      <c r="L127" s="1091"/>
      <c r="M127" s="1091"/>
      <c r="N127" s="1091"/>
      <c r="O127" s="1091"/>
      <c r="P127" s="1091"/>
      <c r="Q127" s="1091"/>
      <c r="R127" s="1091"/>
      <c r="S127" s="1091"/>
      <c r="T127" s="1091"/>
    </row>
    <row r="128" spans="1:21" s="31" customFormat="1" ht="15" customHeight="1">
      <c r="A128" s="1091"/>
      <c r="B128" s="1091"/>
      <c r="C128" s="1091"/>
      <c r="D128" s="1091"/>
      <c r="E128" s="1091"/>
      <c r="F128" s="1091"/>
      <c r="G128" s="1091"/>
      <c r="H128" s="1091"/>
      <c r="I128" s="1091"/>
      <c r="J128" s="1091"/>
      <c r="K128" s="1091"/>
      <c r="L128" s="1091"/>
      <c r="M128" s="1091"/>
      <c r="N128" s="1091"/>
      <c r="O128" s="1091"/>
      <c r="P128" s="1091"/>
      <c r="Q128" s="1091"/>
      <c r="R128" s="1091"/>
      <c r="S128" s="1091"/>
      <c r="T128" s="1091"/>
    </row>
    <row r="129" spans="1:20" s="31" customFormat="1" ht="15" customHeight="1">
      <c r="A129" s="1091"/>
      <c r="B129" s="1091"/>
      <c r="C129" s="1091"/>
      <c r="D129" s="1091"/>
      <c r="E129" s="1091"/>
      <c r="F129" s="1091"/>
      <c r="G129" s="1091"/>
      <c r="H129" s="1091"/>
      <c r="I129" s="1091"/>
      <c r="J129" s="1091"/>
      <c r="K129" s="1091"/>
      <c r="L129" s="1091"/>
      <c r="M129" s="1091"/>
      <c r="N129" s="1091"/>
      <c r="O129" s="1091"/>
      <c r="P129" s="1091"/>
      <c r="Q129" s="1091"/>
      <c r="R129" s="1091"/>
      <c r="S129" s="1091"/>
      <c r="T129" s="1091"/>
    </row>
    <row r="130" spans="1:20" s="31" customFormat="1" ht="15" customHeight="1">
      <c r="A130" s="1091" t="s">
        <v>433</v>
      </c>
      <c r="B130" s="1091"/>
      <c r="C130" s="1091"/>
      <c r="D130" s="1091"/>
      <c r="E130" s="1091"/>
      <c r="F130" s="1091"/>
      <c r="G130" s="1091"/>
      <c r="H130" s="1091"/>
      <c r="I130" s="1091"/>
      <c r="J130" s="1091"/>
      <c r="K130" s="1091"/>
      <c r="L130" s="1091"/>
      <c r="M130" s="1091"/>
      <c r="N130" s="1091"/>
      <c r="O130" s="1091"/>
      <c r="P130" s="1091"/>
      <c r="Q130" s="1091"/>
      <c r="R130" s="1091"/>
      <c r="S130" s="1091"/>
      <c r="T130" s="1091"/>
    </row>
    <row r="131" spans="1:20" s="31" customFormat="1" ht="15" customHeight="1">
      <c r="A131" s="1091"/>
      <c r="B131" s="1091"/>
      <c r="C131" s="1091"/>
      <c r="D131" s="1091"/>
      <c r="E131" s="1091"/>
      <c r="F131" s="1091"/>
      <c r="G131" s="1091"/>
      <c r="H131" s="1091"/>
      <c r="I131" s="1091"/>
      <c r="J131" s="1091"/>
      <c r="K131" s="1091"/>
      <c r="L131" s="1091"/>
      <c r="M131" s="1091"/>
      <c r="N131" s="1091"/>
      <c r="O131" s="1091"/>
      <c r="P131" s="1091"/>
      <c r="Q131" s="1091"/>
      <c r="R131" s="1091"/>
      <c r="S131" s="1091"/>
      <c r="T131" s="1091"/>
    </row>
    <row r="132" spans="1:20" s="31" customFormat="1" ht="15" customHeight="1">
      <c r="A132" s="1091"/>
      <c r="B132" s="1091"/>
      <c r="C132" s="1091"/>
      <c r="D132" s="1091"/>
      <c r="E132" s="1091"/>
      <c r="F132" s="1091"/>
      <c r="G132" s="1091"/>
      <c r="H132" s="1091"/>
      <c r="I132" s="1091"/>
      <c r="J132" s="1091"/>
      <c r="K132" s="1091"/>
      <c r="L132" s="1091"/>
      <c r="M132" s="1091"/>
      <c r="N132" s="1091"/>
      <c r="O132" s="1091"/>
      <c r="P132" s="1091"/>
      <c r="Q132" s="1091"/>
      <c r="R132" s="1091"/>
      <c r="S132" s="1091"/>
      <c r="T132" s="1091"/>
    </row>
    <row r="133" spans="1:20" s="31" customFormat="1" ht="15" customHeight="1">
      <c r="B133" s="1092" t="s">
        <v>434</v>
      </c>
      <c r="C133" s="1092"/>
      <c r="D133" s="1092"/>
      <c r="E133" s="1092"/>
      <c r="F133" s="1092"/>
      <c r="G133" s="1092"/>
      <c r="H133" s="1092"/>
      <c r="I133" s="1074" t="str">
        <f>IF(【マスター】!C99=0,"",【マスター】!C99)</f>
        <v>あいおいニッセイ同和損害保険株式会社</v>
      </c>
      <c r="J133" s="1074"/>
      <c r="K133" s="1074"/>
      <c r="L133" s="1074"/>
      <c r="M133" s="1074"/>
      <c r="N133" s="1074"/>
      <c r="O133" s="1074"/>
      <c r="P133" s="1074"/>
      <c r="Q133" s="1074"/>
      <c r="R133" s="1074"/>
      <c r="S133" s="1074"/>
      <c r="T133" s="1074"/>
    </row>
    <row r="134" spans="1:20" s="31" customFormat="1" ht="15" customHeight="1">
      <c r="B134" s="1092" t="s">
        <v>435</v>
      </c>
      <c r="C134" s="1092"/>
      <c r="D134" s="1092"/>
      <c r="E134" s="1092"/>
      <c r="F134" s="1092"/>
      <c r="G134" s="1092"/>
      <c r="H134" s="1092"/>
      <c r="I134" s="1074" t="str">
        <f>IF(【マスター】!C100=0,"",【マスター】!C100)</f>
        <v>介護保険・社会福祉事業者総合保険</v>
      </c>
      <c r="J134" s="1074"/>
      <c r="K134" s="1074"/>
      <c r="L134" s="1074"/>
      <c r="M134" s="1074"/>
      <c r="N134" s="1074"/>
      <c r="O134" s="1074"/>
      <c r="P134" s="1074"/>
      <c r="Q134" s="1074"/>
      <c r="R134" s="1074"/>
      <c r="S134" s="1074"/>
      <c r="T134" s="1074"/>
    </row>
    <row r="135" spans="1:20" s="31" customFormat="1" ht="15" customHeight="1">
      <c r="B135" s="712"/>
      <c r="C135" s="712"/>
      <c r="D135" s="712"/>
      <c r="E135" s="712"/>
      <c r="F135" s="712"/>
      <c r="G135" s="712"/>
      <c r="H135" s="712"/>
      <c r="I135" s="521"/>
      <c r="J135" s="521"/>
      <c r="K135" s="521"/>
      <c r="L135" s="521"/>
      <c r="M135" s="521"/>
      <c r="N135" s="521"/>
      <c r="O135" s="521"/>
      <c r="P135" s="521"/>
      <c r="Q135" s="521"/>
      <c r="R135" s="521"/>
      <c r="S135" s="521"/>
      <c r="T135" s="521"/>
    </row>
    <row r="136" spans="1:20" s="31" customFormat="1" ht="15" customHeight="1">
      <c r="A136" s="31" t="s">
        <v>436</v>
      </c>
      <c r="B136" s="32"/>
      <c r="C136" s="32"/>
    </row>
    <row r="137" spans="1:20" s="31" customFormat="1" ht="15" customHeight="1">
      <c r="A137" s="1091" t="s">
        <v>437</v>
      </c>
      <c r="B137" s="1091"/>
      <c r="C137" s="1091"/>
      <c r="D137" s="1091"/>
      <c r="E137" s="1091"/>
      <c r="F137" s="1091"/>
      <c r="G137" s="1091"/>
      <c r="H137" s="1091"/>
      <c r="I137" s="1091"/>
      <c r="J137" s="1091"/>
      <c r="K137" s="1091"/>
      <c r="L137" s="1091"/>
      <c r="M137" s="1091"/>
      <c r="N137" s="1091"/>
      <c r="O137" s="1091"/>
      <c r="P137" s="1091"/>
      <c r="Q137" s="1091"/>
      <c r="R137" s="1091"/>
      <c r="S137" s="1091"/>
      <c r="T137" s="1091"/>
    </row>
    <row r="138" spans="1:20" s="31" customFormat="1" ht="15" customHeight="1">
      <c r="A138" s="1091"/>
      <c r="B138" s="1091"/>
      <c r="C138" s="1091"/>
      <c r="D138" s="1091"/>
      <c r="E138" s="1091"/>
      <c r="F138" s="1091"/>
      <c r="G138" s="1091"/>
      <c r="H138" s="1091"/>
      <c r="I138" s="1091"/>
      <c r="J138" s="1091"/>
      <c r="K138" s="1091"/>
      <c r="L138" s="1091"/>
      <c r="M138" s="1091"/>
      <c r="N138" s="1091"/>
      <c r="O138" s="1091"/>
      <c r="P138" s="1091"/>
      <c r="Q138" s="1091"/>
      <c r="R138" s="1091"/>
      <c r="S138" s="1091"/>
      <c r="T138" s="1091"/>
    </row>
    <row r="139" spans="1:20" s="31" customFormat="1" ht="15" customHeight="1">
      <c r="A139" s="1091"/>
      <c r="B139" s="1091"/>
      <c r="C139" s="1091"/>
      <c r="D139" s="1091"/>
      <c r="E139" s="1091"/>
      <c r="F139" s="1091"/>
      <c r="G139" s="1091"/>
      <c r="H139" s="1091"/>
      <c r="I139" s="1091"/>
      <c r="J139" s="1091"/>
      <c r="K139" s="1091"/>
      <c r="L139" s="1091"/>
      <c r="M139" s="1091"/>
      <c r="N139" s="1091"/>
      <c r="O139" s="1091"/>
      <c r="P139" s="1091"/>
      <c r="Q139" s="1091"/>
      <c r="R139" s="1091"/>
      <c r="S139" s="1091"/>
      <c r="T139" s="1091"/>
    </row>
    <row r="140" spans="1:20" s="31" customFormat="1" ht="15" customHeight="1">
      <c r="B140" s="32"/>
      <c r="C140" s="32"/>
    </row>
    <row r="141" spans="1:20" s="31" customFormat="1" ht="15" customHeight="1">
      <c r="A141" s="31" t="s">
        <v>438</v>
      </c>
      <c r="B141" s="32"/>
      <c r="C141" s="32"/>
    </row>
    <row r="142" spans="1:20" s="31" customFormat="1" ht="15" customHeight="1">
      <c r="A142" s="1090" t="s">
        <v>439</v>
      </c>
      <c r="B142" s="1090"/>
      <c r="C142" s="1090"/>
      <c r="D142" s="1090"/>
      <c r="E142" s="1090"/>
      <c r="F142" s="1090"/>
      <c r="G142" s="1223" t="s">
        <v>440</v>
      </c>
      <c r="H142" s="1208"/>
      <c r="I142" s="1208"/>
      <c r="J142" s="1208"/>
      <c r="K142" s="1208"/>
      <c r="L142" s="1208"/>
      <c r="M142" s="1208"/>
      <c r="N142" s="1208"/>
      <c r="O142" s="1208"/>
      <c r="P142" s="1208"/>
      <c r="Q142" s="1208"/>
      <c r="R142" s="1208"/>
      <c r="S142" s="1208"/>
      <c r="T142" s="1209"/>
    </row>
    <row r="143" spans="1:20" s="31" customFormat="1" ht="15" customHeight="1">
      <c r="A143" s="1071" t="s">
        <v>441</v>
      </c>
      <c r="B143" s="1071"/>
      <c r="C143" s="1071"/>
      <c r="D143" s="1071"/>
      <c r="E143" s="1071"/>
      <c r="F143" s="1071"/>
      <c r="G143" s="1224" t="s">
        <v>442</v>
      </c>
      <c r="H143" s="1225"/>
      <c r="I143" s="1225"/>
      <c r="J143" s="1225"/>
      <c r="K143" s="1225"/>
      <c r="L143" s="1225"/>
      <c r="M143" s="1225"/>
      <c r="N143" s="1225"/>
      <c r="O143" s="1225"/>
      <c r="P143" s="1225"/>
      <c r="Q143" s="1225"/>
      <c r="R143" s="1225"/>
      <c r="S143" s="1225"/>
      <c r="T143" s="1226"/>
    </row>
    <row r="144" spans="1:20" s="31" customFormat="1" ht="15" customHeight="1">
      <c r="A144" s="1071"/>
      <c r="B144" s="1071"/>
      <c r="C144" s="1071"/>
      <c r="D144" s="1071"/>
      <c r="E144" s="1071"/>
      <c r="F144" s="1071"/>
      <c r="G144" s="1071" t="s">
        <v>288</v>
      </c>
      <c r="H144" s="1071"/>
      <c r="I144" s="1071"/>
      <c r="J144" s="1071"/>
      <c r="K144" s="1071"/>
      <c r="L144" s="1071" t="s">
        <v>289</v>
      </c>
      <c r="M144" s="1071"/>
      <c r="N144" s="1071" t="s">
        <v>288</v>
      </c>
      <c r="O144" s="1071"/>
      <c r="P144" s="1071"/>
      <c r="Q144" s="1071"/>
      <c r="R144" s="1071"/>
      <c r="S144" s="1071" t="s">
        <v>289</v>
      </c>
      <c r="T144" s="1071"/>
    </row>
    <row r="145" spans="1:21" s="31" customFormat="1" ht="15" customHeight="1">
      <c r="A145" s="1071"/>
      <c r="B145" s="1071"/>
      <c r="C145" s="1071"/>
      <c r="D145" s="1071"/>
      <c r="E145" s="1071"/>
      <c r="F145" s="1071"/>
      <c r="G145" s="1071" t="s">
        <v>290</v>
      </c>
      <c r="H145" s="1071"/>
      <c r="I145" s="1071"/>
      <c r="J145" s="1071"/>
      <c r="K145" s="1071"/>
      <c r="L145" s="1071" t="str">
        <f>DBCS(【マスター】!B94)</f>
        <v>１</v>
      </c>
      <c r="M145" s="1071"/>
      <c r="N145" s="1090" t="s">
        <v>443</v>
      </c>
      <c r="O145" s="1090"/>
      <c r="P145" s="1090"/>
      <c r="Q145" s="1090"/>
      <c r="R145" s="1090"/>
      <c r="S145" s="1071" t="str">
        <f>DBCS(【マスター】!E94)</f>
        <v>０</v>
      </c>
      <c r="T145" s="1071"/>
    </row>
    <row r="146" spans="1:21" s="31" customFormat="1" ht="15" customHeight="1">
      <c r="A146" s="1071"/>
      <c r="B146" s="1071"/>
      <c r="C146" s="1071"/>
      <c r="D146" s="1071"/>
      <c r="E146" s="1071"/>
      <c r="F146" s="1071"/>
      <c r="G146" s="1071" t="s">
        <v>292</v>
      </c>
      <c r="H146" s="1071"/>
      <c r="I146" s="1071"/>
      <c r="J146" s="1071"/>
      <c r="K146" s="1071"/>
      <c r="L146" s="1071" t="str">
        <f>DBCS(【マスター】!B95)</f>
        <v>０</v>
      </c>
      <c r="M146" s="1071"/>
      <c r="N146" s="1071" t="s">
        <v>293</v>
      </c>
      <c r="O146" s="1071"/>
      <c r="P146" s="1071"/>
      <c r="Q146" s="1071"/>
      <c r="R146" s="1071"/>
      <c r="S146" s="1071">
        <v>1</v>
      </c>
      <c r="T146" s="1071"/>
    </row>
    <row r="147" spans="1:21" s="31" customFormat="1" ht="15" customHeight="1">
      <c r="A147" s="1071"/>
      <c r="B147" s="1071"/>
      <c r="C147" s="1071"/>
      <c r="D147" s="1071"/>
      <c r="E147" s="1071"/>
      <c r="F147" s="1071"/>
      <c r="G147" s="1071" t="s">
        <v>444</v>
      </c>
      <c r="H147" s="1071"/>
      <c r="I147" s="1071"/>
      <c r="J147" s="1071"/>
      <c r="K147" s="1071"/>
      <c r="L147" s="1071" t="str">
        <f>DBCS(【マスター】!B96)</f>
        <v>１</v>
      </c>
      <c r="M147" s="1071"/>
      <c r="N147" s="1071" t="s">
        <v>295</v>
      </c>
      <c r="O147" s="1071"/>
      <c r="P147" s="1071"/>
      <c r="Q147" s="1071"/>
      <c r="R147" s="1071"/>
      <c r="S147" s="1071" t="str">
        <f>DBCS(【マスター】!E96)</f>
        <v>１</v>
      </c>
      <c r="T147" s="1071"/>
    </row>
    <row r="148" spans="1:21" s="31" customFormat="1" ht="15" customHeight="1">
      <c r="A148" s="1071"/>
      <c r="B148" s="1071"/>
      <c r="C148" s="1071"/>
      <c r="D148" s="1071"/>
      <c r="E148" s="1071"/>
      <c r="F148" s="1071"/>
      <c r="G148" s="1071" t="s">
        <v>296</v>
      </c>
      <c r="H148" s="1071"/>
      <c r="I148" s="1071"/>
      <c r="J148" s="1071"/>
      <c r="K148" s="1071"/>
      <c r="L148" s="1071" t="str">
        <f>DBCS(【マスター】!B97)</f>
        <v>１</v>
      </c>
      <c r="M148" s="1071"/>
      <c r="N148" s="1071"/>
      <c r="O148" s="1071"/>
      <c r="P148" s="1071"/>
      <c r="Q148" s="1071"/>
      <c r="R148" s="1071"/>
      <c r="S148" s="1071" t="str">
        <f>DBCS(【マスター】!E97)</f>
        <v/>
      </c>
      <c r="T148" s="1071"/>
    </row>
    <row r="149" spans="1:21" s="31" customFormat="1" ht="15" customHeight="1">
      <c r="A149" s="1071"/>
      <c r="B149" s="1071"/>
      <c r="C149" s="1071"/>
      <c r="D149" s="1071"/>
      <c r="E149" s="1071"/>
      <c r="F149" s="1071"/>
      <c r="G149" s="1094" t="s">
        <v>445</v>
      </c>
      <c r="H149" s="1095"/>
      <c r="I149" s="1095"/>
      <c r="J149" s="1095"/>
      <c r="K149" s="1095"/>
      <c r="L149" s="1095"/>
      <c r="M149" s="1095"/>
      <c r="N149" s="1095"/>
      <c r="O149" s="1095"/>
      <c r="P149" s="1095"/>
      <c r="Q149" s="1095"/>
      <c r="R149" s="1095"/>
      <c r="S149" s="1095"/>
      <c r="T149" s="1096"/>
    </row>
    <row r="150" spans="1:21" s="31" customFormat="1" ht="15" customHeight="1">
      <c r="B150" s="32"/>
      <c r="C150" s="32"/>
    </row>
    <row r="151" spans="1:21" s="31" customFormat="1" ht="15" customHeight="1">
      <c r="A151" s="31" t="s">
        <v>446</v>
      </c>
      <c r="B151" s="32"/>
      <c r="C151" s="32"/>
    </row>
    <row r="152" spans="1:21" s="31" customFormat="1" ht="15" customHeight="1">
      <c r="A152" s="1091" t="s">
        <v>447</v>
      </c>
      <c r="B152" s="1091"/>
      <c r="C152" s="1091"/>
      <c r="D152" s="1091"/>
      <c r="E152" s="1091"/>
      <c r="F152" s="1091"/>
      <c r="G152" s="1091"/>
      <c r="H152" s="1091"/>
      <c r="I152" s="1091"/>
      <c r="J152" s="1091"/>
      <c r="K152" s="1091"/>
      <c r="L152" s="1091"/>
      <c r="M152" s="1091"/>
      <c r="N152" s="1091"/>
      <c r="O152" s="1091"/>
      <c r="P152" s="1091"/>
      <c r="Q152" s="1091"/>
      <c r="R152" s="1091"/>
      <c r="S152" s="1091"/>
      <c r="T152" s="1091"/>
    </row>
    <row r="153" spans="1:21" s="31" customFormat="1" ht="15" customHeight="1">
      <c r="A153" s="1091"/>
      <c r="B153" s="1091"/>
      <c r="C153" s="1091"/>
      <c r="D153" s="1091"/>
      <c r="E153" s="1091"/>
      <c r="F153" s="1091"/>
      <c r="G153" s="1091"/>
      <c r="H153" s="1091"/>
      <c r="I153" s="1091"/>
      <c r="J153" s="1091"/>
      <c r="K153" s="1091"/>
      <c r="L153" s="1091"/>
      <c r="M153" s="1091"/>
      <c r="N153" s="1091"/>
      <c r="O153" s="1091"/>
      <c r="P153" s="1091"/>
      <c r="Q153" s="1091"/>
      <c r="R153" s="1091"/>
      <c r="S153" s="1091"/>
      <c r="T153" s="1091"/>
    </row>
    <row r="154" spans="1:21" s="31" customFormat="1" ht="15" customHeight="1">
      <c r="A154" s="32" t="s">
        <v>448</v>
      </c>
      <c r="B154" s="32"/>
      <c r="C154" s="31" t="s">
        <v>1935</v>
      </c>
    </row>
    <row r="155" spans="1:21" s="31" customFormat="1" ht="15" customHeight="1">
      <c r="A155" s="32" t="s">
        <v>1931</v>
      </c>
      <c r="B155" s="32"/>
      <c r="C155" s="31" t="s">
        <v>1927</v>
      </c>
    </row>
    <row r="156" spans="1:21" s="31" customFormat="1" ht="15" customHeight="1">
      <c r="A156" s="32" t="s">
        <v>1932</v>
      </c>
      <c r="B156" s="32"/>
      <c r="C156" s="31" t="s">
        <v>1928</v>
      </c>
    </row>
    <row r="157" spans="1:21" s="31" customFormat="1" ht="15" customHeight="1">
      <c r="A157" s="32" t="s">
        <v>1933</v>
      </c>
      <c r="B157" s="32"/>
      <c r="C157" s="31" t="s">
        <v>1929</v>
      </c>
    </row>
    <row r="158" spans="1:21" s="31" customFormat="1" ht="15" customHeight="1">
      <c r="A158" s="32" t="s">
        <v>1934</v>
      </c>
      <c r="B158" s="32"/>
      <c r="C158" s="1013" t="s">
        <v>1930</v>
      </c>
      <c r="D158" s="1013"/>
      <c r="E158" s="1013"/>
      <c r="F158" s="1013"/>
      <c r="G158" s="1013"/>
    </row>
    <row r="159" spans="1:21" s="31" customFormat="1" ht="15" customHeight="1">
      <c r="A159" s="32"/>
      <c r="B159" s="32"/>
      <c r="C159" s="1013" t="s">
        <v>1936</v>
      </c>
      <c r="D159" s="1013"/>
      <c r="E159" s="1013"/>
      <c r="F159" s="1013"/>
      <c r="G159" s="1013"/>
      <c r="H159" s="1013"/>
      <c r="I159" s="1013"/>
      <c r="J159" s="1013"/>
      <c r="K159" s="1013"/>
      <c r="L159" s="1013"/>
      <c r="M159" s="1013"/>
      <c r="N159" s="1013"/>
      <c r="O159" s="1013"/>
      <c r="P159" s="1013"/>
      <c r="Q159" s="1013"/>
      <c r="R159" s="1013"/>
      <c r="S159" s="1013"/>
      <c r="T159" s="1013"/>
      <c r="U159" s="33"/>
    </row>
    <row r="160" spans="1:21" s="31" customFormat="1" ht="15" customHeight="1">
      <c r="A160" s="32"/>
      <c r="B160" s="32"/>
      <c r="C160" s="1013"/>
      <c r="D160" s="1013"/>
      <c r="E160" s="1013"/>
      <c r="F160" s="1013"/>
      <c r="G160" s="1013"/>
      <c r="H160" s="1013"/>
      <c r="I160" s="1013"/>
      <c r="J160" s="1013"/>
      <c r="K160" s="1013"/>
      <c r="L160" s="1013"/>
      <c r="M160" s="1013"/>
      <c r="N160" s="1013"/>
      <c r="O160" s="1013"/>
      <c r="P160" s="1013"/>
      <c r="Q160" s="1013"/>
      <c r="R160" s="1013"/>
      <c r="S160" s="1013"/>
      <c r="T160" s="1013"/>
      <c r="U160" s="33"/>
    </row>
    <row r="161" spans="1:21" s="31" customFormat="1" ht="15" customHeight="1">
      <c r="A161" s="34"/>
      <c r="B161" s="33"/>
      <c r="C161" s="1013"/>
      <c r="D161" s="1013"/>
      <c r="E161" s="1013"/>
      <c r="F161" s="1013"/>
      <c r="G161" s="1013"/>
      <c r="H161" s="1013"/>
      <c r="I161" s="1013"/>
      <c r="J161" s="1013"/>
      <c r="K161" s="1013"/>
      <c r="L161" s="1013"/>
      <c r="M161" s="1013"/>
      <c r="N161" s="1013"/>
      <c r="O161" s="1013"/>
      <c r="P161" s="1013"/>
      <c r="Q161" s="1013"/>
      <c r="R161" s="1013"/>
      <c r="S161" s="1013"/>
      <c r="T161" s="1013"/>
    </row>
    <row r="162" spans="1:21" s="31" customFormat="1" ht="15" customHeight="1">
      <c r="A162" s="32"/>
      <c r="B162" s="32"/>
      <c r="C162" s="32"/>
    </row>
    <row r="163" spans="1:21" s="31" customFormat="1" ht="15" customHeight="1">
      <c r="A163" s="31" t="s">
        <v>454</v>
      </c>
      <c r="B163" s="32"/>
      <c r="C163" s="32"/>
      <c r="U163" s="196"/>
    </row>
    <row r="164" spans="1:21" s="31" customFormat="1" ht="15" customHeight="1">
      <c r="A164" s="32" t="s">
        <v>448</v>
      </c>
      <c r="B164" s="33"/>
      <c r="C164" s="1013" t="s">
        <v>455</v>
      </c>
      <c r="D164" s="1013"/>
      <c r="E164" s="1013"/>
      <c r="F164" s="1013"/>
      <c r="G164" s="1013"/>
      <c r="H164" s="1013"/>
      <c r="I164" s="1013"/>
      <c r="J164" s="1013"/>
      <c r="K164" s="1013"/>
      <c r="L164" s="1013"/>
      <c r="M164" s="1013"/>
      <c r="N164" s="1013"/>
      <c r="O164" s="1013"/>
      <c r="P164" s="1013"/>
      <c r="Q164" s="1013"/>
      <c r="R164" s="1013"/>
      <c r="S164" s="1013"/>
      <c r="T164" s="1013"/>
      <c r="U164" s="196"/>
    </row>
    <row r="165" spans="1:21" s="31" customFormat="1" ht="15" customHeight="1">
      <c r="B165" s="33"/>
      <c r="C165" s="1013"/>
      <c r="D165" s="1013"/>
      <c r="E165" s="1013"/>
      <c r="F165" s="1013"/>
      <c r="G165" s="1013"/>
      <c r="H165" s="1013"/>
      <c r="I165" s="1013"/>
      <c r="J165" s="1013"/>
      <c r="K165" s="1013"/>
      <c r="L165" s="1013"/>
      <c r="M165" s="1013"/>
      <c r="N165" s="1013"/>
      <c r="O165" s="1013"/>
      <c r="P165" s="1013"/>
      <c r="Q165" s="1013"/>
      <c r="R165" s="1013"/>
      <c r="S165" s="1013"/>
      <c r="T165" s="1013"/>
    </row>
    <row r="166" spans="1:21" s="31" customFormat="1" ht="15" customHeight="1">
      <c r="A166" s="32"/>
      <c r="B166" s="33"/>
      <c r="C166" s="1013"/>
      <c r="D166" s="1013"/>
      <c r="E166" s="1013"/>
      <c r="F166" s="1013"/>
      <c r="G166" s="1013"/>
      <c r="H166" s="1013"/>
      <c r="I166" s="1013"/>
      <c r="J166" s="1013"/>
      <c r="K166" s="1013"/>
      <c r="L166" s="1013"/>
      <c r="M166" s="1013"/>
      <c r="N166" s="1013"/>
      <c r="O166" s="1013"/>
      <c r="P166" s="1013"/>
      <c r="Q166" s="1013"/>
      <c r="R166" s="1013"/>
      <c r="S166" s="1013"/>
      <c r="T166" s="1013"/>
    </row>
    <row r="167" spans="1:21" s="31" customFormat="1" ht="15" customHeight="1">
      <c r="A167" s="32" t="s">
        <v>450</v>
      </c>
      <c r="B167" s="33"/>
      <c r="C167" s="1013" t="s">
        <v>456</v>
      </c>
      <c r="D167" s="1013"/>
      <c r="E167" s="1013"/>
      <c r="F167" s="1013"/>
      <c r="G167" s="1013"/>
      <c r="H167" s="1013"/>
      <c r="I167" s="1013"/>
      <c r="J167" s="1013"/>
      <c r="K167" s="1013"/>
      <c r="L167" s="1013"/>
      <c r="M167" s="1013"/>
      <c r="N167" s="1013"/>
      <c r="O167" s="1013"/>
      <c r="P167" s="1013"/>
      <c r="Q167" s="1013"/>
      <c r="R167" s="1013"/>
      <c r="S167" s="1013"/>
      <c r="T167" s="1013"/>
      <c r="U167" s="33"/>
    </row>
    <row r="168" spans="1:21" s="31" customFormat="1" ht="15" customHeight="1">
      <c r="A168" s="32"/>
      <c r="B168" s="33"/>
      <c r="C168" s="1013"/>
      <c r="D168" s="1013"/>
      <c r="E168" s="1013"/>
      <c r="F168" s="1013"/>
      <c r="G168" s="1013"/>
      <c r="H168" s="1013"/>
      <c r="I168" s="1013"/>
      <c r="J168" s="1013"/>
      <c r="K168" s="1013"/>
      <c r="L168" s="1013"/>
      <c r="M168" s="1013"/>
      <c r="N168" s="1013"/>
      <c r="O168" s="1013"/>
      <c r="P168" s="1013"/>
      <c r="Q168" s="1013"/>
      <c r="R168" s="1013"/>
      <c r="S168" s="1013"/>
      <c r="T168" s="1013"/>
    </row>
    <row r="169" spans="1:21" s="31" customFormat="1" ht="15" customHeight="1">
      <c r="A169" s="32"/>
      <c r="B169" s="33"/>
      <c r="C169" s="1013"/>
      <c r="D169" s="1013"/>
      <c r="E169" s="1013"/>
      <c r="F169" s="1013"/>
      <c r="G169" s="1013"/>
      <c r="H169" s="1013"/>
      <c r="I169" s="1013"/>
      <c r="J169" s="1013"/>
      <c r="K169" s="1013"/>
      <c r="L169" s="1013"/>
      <c r="M169" s="1013"/>
      <c r="N169" s="1013"/>
      <c r="O169" s="1013"/>
      <c r="P169" s="1013"/>
      <c r="Q169" s="1013"/>
      <c r="R169" s="1013"/>
      <c r="S169" s="1013"/>
      <c r="T169" s="1013"/>
    </row>
    <row r="170" spans="1:21" s="31" customFormat="1" ht="15" customHeight="1">
      <c r="A170" s="32"/>
      <c r="B170" s="33"/>
      <c r="C170" s="1013"/>
      <c r="D170" s="1013"/>
      <c r="E170" s="1013"/>
      <c r="F170" s="1013"/>
      <c r="G170" s="1013"/>
      <c r="H170" s="1013"/>
      <c r="I170" s="1013"/>
      <c r="J170" s="1013"/>
      <c r="K170" s="1013"/>
      <c r="L170" s="1013"/>
      <c r="M170" s="1013"/>
      <c r="N170" s="1013"/>
      <c r="O170" s="1013"/>
      <c r="P170" s="1013"/>
      <c r="Q170" s="1013"/>
      <c r="R170" s="1013"/>
      <c r="S170" s="1013"/>
      <c r="T170" s="1013"/>
    </row>
    <row r="171" spans="1:21" s="31" customFormat="1" ht="15" customHeight="1">
      <c r="A171" s="32" t="s">
        <v>452</v>
      </c>
      <c r="B171" s="33"/>
      <c r="C171" s="1013" t="s">
        <v>1937</v>
      </c>
      <c r="D171" s="1013"/>
      <c r="E171" s="1013"/>
      <c r="F171" s="1013"/>
      <c r="G171" s="1013"/>
      <c r="H171" s="1013"/>
      <c r="I171" s="1013"/>
      <c r="J171" s="1013"/>
      <c r="K171" s="1013"/>
      <c r="L171" s="1013"/>
      <c r="M171" s="1013"/>
      <c r="N171" s="1013"/>
      <c r="O171" s="1013"/>
      <c r="P171" s="1013"/>
      <c r="Q171" s="1013"/>
      <c r="R171" s="1013"/>
      <c r="S171" s="1013"/>
      <c r="T171" s="1013"/>
    </row>
    <row r="172" spans="1:21" s="31" customFormat="1" ht="15" customHeight="1">
      <c r="B172" s="661">
        <v>1</v>
      </c>
      <c r="C172" s="1017" t="s">
        <v>1938</v>
      </c>
      <c r="D172" s="1017"/>
      <c r="E172" s="1017"/>
      <c r="F172" s="1017"/>
      <c r="G172" s="1017"/>
      <c r="H172" s="1017"/>
      <c r="I172" s="1017"/>
      <c r="J172" s="1017"/>
      <c r="K172" s="1017"/>
      <c r="L172" s="1017"/>
      <c r="M172" s="1017"/>
      <c r="N172" s="1017"/>
      <c r="O172" s="1017"/>
      <c r="P172" s="1017"/>
      <c r="Q172" s="1017"/>
      <c r="R172" s="1017"/>
      <c r="S172" s="1017"/>
      <c r="T172" s="1017"/>
    </row>
    <row r="173" spans="1:21" s="31" customFormat="1" ht="15" customHeight="1">
      <c r="A173" s="32"/>
      <c r="B173" s="512">
        <v>2</v>
      </c>
      <c r="C173" s="1016" t="s">
        <v>1939</v>
      </c>
      <c r="D173" s="1016"/>
      <c r="E173" s="1016"/>
      <c r="F173" s="1016"/>
      <c r="G173" s="1016"/>
      <c r="H173" s="1016"/>
      <c r="I173" s="1016"/>
      <c r="J173" s="1016"/>
      <c r="K173" s="1016"/>
      <c r="L173" s="1016"/>
      <c r="M173" s="1016"/>
      <c r="N173" s="1016"/>
      <c r="O173" s="1016"/>
      <c r="P173" s="1016"/>
      <c r="Q173" s="1016"/>
      <c r="R173" s="1016"/>
      <c r="S173" s="1016"/>
      <c r="T173" s="1016"/>
    </row>
    <row r="174" spans="1:21" s="31" customFormat="1" ht="15" customHeight="1">
      <c r="B174" s="661">
        <v>3</v>
      </c>
      <c r="C174" s="1016" t="s">
        <v>1940</v>
      </c>
      <c r="D174" s="1016"/>
      <c r="E174" s="1016"/>
      <c r="F174" s="1016"/>
      <c r="G174" s="1016"/>
      <c r="H174" s="1016"/>
      <c r="I174" s="1016"/>
      <c r="J174" s="1016"/>
      <c r="K174" s="1016"/>
      <c r="L174" s="1016"/>
      <c r="M174" s="1016"/>
      <c r="N174" s="1016"/>
      <c r="O174" s="1016"/>
      <c r="P174" s="1016"/>
      <c r="Q174" s="1016"/>
      <c r="R174" s="1016"/>
      <c r="S174" s="1016"/>
      <c r="T174" s="1016"/>
    </row>
    <row r="175" spans="1:21" s="31" customFormat="1" ht="15" customHeight="1">
      <c r="A175" s="32"/>
      <c r="B175" s="512">
        <v>4</v>
      </c>
      <c r="C175" s="1016" t="s">
        <v>1941</v>
      </c>
      <c r="D175" s="1016"/>
      <c r="E175" s="1016"/>
      <c r="F175" s="1016"/>
      <c r="G175" s="1016"/>
      <c r="H175" s="1016"/>
      <c r="I175" s="1016"/>
      <c r="J175" s="1016"/>
      <c r="K175" s="1016"/>
      <c r="L175" s="1016"/>
      <c r="M175" s="1016"/>
      <c r="N175" s="1016"/>
      <c r="O175" s="1016"/>
      <c r="P175" s="1016"/>
      <c r="Q175" s="1016"/>
      <c r="R175" s="1016"/>
      <c r="S175" s="1016"/>
      <c r="T175" s="1016"/>
    </row>
    <row r="176" spans="1:21" s="31" customFormat="1" ht="15" customHeight="1">
      <c r="B176" s="661"/>
      <c r="C176" s="661"/>
      <c r="D176" s="661"/>
      <c r="E176" s="661"/>
      <c r="F176" s="662"/>
      <c r="G176" s="662"/>
      <c r="H176" s="662"/>
      <c r="I176" s="662"/>
      <c r="J176" s="662"/>
      <c r="K176" s="662"/>
      <c r="L176" s="662"/>
      <c r="M176" s="662"/>
      <c r="N176" s="662"/>
      <c r="O176" s="662"/>
      <c r="P176" s="662"/>
      <c r="Q176" s="662"/>
      <c r="R176" s="662"/>
      <c r="S176" s="662"/>
      <c r="T176" s="73"/>
    </row>
    <row r="177" spans="1:41" s="31" customFormat="1" ht="15" customHeight="1">
      <c r="A177" s="32" t="s">
        <v>1776</v>
      </c>
      <c r="B177" s="661"/>
      <c r="C177" s="661"/>
      <c r="D177" s="661"/>
      <c r="E177" s="661"/>
      <c r="F177" s="662"/>
      <c r="G177" s="662"/>
      <c r="H177" s="662"/>
      <c r="I177" s="662"/>
      <c r="J177" s="662"/>
      <c r="K177" s="662"/>
      <c r="L177" s="662"/>
      <c r="M177" s="662"/>
      <c r="N177" s="662"/>
      <c r="O177" s="662"/>
      <c r="P177" s="662"/>
      <c r="Q177" s="662"/>
      <c r="R177" s="662"/>
      <c r="S177" s="662"/>
      <c r="T177" s="73"/>
      <c r="U177" s="196"/>
      <c r="W177" s="196"/>
      <c r="X177" s="196"/>
      <c r="Y177" s="512"/>
      <c r="Z177" s="512"/>
      <c r="AM177" s="666"/>
    </row>
    <row r="178" spans="1:41" s="31" customFormat="1" ht="30" customHeight="1">
      <c r="A178" s="663"/>
      <c r="B178" s="1018" t="s">
        <v>1828</v>
      </c>
      <c r="C178" s="1018"/>
      <c r="D178" s="1018"/>
      <c r="E178" s="1018"/>
      <c r="F178" s="1018"/>
      <c r="G178" s="1018"/>
      <c r="H178" s="1018"/>
      <c r="I178" s="1018"/>
      <c r="J178" s="1018"/>
      <c r="K178" s="1018"/>
      <c r="L178" s="1018"/>
      <c r="M178" s="1018"/>
      <c r="N178" s="1018"/>
      <c r="O178" s="1018"/>
      <c r="P178" s="1018"/>
      <c r="Q178" s="1018"/>
      <c r="R178" s="1018"/>
      <c r="S178" s="1018"/>
      <c r="T178" s="1018"/>
      <c r="V178" s="196"/>
      <c r="W178" s="33"/>
      <c r="X178" s="33"/>
      <c r="Y178" s="33"/>
      <c r="Z178" s="33"/>
      <c r="AA178" s="33"/>
      <c r="AB178" s="33"/>
      <c r="AC178" s="33"/>
      <c r="AD178" s="33"/>
      <c r="AE178" s="33"/>
      <c r="AF178" s="33"/>
      <c r="AG178" s="33"/>
      <c r="AH178" s="33"/>
      <c r="AI178" s="33"/>
      <c r="AJ178" s="33"/>
      <c r="AK178" s="33"/>
      <c r="AL178" s="33"/>
      <c r="AM178" s="33"/>
      <c r="AN178" s="33"/>
      <c r="AO178" s="33"/>
    </row>
    <row r="179" spans="1:41" s="31" customFormat="1" ht="15" customHeight="1">
      <c r="A179" s="32" t="s">
        <v>448</v>
      </c>
      <c r="B179" s="33"/>
      <c r="C179" s="1018" t="s">
        <v>1829</v>
      </c>
      <c r="D179" s="1018"/>
      <c r="E179" s="1018"/>
      <c r="F179" s="1018"/>
      <c r="G179" s="1018"/>
      <c r="H179" s="1018"/>
      <c r="I179" s="1018"/>
      <c r="J179" s="1018"/>
      <c r="K179" s="1018"/>
      <c r="L179" s="1018"/>
      <c r="M179" s="1018"/>
      <c r="N179" s="1018"/>
      <c r="O179" s="1018"/>
      <c r="P179" s="1018"/>
      <c r="Q179" s="1018"/>
      <c r="R179" s="1018"/>
      <c r="S179" s="1018"/>
      <c r="T179" s="1018"/>
      <c r="V179" s="196"/>
      <c r="W179" s="33"/>
      <c r="X179" s="33"/>
      <c r="Y179" s="33"/>
      <c r="Z179" s="33"/>
      <c r="AA179" s="33"/>
      <c r="AB179" s="33"/>
      <c r="AC179" s="33"/>
      <c r="AD179" s="33"/>
      <c r="AE179" s="33"/>
      <c r="AF179" s="33"/>
      <c r="AG179" s="33"/>
      <c r="AH179" s="33"/>
      <c r="AI179" s="33"/>
      <c r="AJ179" s="33"/>
      <c r="AK179" s="33"/>
      <c r="AL179" s="33"/>
      <c r="AM179" s="33"/>
      <c r="AN179" s="33"/>
      <c r="AO179" s="33"/>
    </row>
    <row r="180" spans="1:41" s="31" customFormat="1" ht="15" customHeight="1">
      <c r="A180" s="663"/>
      <c r="B180" s="717"/>
      <c r="C180" s="1018"/>
      <c r="D180" s="1018"/>
      <c r="E180" s="1018"/>
      <c r="F180" s="1018"/>
      <c r="G180" s="1018"/>
      <c r="H180" s="1018"/>
      <c r="I180" s="1018"/>
      <c r="J180" s="1018"/>
      <c r="K180" s="1018"/>
      <c r="L180" s="1018"/>
      <c r="M180" s="1018"/>
      <c r="N180" s="1018"/>
      <c r="O180" s="1018"/>
      <c r="P180" s="1018"/>
      <c r="Q180" s="1018"/>
      <c r="R180" s="1018"/>
      <c r="S180" s="1018"/>
      <c r="T180" s="1018"/>
      <c r="V180" s="196"/>
      <c r="W180" s="33"/>
      <c r="X180" s="33"/>
      <c r="Y180" s="33"/>
      <c r="Z180" s="33"/>
      <c r="AA180" s="33"/>
      <c r="AB180" s="33"/>
      <c r="AC180" s="33"/>
      <c r="AD180" s="33"/>
      <c r="AE180" s="33"/>
      <c r="AF180" s="33"/>
      <c r="AG180" s="33"/>
      <c r="AH180" s="33"/>
      <c r="AI180" s="33"/>
      <c r="AJ180" s="33"/>
      <c r="AK180" s="33"/>
      <c r="AL180" s="33"/>
      <c r="AM180" s="33"/>
      <c r="AN180" s="33"/>
      <c r="AO180" s="33"/>
    </row>
    <row r="181" spans="1:41" s="31" customFormat="1" ht="15" customHeight="1">
      <c r="A181" s="663"/>
      <c r="C181" s="718" t="s">
        <v>1892</v>
      </c>
      <c r="D181" s="718"/>
      <c r="E181" s="718"/>
      <c r="F181" s="718"/>
      <c r="G181" s="718"/>
      <c r="H181" s="718"/>
      <c r="I181" s="718"/>
      <c r="J181" s="718"/>
      <c r="K181" s="718"/>
      <c r="L181" s="718"/>
      <c r="M181" s="718"/>
      <c r="N181" s="718"/>
      <c r="O181" s="718"/>
      <c r="P181" s="718"/>
      <c r="Q181" s="718"/>
      <c r="R181" s="718"/>
      <c r="S181" s="718"/>
      <c r="T181" s="713"/>
      <c r="V181" s="196"/>
      <c r="W181" s="33"/>
      <c r="X181" s="33"/>
      <c r="Y181" s="33"/>
      <c r="Z181" s="33"/>
      <c r="AA181" s="33"/>
      <c r="AB181" s="33"/>
      <c r="AC181" s="33"/>
      <c r="AD181" s="33"/>
      <c r="AE181" s="33"/>
      <c r="AF181" s="33"/>
      <c r="AG181" s="33"/>
      <c r="AH181" s="33"/>
      <c r="AI181" s="33"/>
      <c r="AJ181" s="33"/>
      <c r="AK181" s="33"/>
      <c r="AL181" s="33"/>
      <c r="AM181" s="33"/>
      <c r="AN181" s="33"/>
      <c r="AO181" s="33"/>
    </row>
    <row r="182" spans="1:41" s="31" customFormat="1" ht="15" customHeight="1">
      <c r="A182" s="663"/>
      <c r="B182" s="719"/>
      <c r="C182" s="1018" t="s">
        <v>1893</v>
      </c>
      <c r="D182" s="1018"/>
      <c r="E182" s="1018"/>
      <c r="F182" s="1018"/>
      <c r="G182" s="1018"/>
      <c r="H182" s="1018"/>
      <c r="I182" s="1018"/>
      <c r="J182" s="1018"/>
      <c r="K182" s="1018"/>
      <c r="L182" s="1018"/>
      <c r="M182" s="1018"/>
      <c r="N182" s="1018"/>
      <c r="O182" s="1018"/>
      <c r="P182" s="1018"/>
      <c r="Q182" s="1018"/>
      <c r="R182" s="1018"/>
      <c r="S182" s="1018"/>
      <c r="T182" s="1018"/>
      <c r="V182" s="196"/>
      <c r="W182" s="33"/>
      <c r="X182" s="33"/>
      <c r="Y182" s="33"/>
      <c r="Z182" s="33"/>
      <c r="AA182" s="33"/>
      <c r="AB182" s="33"/>
      <c r="AC182" s="33"/>
      <c r="AD182" s="33"/>
      <c r="AE182" s="33"/>
      <c r="AF182" s="33"/>
      <c r="AG182" s="33"/>
      <c r="AH182" s="33"/>
      <c r="AI182" s="33"/>
      <c r="AJ182" s="33"/>
      <c r="AK182" s="33"/>
      <c r="AL182" s="33"/>
      <c r="AM182" s="33"/>
      <c r="AN182" s="33"/>
      <c r="AO182" s="33"/>
    </row>
    <row r="183" spans="1:41" s="31" customFormat="1" ht="15" customHeight="1">
      <c r="A183" s="663"/>
      <c r="B183" s="719"/>
      <c r="C183" s="1018"/>
      <c r="D183" s="1018"/>
      <c r="E183" s="1018"/>
      <c r="F183" s="1018"/>
      <c r="G183" s="1018"/>
      <c r="H183" s="1018"/>
      <c r="I183" s="1018"/>
      <c r="J183" s="1018"/>
      <c r="K183" s="1018"/>
      <c r="L183" s="1018"/>
      <c r="M183" s="1018"/>
      <c r="N183" s="1018"/>
      <c r="O183" s="1018"/>
      <c r="P183" s="1018"/>
      <c r="Q183" s="1018"/>
      <c r="R183" s="1018"/>
      <c r="S183" s="1018"/>
      <c r="T183" s="1018"/>
      <c r="V183" s="196"/>
      <c r="W183" s="33"/>
      <c r="X183" s="33"/>
      <c r="Y183" s="33"/>
      <c r="Z183" s="33"/>
      <c r="AA183" s="33"/>
      <c r="AB183" s="33"/>
      <c r="AC183" s="33"/>
      <c r="AD183" s="33"/>
      <c r="AE183" s="33"/>
      <c r="AF183" s="33"/>
      <c r="AG183" s="33"/>
      <c r="AH183" s="33"/>
      <c r="AI183" s="33"/>
      <c r="AJ183" s="33"/>
      <c r="AK183" s="33"/>
      <c r="AL183" s="33"/>
      <c r="AM183" s="33"/>
      <c r="AN183" s="33"/>
      <c r="AO183" s="33"/>
    </row>
    <row r="184" spans="1:41" s="31" customFormat="1" ht="15" customHeight="1">
      <c r="A184" s="663"/>
      <c r="B184" s="719"/>
      <c r="C184" s="1018" t="s">
        <v>1894</v>
      </c>
      <c r="D184" s="1019"/>
      <c r="E184" s="1019"/>
      <c r="F184" s="1019"/>
      <c r="G184" s="1019"/>
      <c r="H184" s="1019"/>
      <c r="I184" s="1019"/>
      <c r="J184" s="1019"/>
      <c r="K184" s="1019"/>
      <c r="L184" s="1019"/>
      <c r="M184" s="1019"/>
      <c r="N184" s="1019"/>
      <c r="O184" s="1019"/>
      <c r="P184" s="1019"/>
      <c r="Q184" s="1019"/>
      <c r="R184" s="1019"/>
      <c r="S184" s="1019"/>
      <c r="T184" s="1019"/>
      <c r="V184" s="196"/>
      <c r="W184" s="33"/>
      <c r="X184" s="33"/>
      <c r="Y184" s="33"/>
      <c r="Z184" s="33"/>
      <c r="AA184" s="33"/>
      <c r="AB184" s="33"/>
      <c r="AC184" s="33"/>
      <c r="AD184" s="33"/>
      <c r="AE184" s="33"/>
      <c r="AF184" s="33"/>
      <c r="AG184" s="33"/>
      <c r="AH184" s="33"/>
      <c r="AI184" s="33"/>
      <c r="AJ184" s="33"/>
      <c r="AK184" s="33"/>
      <c r="AL184" s="33"/>
      <c r="AM184" s="33"/>
      <c r="AN184" s="33"/>
      <c r="AO184" s="33"/>
    </row>
    <row r="185" spans="1:41" s="31" customFormat="1" ht="15" customHeight="1">
      <c r="A185" s="663"/>
      <c r="B185" s="719"/>
      <c r="C185" s="1019"/>
      <c r="D185" s="1019"/>
      <c r="E185" s="1019"/>
      <c r="F185" s="1019"/>
      <c r="G185" s="1019"/>
      <c r="H185" s="1019"/>
      <c r="I185" s="1019"/>
      <c r="J185" s="1019"/>
      <c r="K185" s="1019"/>
      <c r="L185" s="1019"/>
      <c r="M185" s="1019"/>
      <c r="N185" s="1019"/>
      <c r="O185" s="1019"/>
      <c r="P185" s="1019"/>
      <c r="Q185" s="1019"/>
      <c r="R185" s="1019"/>
      <c r="S185" s="1019"/>
      <c r="T185" s="1019"/>
      <c r="V185" s="196"/>
      <c r="W185" s="33"/>
      <c r="X185" s="33"/>
      <c r="Y185" s="33"/>
      <c r="Z185" s="33"/>
      <c r="AA185" s="33"/>
      <c r="AB185" s="33"/>
      <c r="AC185" s="33"/>
      <c r="AD185" s="33"/>
      <c r="AE185" s="33"/>
      <c r="AF185" s="33"/>
      <c r="AG185" s="33"/>
      <c r="AH185" s="33"/>
      <c r="AI185" s="33"/>
      <c r="AJ185" s="33"/>
      <c r="AK185" s="33"/>
      <c r="AL185" s="33"/>
      <c r="AM185" s="33"/>
      <c r="AN185" s="33"/>
      <c r="AO185" s="33"/>
    </row>
    <row r="186" spans="1:41" s="31" customFormat="1" ht="15" customHeight="1">
      <c r="A186" s="665"/>
      <c r="B186" s="718"/>
      <c r="C186" s="1018" t="s">
        <v>1773</v>
      </c>
      <c r="D186" s="1018"/>
      <c r="E186" s="1018"/>
      <c r="F186" s="1018"/>
      <c r="G186" s="1018"/>
      <c r="H186" s="1018"/>
      <c r="I186" s="1018"/>
      <c r="J186" s="1018"/>
      <c r="K186" s="1018"/>
      <c r="L186" s="1018"/>
      <c r="M186" s="1018"/>
      <c r="N186" s="1018"/>
      <c r="O186" s="1018"/>
      <c r="P186" s="1018"/>
      <c r="Q186" s="1018"/>
      <c r="R186" s="1018"/>
      <c r="S186" s="1018"/>
      <c r="T186" s="1018"/>
      <c r="V186" s="196"/>
      <c r="W186" s="33"/>
      <c r="X186" s="33"/>
      <c r="Y186" s="33"/>
      <c r="Z186" s="33"/>
      <c r="AA186" s="33"/>
      <c r="AB186" s="33"/>
      <c r="AC186" s="33"/>
      <c r="AD186" s="33"/>
      <c r="AE186" s="33"/>
      <c r="AF186" s="33"/>
      <c r="AG186" s="33"/>
      <c r="AH186" s="33"/>
      <c r="AI186" s="33"/>
      <c r="AJ186" s="33"/>
      <c r="AK186" s="33"/>
      <c r="AL186" s="33"/>
      <c r="AM186" s="33"/>
      <c r="AN186" s="33"/>
      <c r="AO186" s="33"/>
    </row>
    <row r="187" spans="1:41" s="31" customFormat="1" ht="15" customHeight="1">
      <c r="A187" s="665"/>
      <c r="B187" s="718"/>
      <c r="C187" s="1018"/>
      <c r="D187" s="1018"/>
      <c r="E187" s="1018"/>
      <c r="F187" s="1018"/>
      <c r="G187" s="1018"/>
      <c r="H187" s="1018"/>
      <c r="I187" s="1018"/>
      <c r="J187" s="1018"/>
      <c r="K187" s="1018"/>
      <c r="L187" s="1018"/>
      <c r="M187" s="1018"/>
      <c r="N187" s="1018"/>
      <c r="O187" s="1018"/>
      <c r="P187" s="1018"/>
      <c r="Q187" s="1018"/>
      <c r="R187" s="1018"/>
      <c r="S187" s="1018"/>
      <c r="T187" s="1018"/>
      <c r="V187" s="196"/>
      <c r="W187" s="33"/>
      <c r="X187" s="33"/>
      <c r="Y187" s="33"/>
      <c r="Z187" s="33"/>
      <c r="AA187" s="33"/>
      <c r="AB187" s="33"/>
      <c r="AC187" s="33"/>
      <c r="AD187" s="33"/>
      <c r="AE187" s="33"/>
      <c r="AF187" s="33"/>
      <c r="AG187" s="33"/>
      <c r="AH187" s="33"/>
      <c r="AI187" s="33"/>
      <c r="AJ187" s="33"/>
      <c r="AK187" s="33"/>
      <c r="AL187" s="33"/>
      <c r="AM187" s="33"/>
      <c r="AN187" s="33"/>
      <c r="AO187" s="33"/>
    </row>
    <row r="188" spans="1:41" s="31" customFormat="1" ht="15" customHeight="1">
      <c r="A188" s="32" t="s">
        <v>450</v>
      </c>
      <c r="B188" s="33"/>
      <c r="C188" s="1020" t="s">
        <v>1831</v>
      </c>
      <c r="D188" s="1020"/>
      <c r="E188" s="1020"/>
      <c r="F188" s="1020"/>
      <c r="G188" s="1020"/>
      <c r="H188" s="1020"/>
      <c r="I188" s="1020"/>
      <c r="J188" s="1020"/>
      <c r="K188" s="1020"/>
      <c r="L188" s="1020"/>
      <c r="M188" s="1020"/>
      <c r="N188" s="1020"/>
      <c r="O188" s="1020"/>
      <c r="P188" s="1020"/>
      <c r="Q188" s="1020"/>
      <c r="R188" s="1020"/>
      <c r="S188" s="1020"/>
      <c r="T188" s="1020"/>
      <c r="W188" s="196"/>
      <c r="X188" s="196"/>
      <c r="Y188" s="512"/>
      <c r="Z188" s="512"/>
    </row>
    <row r="189" spans="1:41" s="31" customFormat="1" ht="15" customHeight="1">
      <c r="A189" s="32"/>
      <c r="B189" s="664"/>
      <c r="C189" s="1020"/>
      <c r="D189" s="1020"/>
      <c r="E189" s="1020"/>
      <c r="F189" s="1020"/>
      <c r="G189" s="1020"/>
      <c r="H189" s="1020"/>
      <c r="I189" s="1020"/>
      <c r="J189" s="1020"/>
      <c r="K189" s="1020"/>
      <c r="L189" s="1020"/>
      <c r="M189" s="1020"/>
      <c r="N189" s="1020"/>
      <c r="O189" s="1020"/>
      <c r="P189" s="1020"/>
      <c r="Q189" s="1020"/>
      <c r="R189" s="1020"/>
      <c r="S189" s="1020"/>
      <c r="T189" s="1020"/>
      <c r="W189" s="196"/>
      <c r="X189" s="196"/>
      <c r="Y189" s="512"/>
      <c r="Z189" s="512"/>
    </row>
    <row r="190" spans="1:41" s="31" customFormat="1" ht="15" customHeight="1">
      <c r="A190" s="32" t="s">
        <v>452</v>
      </c>
      <c r="B190" s="33"/>
      <c r="C190" s="1020" t="s">
        <v>1775</v>
      </c>
      <c r="D190" s="1020"/>
      <c r="E190" s="1020"/>
      <c r="F190" s="1020"/>
      <c r="G190" s="1020"/>
      <c r="H190" s="1020"/>
      <c r="I190" s="1020"/>
      <c r="J190" s="1020"/>
      <c r="K190" s="1020"/>
      <c r="L190" s="1020"/>
      <c r="M190" s="1020"/>
      <c r="N190" s="1020"/>
      <c r="O190" s="1020"/>
      <c r="P190" s="1020"/>
      <c r="Q190" s="1020"/>
      <c r="R190" s="1020"/>
      <c r="S190" s="1020"/>
      <c r="T190" s="1020"/>
      <c r="W190" s="196"/>
      <c r="X190" s="196"/>
      <c r="Y190" s="512"/>
      <c r="Z190" s="512"/>
    </row>
    <row r="191" spans="1:41" s="31" customFormat="1" ht="15" customHeight="1">
      <c r="A191" s="32"/>
      <c r="B191" s="664"/>
      <c r="C191" s="1020"/>
      <c r="D191" s="1020"/>
      <c r="E191" s="1020"/>
      <c r="F191" s="1020"/>
      <c r="G191" s="1020"/>
      <c r="H191" s="1020"/>
      <c r="I191" s="1020"/>
      <c r="J191" s="1020"/>
      <c r="K191" s="1020"/>
      <c r="L191" s="1020"/>
      <c r="M191" s="1020"/>
      <c r="N191" s="1020"/>
      <c r="O191" s="1020"/>
      <c r="P191" s="1020"/>
      <c r="Q191" s="1020"/>
      <c r="R191" s="1020"/>
      <c r="S191" s="1020"/>
      <c r="T191" s="1020"/>
      <c r="W191" s="196"/>
      <c r="X191" s="196"/>
      <c r="Y191" s="512"/>
      <c r="Z191" s="512"/>
    </row>
    <row r="192" spans="1:41" s="31" customFormat="1" ht="15" customHeight="1">
      <c r="A192" s="32"/>
      <c r="B192" s="664"/>
      <c r="C192" s="1020"/>
      <c r="D192" s="1020"/>
      <c r="E192" s="1020"/>
      <c r="F192" s="1020"/>
      <c r="G192" s="1020"/>
      <c r="H192" s="1020"/>
      <c r="I192" s="1020"/>
      <c r="J192" s="1020"/>
      <c r="K192" s="1020"/>
      <c r="L192" s="1020"/>
      <c r="M192" s="1020"/>
      <c r="N192" s="1020"/>
      <c r="O192" s="1020"/>
      <c r="P192" s="1020"/>
      <c r="Q192" s="1020"/>
      <c r="R192" s="1020"/>
      <c r="S192" s="1020"/>
      <c r="T192" s="1020"/>
      <c r="W192" s="196"/>
      <c r="X192" s="196"/>
      <c r="Y192" s="512"/>
      <c r="Z192" s="512"/>
    </row>
    <row r="193" spans="1:41" s="31" customFormat="1" ht="15" customHeight="1">
      <c r="A193" s="32" t="s">
        <v>476</v>
      </c>
      <c r="B193" s="33"/>
      <c r="C193" s="1018" t="s">
        <v>1774</v>
      </c>
      <c r="D193" s="1018"/>
      <c r="E193" s="1018"/>
      <c r="F193" s="1018"/>
      <c r="G193" s="1018"/>
      <c r="H193" s="1018"/>
      <c r="I193" s="1018"/>
      <c r="J193" s="1018"/>
      <c r="K193" s="1018"/>
      <c r="L193" s="1018"/>
      <c r="M193" s="1018"/>
      <c r="N193" s="1018"/>
      <c r="O193" s="1018"/>
      <c r="P193" s="1018"/>
      <c r="Q193" s="1018"/>
      <c r="R193" s="1018"/>
      <c r="S193" s="1018"/>
      <c r="T193" s="1018"/>
      <c r="V193" s="196"/>
      <c r="W193" s="33"/>
      <c r="X193" s="33"/>
      <c r="Y193" s="33"/>
      <c r="Z193" s="33"/>
      <c r="AA193" s="33"/>
      <c r="AB193" s="33"/>
      <c r="AC193" s="33"/>
      <c r="AD193" s="33"/>
      <c r="AE193" s="33"/>
      <c r="AF193" s="33"/>
      <c r="AG193" s="33"/>
      <c r="AH193" s="33"/>
      <c r="AI193" s="33"/>
      <c r="AJ193" s="33"/>
      <c r="AK193" s="33"/>
      <c r="AL193" s="33"/>
      <c r="AM193" s="33"/>
      <c r="AN193" s="33"/>
      <c r="AO193" s="33"/>
    </row>
    <row r="194" spans="1:41" s="31" customFormat="1" ht="15" customHeight="1">
      <c r="A194" s="665"/>
      <c r="B194" s="718"/>
      <c r="C194" s="1018"/>
      <c r="D194" s="1018"/>
      <c r="E194" s="1018"/>
      <c r="F194" s="1018"/>
      <c r="G194" s="1018"/>
      <c r="H194" s="1018"/>
      <c r="I194" s="1018"/>
      <c r="J194" s="1018"/>
      <c r="K194" s="1018"/>
      <c r="L194" s="1018"/>
      <c r="M194" s="1018"/>
      <c r="N194" s="1018"/>
      <c r="O194" s="1018"/>
      <c r="P194" s="1018"/>
      <c r="Q194" s="1018"/>
      <c r="R194" s="1018"/>
      <c r="S194" s="1018"/>
      <c r="T194" s="1018"/>
      <c r="V194" s="196"/>
      <c r="W194" s="33"/>
      <c r="X194" s="33"/>
      <c r="Y194" s="33"/>
      <c r="Z194" s="33"/>
      <c r="AA194" s="33"/>
      <c r="AB194" s="33"/>
      <c r="AC194" s="33"/>
      <c r="AD194" s="33"/>
      <c r="AE194" s="33"/>
      <c r="AF194" s="33"/>
      <c r="AG194" s="33"/>
      <c r="AH194" s="33"/>
      <c r="AI194" s="33"/>
      <c r="AJ194" s="33"/>
      <c r="AK194" s="33"/>
      <c r="AL194" s="33"/>
      <c r="AM194" s="33"/>
      <c r="AN194" s="33"/>
      <c r="AO194" s="33"/>
    </row>
    <row r="195" spans="1:41" s="31" customFormat="1" ht="15" customHeight="1">
      <c r="A195" s="665"/>
      <c r="B195" s="718"/>
      <c r="C195" s="718"/>
      <c r="D195" s="718"/>
      <c r="E195" s="718"/>
      <c r="F195" s="718"/>
      <c r="G195" s="718"/>
      <c r="H195" s="718"/>
      <c r="I195" s="718"/>
      <c r="J195" s="718"/>
      <c r="K195" s="718"/>
      <c r="L195" s="718"/>
      <c r="M195" s="718"/>
      <c r="N195" s="718"/>
      <c r="O195" s="718"/>
      <c r="P195" s="718"/>
      <c r="Q195" s="718"/>
      <c r="R195" s="718"/>
      <c r="S195" s="718"/>
      <c r="T195" s="713"/>
      <c r="V195" s="196"/>
      <c r="W195" s="33"/>
      <c r="X195" s="33"/>
      <c r="Y195" s="33"/>
      <c r="Z195" s="33"/>
      <c r="AA195" s="33"/>
      <c r="AB195" s="33"/>
      <c r="AC195" s="33"/>
      <c r="AD195" s="33"/>
      <c r="AE195" s="33"/>
      <c r="AF195" s="33"/>
      <c r="AG195" s="33"/>
      <c r="AH195" s="33"/>
      <c r="AI195" s="33"/>
      <c r="AJ195" s="33"/>
      <c r="AK195" s="33"/>
      <c r="AL195" s="33"/>
      <c r="AM195" s="33"/>
      <c r="AN195" s="33"/>
      <c r="AO195" s="33"/>
    </row>
    <row r="196" spans="1:41" s="31" customFormat="1" ht="15" customHeight="1">
      <c r="A196" s="31" t="s">
        <v>1777</v>
      </c>
      <c r="B196" s="32"/>
      <c r="C196" s="32"/>
    </row>
    <row r="197" spans="1:41" s="31" customFormat="1" ht="15" customHeight="1">
      <c r="B197" s="40" t="s">
        <v>75</v>
      </c>
      <c r="C197" s="32" t="s">
        <v>458</v>
      </c>
    </row>
    <row r="198" spans="1:41" s="31" customFormat="1" ht="15" customHeight="1">
      <c r="B198" s="40" t="s">
        <v>75</v>
      </c>
      <c r="C198" s="1093" t="s">
        <v>459</v>
      </c>
      <c r="D198" s="1093"/>
      <c r="E198" s="1093"/>
      <c r="F198" s="1093"/>
      <c r="G198" s="1093"/>
      <c r="H198" s="1093"/>
      <c r="I198" s="1093"/>
      <c r="J198" s="1093"/>
      <c r="K198" s="1093"/>
      <c r="L198" s="1093"/>
      <c r="M198" s="1093"/>
      <c r="N198" s="1093"/>
      <c r="O198" s="1093"/>
      <c r="P198" s="1093"/>
      <c r="Q198" s="1093"/>
      <c r="R198" s="1093"/>
      <c r="S198" s="1093"/>
      <c r="T198" s="1093"/>
    </row>
    <row r="199" spans="1:41" s="31" customFormat="1" ht="15" customHeight="1">
      <c r="B199" s="32"/>
      <c r="C199" s="1093"/>
      <c r="D199" s="1093"/>
      <c r="E199" s="1093"/>
      <c r="F199" s="1093"/>
      <c r="G199" s="1093"/>
      <c r="H199" s="1093"/>
      <c r="I199" s="1093"/>
      <c r="J199" s="1093"/>
      <c r="K199" s="1093"/>
      <c r="L199" s="1093"/>
      <c r="M199" s="1093"/>
      <c r="N199" s="1093"/>
      <c r="O199" s="1093"/>
      <c r="P199" s="1093"/>
      <c r="Q199" s="1093"/>
      <c r="R199" s="1093"/>
      <c r="S199" s="1093"/>
      <c r="T199" s="1093"/>
    </row>
    <row r="200" spans="1:41" s="31" customFormat="1" ht="15" customHeight="1">
      <c r="B200" s="40" t="s">
        <v>75</v>
      </c>
      <c r="C200" s="32" t="s">
        <v>460</v>
      </c>
    </row>
    <row r="201" spans="1:41" s="31" customFormat="1" ht="15" customHeight="1">
      <c r="B201" s="40" t="s">
        <v>75</v>
      </c>
      <c r="C201" s="32" t="s">
        <v>461</v>
      </c>
    </row>
    <row r="202" spans="1:41" s="31" customFormat="1" ht="15" customHeight="1">
      <c r="B202" s="40" t="s">
        <v>75</v>
      </c>
      <c r="C202" s="32" t="s">
        <v>462</v>
      </c>
      <c r="U202" s="32"/>
    </row>
    <row r="203" spans="1:41" s="31" customFormat="1" ht="15" customHeight="1">
      <c r="B203" s="40" t="s">
        <v>75</v>
      </c>
      <c r="C203" s="1093" t="s">
        <v>463</v>
      </c>
      <c r="D203" s="1093"/>
      <c r="E203" s="1093"/>
      <c r="F203" s="1093"/>
      <c r="G203" s="1093"/>
      <c r="H203" s="1093"/>
      <c r="I203" s="1093"/>
      <c r="J203" s="1093"/>
      <c r="K203" s="1093"/>
      <c r="L203" s="1093"/>
      <c r="M203" s="1093"/>
      <c r="N203" s="1093"/>
      <c r="O203" s="1093"/>
      <c r="P203" s="1093"/>
      <c r="Q203" s="1093"/>
      <c r="R203" s="1093"/>
      <c r="S203" s="1093"/>
      <c r="T203" s="1093"/>
    </row>
    <row r="204" spans="1:41" s="31" customFormat="1" ht="30" customHeight="1">
      <c r="B204" s="40" t="s">
        <v>75</v>
      </c>
      <c r="C204" s="1093" t="s">
        <v>464</v>
      </c>
      <c r="D204" s="1093"/>
      <c r="E204" s="1093"/>
      <c r="F204" s="1093"/>
      <c r="G204" s="1093"/>
      <c r="H204" s="1093"/>
      <c r="I204" s="1093"/>
      <c r="J204" s="1093"/>
      <c r="K204" s="1093"/>
      <c r="L204" s="1093"/>
      <c r="M204" s="1093"/>
      <c r="N204" s="1093"/>
      <c r="O204" s="1093"/>
      <c r="P204" s="1093"/>
      <c r="Q204" s="1093"/>
      <c r="R204" s="1093"/>
      <c r="S204" s="1093"/>
      <c r="T204" s="1093"/>
      <c r="U204" s="196"/>
    </row>
    <row r="205" spans="1:41" s="31" customFormat="1" ht="15" customHeight="1"/>
    <row r="206" spans="1:41" s="31" customFormat="1" ht="15" customHeight="1">
      <c r="A206" s="31" t="s">
        <v>1778</v>
      </c>
      <c r="B206" s="32"/>
      <c r="C206" s="32"/>
    </row>
    <row r="207" spans="1:41" s="31" customFormat="1" ht="15" customHeight="1">
      <c r="A207" s="32" t="s">
        <v>448</v>
      </c>
      <c r="B207" s="32"/>
      <c r="C207" s="32" t="s">
        <v>466</v>
      </c>
      <c r="D207" s="34"/>
      <c r="E207" s="34"/>
      <c r="F207" s="34"/>
      <c r="G207" s="34"/>
      <c r="H207" s="34"/>
      <c r="I207" s="34"/>
      <c r="J207" s="34"/>
      <c r="K207" s="34"/>
      <c r="L207" s="34"/>
      <c r="M207" s="34"/>
      <c r="N207" s="34"/>
      <c r="O207" s="34"/>
      <c r="P207" s="34"/>
      <c r="Q207" s="34"/>
      <c r="R207" s="34"/>
      <c r="S207" s="34"/>
      <c r="T207" s="34"/>
    </row>
    <row r="208" spans="1:41" s="31" customFormat="1" ht="15" customHeight="1">
      <c r="B208" s="163" t="s">
        <v>393</v>
      </c>
      <c r="C208" s="1013" t="s">
        <v>467</v>
      </c>
      <c r="D208" s="1013"/>
      <c r="E208" s="1013"/>
      <c r="F208" s="1013"/>
      <c r="G208" s="1013"/>
      <c r="H208" s="1013"/>
      <c r="I208" s="1013"/>
      <c r="J208" s="1013"/>
      <c r="K208" s="1013"/>
      <c r="L208" s="1013"/>
      <c r="M208" s="1013"/>
      <c r="N208" s="1013"/>
      <c r="O208" s="1013"/>
      <c r="P208" s="1013"/>
      <c r="Q208" s="1013"/>
      <c r="R208" s="1013"/>
      <c r="S208" s="1013"/>
      <c r="T208" s="1013"/>
    </row>
    <row r="209" spans="1:20" s="31" customFormat="1" ht="15" customHeight="1">
      <c r="A209" s="33"/>
      <c r="B209" s="33"/>
      <c r="C209" s="1013"/>
      <c r="D209" s="1013"/>
      <c r="E209" s="1013"/>
      <c r="F209" s="1013"/>
      <c r="G209" s="1013"/>
      <c r="H209" s="1013"/>
      <c r="I209" s="1013"/>
      <c r="J209" s="1013"/>
      <c r="K209" s="1013"/>
      <c r="L209" s="1013"/>
      <c r="M209" s="1013"/>
      <c r="N209" s="1013"/>
      <c r="O209" s="1013"/>
      <c r="P209" s="1013"/>
      <c r="Q209" s="1013"/>
      <c r="R209" s="1013"/>
      <c r="S209" s="1013"/>
      <c r="T209" s="1013"/>
    </row>
    <row r="210" spans="1:20" s="31" customFormat="1" ht="15" customHeight="1">
      <c r="B210" s="162" t="s">
        <v>395</v>
      </c>
      <c r="C210" s="1013" t="s">
        <v>468</v>
      </c>
      <c r="D210" s="1013"/>
      <c r="E210" s="1013"/>
      <c r="F210" s="1013"/>
      <c r="G210" s="1013"/>
      <c r="H210" s="1013"/>
      <c r="I210" s="1013"/>
      <c r="J210" s="1013"/>
      <c r="K210" s="1013"/>
      <c r="L210" s="1013"/>
      <c r="M210" s="1013"/>
      <c r="N210" s="1013"/>
      <c r="O210" s="1013"/>
      <c r="P210" s="1013"/>
      <c r="Q210" s="1013"/>
      <c r="R210" s="1013"/>
      <c r="S210" s="1013"/>
      <c r="T210" s="1013"/>
    </row>
    <row r="211" spans="1:20" s="31" customFormat="1" ht="15" customHeight="1">
      <c r="A211" s="33"/>
      <c r="B211" s="33"/>
      <c r="C211" s="1013"/>
      <c r="D211" s="1013"/>
      <c r="E211" s="1013"/>
      <c r="F211" s="1013"/>
      <c r="G211" s="1013"/>
      <c r="H211" s="1013"/>
      <c r="I211" s="1013"/>
      <c r="J211" s="1013"/>
      <c r="K211" s="1013"/>
      <c r="L211" s="1013"/>
      <c r="M211" s="1013"/>
      <c r="N211" s="1013"/>
      <c r="O211" s="1013"/>
      <c r="P211" s="1013"/>
      <c r="Q211" s="1013"/>
      <c r="R211" s="1013"/>
      <c r="S211" s="1013"/>
      <c r="T211" s="1013"/>
    </row>
    <row r="212" spans="1:20" s="31" customFormat="1" ht="15" customHeight="1">
      <c r="B212" s="162" t="s">
        <v>397</v>
      </c>
      <c r="C212" s="1013" t="s">
        <v>469</v>
      </c>
      <c r="D212" s="1013"/>
      <c r="E212" s="1013"/>
      <c r="F212" s="1013"/>
      <c r="G212" s="1013"/>
      <c r="H212" s="1013"/>
      <c r="I212" s="1013"/>
      <c r="J212" s="1013"/>
      <c r="K212" s="1013"/>
      <c r="L212" s="1013"/>
      <c r="M212" s="1013"/>
      <c r="N212" s="1013"/>
      <c r="O212" s="1013"/>
      <c r="P212" s="1013"/>
      <c r="Q212" s="1013"/>
      <c r="R212" s="1013"/>
      <c r="S212" s="1013"/>
      <c r="T212" s="1013"/>
    </row>
    <row r="213" spans="1:20" s="31" customFormat="1" ht="15" customHeight="1">
      <c r="A213" s="33"/>
      <c r="B213" s="33"/>
      <c r="C213" s="1013"/>
      <c r="D213" s="1013"/>
      <c r="E213" s="1013"/>
      <c r="F213" s="1013"/>
      <c r="G213" s="1013"/>
      <c r="H213" s="1013"/>
      <c r="I213" s="1013"/>
      <c r="J213" s="1013"/>
      <c r="K213" s="1013"/>
      <c r="L213" s="1013"/>
      <c r="M213" s="1013"/>
      <c r="N213" s="1013"/>
      <c r="O213" s="1013"/>
      <c r="P213" s="1013"/>
      <c r="Q213" s="1013"/>
      <c r="R213" s="1013"/>
      <c r="S213" s="1013"/>
      <c r="T213" s="1013"/>
    </row>
    <row r="214" spans="1:20" s="31" customFormat="1" ht="15" customHeight="1">
      <c r="A214" s="33"/>
      <c r="B214" s="33"/>
      <c r="C214" s="1013"/>
      <c r="D214" s="1013"/>
      <c r="E214" s="1013"/>
      <c r="F214" s="1013"/>
      <c r="G214" s="1013"/>
      <c r="H214" s="1013"/>
      <c r="I214" s="1013"/>
      <c r="J214" s="1013"/>
      <c r="K214" s="1013"/>
      <c r="L214" s="1013"/>
      <c r="M214" s="1013"/>
      <c r="N214" s="1013"/>
      <c r="O214" s="1013"/>
      <c r="P214" s="1013"/>
      <c r="Q214" s="1013"/>
      <c r="R214" s="1013"/>
      <c r="S214" s="1013"/>
      <c r="T214" s="1013"/>
    </row>
    <row r="215" spans="1:20" s="31" customFormat="1" ht="15" customHeight="1">
      <c r="A215" s="32" t="s">
        <v>450</v>
      </c>
      <c r="B215" s="32"/>
      <c r="C215" s="32" t="s">
        <v>470</v>
      </c>
    </row>
    <row r="216" spans="1:20" s="31" customFormat="1" ht="15" customHeight="1">
      <c r="B216" s="1013" t="s">
        <v>471</v>
      </c>
      <c r="C216" s="1013"/>
      <c r="D216" s="1013"/>
      <c r="E216" s="1013"/>
      <c r="F216" s="1013"/>
      <c r="G216" s="1013"/>
      <c r="H216" s="1013"/>
      <c r="I216" s="1013"/>
      <c r="J216" s="1013"/>
      <c r="K216" s="1013"/>
      <c r="L216" s="1013"/>
      <c r="M216" s="1013"/>
      <c r="N216" s="1013"/>
      <c r="O216" s="1013"/>
      <c r="P216" s="1013"/>
      <c r="Q216" s="1013"/>
      <c r="R216" s="1013"/>
      <c r="S216" s="1013"/>
      <c r="T216" s="1013"/>
    </row>
    <row r="217" spans="1:20" s="31" customFormat="1" ht="15" customHeight="1">
      <c r="A217" s="33"/>
      <c r="B217" s="1013"/>
      <c r="C217" s="1013"/>
      <c r="D217" s="1013"/>
      <c r="E217" s="1013"/>
      <c r="F217" s="1013"/>
      <c r="G217" s="1013"/>
      <c r="H217" s="1013"/>
      <c r="I217" s="1013"/>
      <c r="J217" s="1013"/>
      <c r="K217" s="1013"/>
      <c r="L217" s="1013"/>
      <c r="M217" s="1013"/>
      <c r="N217" s="1013"/>
      <c r="O217" s="1013"/>
      <c r="P217" s="1013"/>
      <c r="Q217" s="1013"/>
      <c r="R217" s="1013"/>
      <c r="S217" s="1013"/>
      <c r="T217" s="1013"/>
    </row>
    <row r="218" spans="1:20" s="31" customFormat="1" ht="15" customHeight="1">
      <c r="A218" s="33"/>
      <c r="B218" s="1013"/>
      <c r="C218" s="1013"/>
      <c r="D218" s="1013"/>
      <c r="E218" s="1013"/>
      <c r="F218" s="1013"/>
      <c r="G218" s="1013"/>
      <c r="H218" s="1013"/>
      <c r="I218" s="1013"/>
      <c r="J218" s="1013"/>
      <c r="K218" s="1013"/>
      <c r="L218" s="1013"/>
      <c r="M218" s="1013"/>
      <c r="N218" s="1013"/>
      <c r="O218" s="1013"/>
      <c r="P218" s="1013"/>
      <c r="Q218" s="1013"/>
      <c r="R218" s="1013"/>
      <c r="S218" s="1013"/>
      <c r="T218" s="1013"/>
    </row>
    <row r="219" spans="1:20" s="31" customFormat="1" ht="15" customHeight="1">
      <c r="A219" s="33"/>
      <c r="B219" s="1013"/>
      <c r="C219" s="1013"/>
      <c r="D219" s="1013"/>
      <c r="E219" s="1013"/>
      <c r="F219" s="1013"/>
      <c r="G219" s="1013"/>
      <c r="H219" s="1013"/>
      <c r="I219" s="1013"/>
      <c r="J219" s="1013"/>
      <c r="K219" s="1013"/>
      <c r="L219" s="1013"/>
      <c r="M219" s="1013"/>
      <c r="N219" s="1013"/>
      <c r="O219" s="1013"/>
      <c r="P219" s="1013"/>
      <c r="Q219" s="1013"/>
      <c r="R219" s="1013"/>
      <c r="S219" s="1013"/>
      <c r="T219" s="1013"/>
    </row>
    <row r="220" spans="1:20" s="31" customFormat="1" ht="15" customHeight="1">
      <c r="A220" s="32" t="s">
        <v>452</v>
      </c>
      <c r="B220" s="32"/>
      <c r="C220" s="32" t="s">
        <v>472</v>
      </c>
    </row>
    <row r="221" spans="1:20" s="31" customFormat="1" ht="15" customHeight="1">
      <c r="B221" s="163" t="s">
        <v>393</v>
      </c>
      <c r="C221" s="1093" t="s">
        <v>473</v>
      </c>
      <c r="D221" s="1093"/>
      <c r="E221" s="1093"/>
      <c r="F221" s="1093"/>
      <c r="G221" s="1093"/>
      <c r="H221" s="1093"/>
      <c r="I221" s="1093"/>
      <c r="J221" s="1093"/>
      <c r="K221" s="1093"/>
      <c r="L221" s="1093"/>
      <c r="M221" s="1093"/>
      <c r="N221" s="1093"/>
      <c r="O221" s="1093"/>
      <c r="P221" s="1093"/>
      <c r="Q221" s="1093"/>
      <c r="R221" s="1093"/>
      <c r="S221" s="1093"/>
      <c r="T221" s="1093"/>
    </row>
    <row r="222" spans="1:20" s="31" customFormat="1" ht="15" customHeight="1">
      <c r="B222" s="34"/>
      <c r="C222" s="1093"/>
      <c r="D222" s="1093"/>
      <c r="E222" s="1093"/>
      <c r="F222" s="1093"/>
      <c r="G222" s="1093"/>
      <c r="H222" s="1093"/>
      <c r="I222" s="1093"/>
      <c r="J222" s="1093"/>
      <c r="K222" s="1093"/>
      <c r="L222" s="1093"/>
      <c r="M222" s="1093"/>
      <c r="N222" s="1093"/>
      <c r="O222" s="1093"/>
      <c r="P222" s="1093"/>
      <c r="Q222" s="1093"/>
      <c r="R222" s="1093"/>
      <c r="S222" s="1093"/>
      <c r="T222" s="1093"/>
    </row>
    <row r="223" spans="1:20" s="31" customFormat="1" ht="15" customHeight="1">
      <c r="B223" s="162" t="s">
        <v>395</v>
      </c>
      <c r="C223" s="1093" t="s">
        <v>474</v>
      </c>
      <c r="D223" s="1093"/>
      <c r="E223" s="1093"/>
      <c r="F223" s="1093"/>
      <c r="G223" s="1093"/>
      <c r="H223" s="1093"/>
      <c r="I223" s="1093"/>
      <c r="J223" s="1093"/>
      <c r="K223" s="1093"/>
      <c r="L223" s="1093"/>
      <c r="M223" s="1093"/>
      <c r="N223" s="1093"/>
      <c r="O223" s="1093"/>
      <c r="P223" s="1093"/>
      <c r="Q223" s="1093"/>
      <c r="R223" s="1093"/>
      <c r="S223" s="1093"/>
      <c r="T223" s="1093"/>
    </row>
    <row r="224" spans="1:20" s="31" customFormat="1" ht="15" customHeight="1">
      <c r="B224" s="162" t="s">
        <v>397</v>
      </c>
      <c r="C224" s="1093" t="s">
        <v>475</v>
      </c>
      <c r="D224" s="1093"/>
      <c r="E224" s="1093"/>
      <c r="F224" s="1093"/>
      <c r="G224" s="1093"/>
      <c r="H224" s="1093"/>
      <c r="I224" s="1093"/>
      <c r="J224" s="1093"/>
      <c r="K224" s="1093"/>
      <c r="L224" s="1093"/>
      <c r="M224" s="1093"/>
      <c r="N224" s="1093"/>
      <c r="O224" s="1093"/>
      <c r="P224" s="1093"/>
      <c r="Q224" s="1093"/>
      <c r="R224" s="1093"/>
      <c r="S224" s="1093"/>
      <c r="T224" s="1093"/>
    </row>
    <row r="225" spans="1:20" s="31" customFormat="1" ht="15" customHeight="1">
      <c r="B225" s="32"/>
      <c r="C225" s="1093"/>
      <c r="D225" s="1093"/>
      <c r="E225" s="1093"/>
      <c r="F225" s="1093"/>
      <c r="G225" s="1093"/>
      <c r="H225" s="1093"/>
      <c r="I225" s="1093"/>
      <c r="J225" s="1093"/>
      <c r="K225" s="1093"/>
      <c r="L225" s="1093"/>
      <c r="M225" s="1093"/>
      <c r="N225" s="1093"/>
      <c r="O225" s="1093"/>
      <c r="P225" s="1093"/>
      <c r="Q225" s="1093"/>
      <c r="R225" s="1093"/>
      <c r="S225" s="1093"/>
      <c r="T225" s="1093"/>
    </row>
    <row r="226" spans="1:20" s="31" customFormat="1" ht="15" customHeight="1">
      <c r="B226" s="32"/>
      <c r="C226" s="1093"/>
      <c r="D226" s="1093"/>
      <c r="E226" s="1093"/>
      <c r="F226" s="1093"/>
      <c r="G226" s="1093"/>
      <c r="H226" s="1093"/>
      <c r="I226" s="1093"/>
      <c r="J226" s="1093"/>
      <c r="K226" s="1093"/>
      <c r="L226" s="1093"/>
      <c r="M226" s="1093"/>
      <c r="N226" s="1093"/>
      <c r="O226" s="1093"/>
      <c r="P226" s="1093"/>
      <c r="Q226" s="1093"/>
      <c r="R226" s="1093"/>
      <c r="S226" s="1093"/>
      <c r="T226" s="1093"/>
    </row>
    <row r="227" spans="1:20" s="31" customFormat="1" ht="15" customHeight="1">
      <c r="B227" s="32"/>
      <c r="C227" s="1093"/>
      <c r="D227" s="1093"/>
      <c r="E227" s="1093"/>
      <c r="F227" s="1093"/>
      <c r="G227" s="1093"/>
      <c r="H227" s="1093"/>
      <c r="I227" s="1093"/>
      <c r="J227" s="1093"/>
      <c r="K227" s="1093"/>
      <c r="L227" s="1093"/>
      <c r="M227" s="1093"/>
      <c r="N227" s="1093"/>
      <c r="O227" s="1093"/>
      <c r="P227" s="1093"/>
      <c r="Q227" s="1093"/>
      <c r="R227" s="1093"/>
      <c r="S227" s="1093"/>
      <c r="T227" s="1093"/>
    </row>
    <row r="228" spans="1:20" s="31" customFormat="1" ht="15" customHeight="1">
      <c r="A228" s="32" t="s">
        <v>476</v>
      </c>
      <c r="B228" s="32"/>
      <c r="C228" s="32" t="s">
        <v>477</v>
      </c>
    </row>
    <row r="229" spans="1:20" s="31" customFormat="1" ht="15" customHeight="1">
      <c r="B229" s="163" t="s">
        <v>393</v>
      </c>
      <c r="C229" s="1093" t="s">
        <v>478</v>
      </c>
      <c r="D229" s="1093"/>
      <c r="E229" s="1093"/>
      <c r="F229" s="1093"/>
      <c r="G229" s="1093"/>
      <c r="H229" s="1093"/>
      <c r="I229" s="1093"/>
      <c r="J229" s="1093"/>
      <c r="K229" s="1093"/>
      <c r="L229" s="1093"/>
      <c r="M229" s="1093"/>
      <c r="N229" s="1093"/>
      <c r="O229" s="1093"/>
      <c r="P229" s="1093"/>
      <c r="Q229" s="1093"/>
      <c r="R229" s="1093"/>
      <c r="S229" s="1093"/>
      <c r="T229" s="1093"/>
    </row>
    <row r="230" spans="1:20" s="31" customFormat="1" ht="15" customHeight="1">
      <c r="B230" s="32"/>
      <c r="C230" s="1093"/>
      <c r="D230" s="1093"/>
      <c r="E230" s="1093"/>
      <c r="F230" s="1093"/>
      <c r="G230" s="1093"/>
      <c r="H230" s="1093"/>
      <c r="I230" s="1093"/>
      <c r="J230" s="1093"/>
      <c r="K230" s="1093"/>
      <c r="L230" s="1093"/>
      <c r="M230" s="1093"/>
      <c r="N230" s="1093"/>
      <c r="O230" s="1093"/>
      <c r="P230" s="1093"/>
      <c r="Q230" s="1093"/>
      <c r="R230" s="1093"/>
      <c r="S230" s="1093"/>
      <c r="T230" s="1093"/>
    </row>
    <row r="231" spans="1:20" s="31" customFormat="1" ht="15" customHeight="1">
      <c r="B231" s="162" t="s">
        <v>395</v>
      </c>
      <c r="C231" s="1093" t="s">
        <v>479</v>
      </c>
      <c r="D231" s="1093"/>
      <c r="E231" s="1093"/>
      <c r="F231" s="1093"/>
      <c r="G231" s="1093"/>
      <c r="H231" s="1093"/>
      <c r="I231" s="1093"/>
      <c r="J231" s="1093"/>
      <c r="K231" s="1093"/>
      <c r="L231" s="1093"/>
      <c r="M231" s="1093"/>
      <c r="N231" s="1093"/>
      <c r="O231" s="1093"/>
      <c r="P231" s="1093"/>
      <c r="Q231" s="1093"/>
      <c r="R231" s="1093"/>
      <c r="S231" s="1093"/>
      <c r="T231" s="1093"/>
    </row>
    <row r="232" spans="1:20" s="31" customFormat="1" ht="15" customHeight="1">
      <c r="B232" s="32"/>
      <c r="C232" s="1093"/>
      <c r="D232" s="1093"/>
      <c r="E232" s="1093"/>
      <c r="F232" s="1093"/>
      <c r="G232" s="1093"/>
      <c r="H232" s="1093"/>
      <c r="I232" s="1093"/>
      <c r="J232" s="1093"/>
      <c r="K232" s="1093"/>
      <c r="L232" s="1093"/>
      <c r="M232" s="1093"/>
      <c r="N232" s="1093"/>
      <c r="O232" s="1093"/>
      <c r="P232" s="1093"/>
      <c r="Q232" s="1093"/>
      <c r="R232" s="1093"/>
      <c r="S232" s="1093"/>
      <c r="T232" s="1093"/>
    </row>
    <row r="233" spans="1:20" s="31" customFormat="1" ht="15" customHeight="1">
      <c r="A233" s="32" t="s">
        <v>480</v>
      </c>
      <c r="B233" s="32"/>
      <c r="C233" s="32" t="s">
        <v>481</v>
      </c>
    </row>
    <row r="234" spans="1:20" s="31" customFormat="1" ht="15" customHeight="1">
      <c r="B234" s="163"/>
      <c r="C234" s="1093" t="s">
        <v>482</v>
      </c>
      <c r="D234" s="1093"/>
      <c r="E234" s="1093"/>
      <c r="F234" s="1093"/>
      <c r="G234" s="1093"/>
      <c r="H234" s="1093"/>
      <c r="I234" s="1093"/>
      <c r="J234" s="1093"/>
      <c r="K234" s="1093"/>
      <c r="L234" s="1093"/>
      <c r="M234" s="1093"/>
      <c r="N234" s="1093"/>
      <c r="O234" s="1093"/>
      <c r="P234" s="1093"/>
      <c r="Q234" s="1093"/>
      <c r="R234" s="1093"/>
      <c r="S234" s="1093"/>
      <c r="T234" s="1093"/>
    </row>
    <row r="235" spans="1:20" s="31" customFormat="1" ht="15" customHeight="1">
      <c r="B235" s="163"/>
      <c r="C235" s="1093"/>
      <c r="D235" s="1093"/>
      <c r="E235" s="1093"/>
      <c r="F235" s="1093"/>
      <c r="G235" s="1093"/>
      <c r="H235" s="1093"/>
      <c r="I235" s="1093"/>
      <c r="J235" s="1093"/>
      <c r="K235" s="1093"/>
      <c r="L235" s="1093"/>
      <c r="M235" s="1093"/>
      <c r="N235" s="1093"/>
      <c r="O235" s="1093"/>
      <c r="P235" s="1093"/>
      <c r="Q235" s="1093"/>
      <c r="R235" s="1093"/>
      <c r="S235" s="1093"/>
      <c r="T235" s="1093"/>
    </row>
    <row r="236" spans="1:20" s="31" customFormat="1" ht="15" customHeight="1">
      <c r="B236" s="34"/>
      <c r="C236" s="1093"/>
      <c r="D236" s="1093"/>
      <c r="E236" s="1093"/>
      <c r="F236" s="1093"/>
      <c r="G236" s="1093"/>
      <c r="H236" s="1093"/>
      <c r="I236" s="1093"/>
      <c r="J236" s="1093"/>
      <c r="K236" s="1093"/>
      <c r="L236" s="1093"/>
      <c r="M236" s="1093"/>
      <c r="N236" s="1093"/>
      <c r="O236" s="1093"/>
      <c r="P236" s="1093"/>
      <c r="Q236" s="1093"/>
      <c r="R236" s="1093"/>
      <c r="S236" s="1093"/>
      <c r="T236" s="1093"/>
    </row>
    <row r="237" spans="1:20" s="31" customFormat="1" ht="15" customHeight="1">
      <c r="A237" s="32" t="s">
        <v>483</v>
      </c>
      <c r="B237" s="32"/>
      <c r="C237" s="32" t="s">
        <v>484</v>
      </c>
      <c r="L237" s="164"/>
      <c r="M237" s="164"/>
      <c r="N237" s="164"/>
      <c r="O237" s="164"/>
      <c r="P237" s="164"/>
      <c r="Q237" s="164"/>
      <c r="R237" s="164"/>
      <c r="S237" s="164"/>
    </row>
    <row r="238" spans="1:20" s="31" customFormat="1" ht="15" customHeight="1">
      <c r="B238" s="163"/>
      <c r="C238" s="1093" t="s">
        <v>485</v>
      </c>
      <c r="D238" s="1093"/>
      <c r="E238" s="1093"/>
      <c r="F238" s="1093"/>
      <c r="G238" s="1093"/>
      <c r="H238" s="1093"/>
      <c r="I238" s="1093"/>
      <c r="J238" s="1093"/>
      <c r="K238" s="1093"/>
      <c r="L238" s="1093"/>
      <c r="M238" s="1093"/>
      <c r="N238" s="1093"/>
      <c r="O238" s="1093"/>
      <c r="P238" s="1093"/>
      <c r="Q238" s="1093"/>
      <c r="R238" s="1093"/>
      <c r="S238" s="1093"/>
      <c r="T238" s="1093"/>
    </row>
    <row r="239" spans="1:20" s="31" customFormat="1" ht="15" customHeight="1">
      <c r="B239" s="34"/>
      <c r="C239" s="1093"/>
      <c r="D239" s="1093"/>
      <c r="E239" s="1093"/>
      <c r="F239" s="1093"/>
      <c r="G239" s="1093"/>
      <c r="H239" s="1093"/>
      <c r="I239" s="1093"/>
      <c r="J239" s="1093"/>
      <c r="K239" s="1093"/>
      <c r="L239" s="1093"/>
      <c r="M239" s="1093"/>
      <c r="N239" s="1093"/>
      <c r="O239" s="1093"/>
      <c r="P239" s="1093"/>
      <c r="Q239" s="1093"/>
      <c r="R239" s="1093"/>
      <c r="S239" s="1093"/>
      <c r="T239" s="1093"/>
    </row>
    <row r="240" spans="1:20" s="31" customFormat="1" ht="15" customHeight="1">
      <c r="A240" s="32" t="s">
        <v>486</v>
      </c>
      <c r="B240" s="32"/>
      <c r="C240" s="32" t="s">
        <v>487</v>
      </c>
    </row>
    <row r="241" spans="1:21" s="31" customFormat="1" ht="15" customHeight="1">
      <c r="A241" s="31" t="s">
        <v>488</v>
      </c>
      <c r="B241" s="32"/>
      <c r="C241" s="32"/>
    </row>
    <row r="242" spans="1:21" s="31" customFormat="1" ht="15" customHeight="1">
      <c r="A242" s="50"/>
      <c r="B242" s="163" t="s">
        <v>393</v>
      </c>
      <c r="C242" s="161" t="s">
        <v>489</v>
      </c>
      <c r="D242" s="50"/>
      <c r="E242" s="50"/>
      <c r="F242" s="50"/>
      <c r="G242" s="50"/>
      <c r="H242" s="50"/>
      <c r="I242" s="50"/>
      <c r="J242" s="50"/>
      <c r="K242" s="50"/>
      <c r="L242" s="50"/>
      <c r="M242" s="50"/>
      <c r="N242" s="50"/>
      <c r="O242" s="50"/>
      <c r="P242" s="50"/>
      <c r="Q242" s="50"/>
      <c r="R242" s="50"/>
      <c r="S242" s="50"/>
      <c r="T242" s="50"/>
    </row>
    <row r="243" spans="1:21" s="31" customFormat="1" ht="15" customHeight="1">
      <c r="A243" s="33"/>
      <c r="B243" s="162" t="s">
        <v>395</v>
      </c>
      <c r="C243" s="1013" t="s">
        <v>490</v>
      </c>
      <c r="D243" s="1013"/>
      <c r="E243" s="1013"/>
      <c r="F243" s="1013"/>
      <c r="G243" s="1013"/>
      <c r="H243" s="1013"/>
      <c r="I243" s="1013"/>
      <c r="J243" s="1013"/>
      <c r="K243" s="1013"/>
      <c r="L243" s="1013"/>
      <c r="M243" s="1013"/>
      <c r="N243" s="1013"/>
      <c r="O243" s="1013"/>
      <c r="P243" s="1013"/>
      <c r="Q243" s="1013"/>
      <c r="R243" s="1013"/>
      <c r="S243" s="1013"/>
      <c r="T243" s="1013"/>
      <c r="U243" s="33"/>
    </row>
    <row r="244" spans="1:21" s="31" customFormat="1" ht="15" customHeight="1">
      <c r="A244" s="33"/>
      <c r="B244" s="33"/>
      <c r="C244" s="1013"/>
      <c r="D244" s="1013"/>
      <c r="E244" s="1013"/>
      <c r="F244" s="1013"/>
      <c r="G244" s="1013"/>
      <c r="H244" s="1013"/>
      <c r="I244" s="1013"/>
      <c r="J244" s="1013"/>
      <c r="K244" s="1013"/>
      <c r="L244" s="1013"/>
      <c r="M244" s="1013"/>
      <c r="N244" s="1013"/>
      <c r="O244" s="1013"/>
      <c r="P244" s="1013"/>
      <c r="Q244" s="1013"/>
      <c r="R244" s="1013"/>
      <c r="S244" s="1013"/>
      <c r="T244" s="1013"/>
    </row>
    <row r="245" spans="1:21" s="31" customFormat="1" ht="15" customHeight="1">
      <c r="A245" s="50"/>
      <c r="B245" s="162" t="s">
        <v>397</v>
      </c>
      <c r="C245" s="161" t="s">
        <v>491</v>
      </c>
      <c r="D245" s="50"/>
      <c r="E245" s="50"/>
      <c r="F245" s="50"/>
      <c r="G245" s="50"/>
      <c r="H245" s="50"/>
      <c r="I245" s="50"/>
      <c r="J245" s="50"/>
      <c r="K245" s="50"/>
      <c r="L245" s="50"/>
      <c r="M245" s="50"/>
      <c r="N245" s="50"/>
      <c r="O245" s="50"/>
      <c r="P245" s="50"/>
      <c r="Q245" s="50"/>
      <c r="R245" s="50"/>
      <c r="S245" s="50"/>
      <c r="T245" s="50"/>
    </row>
    <row r="246" spans="1:21" s="31" customFormat="1" ht="15" customHeight="1">
      <c r="A246" s="50"/>
      <c r="B246" s="162" t="s">
        <v>399</v>
      </c>
      <c r="C246" s="161" t="s">
        <v>492</v>
      </c>
      <c r="D246" s="50"/>
      <c r="E246" s="50"/>
      <c r="F246" s="50"/>
      <c r="G246" s="50"/>
      <c r="H246" s="50"/>
      <c r="I246" s="50"/>
      <c r="J246" s="50"/>
      <c r="K246" s="50"/>
      <c r="L246" s="50"/>
      <c r="M246" s="50"/>
      <c r="N246" s="50"/>
      <c r="O246" s="50"/>
      <c r="P246" s="50"/>
      <c r="Q246" s="50"/>
      <c r="R246" s="50"/>
      <c r="S246" s="50"/>
      <c r="T246" s="50"/>
    </row>
    <row r="247" spans="1:21" s="31" customFormat="1" ht="15" customHeight="1">
      <c r="A247" s="50"/>
      <c r="B247" s="162" t="s">
        <v>401</v>
      </c>
      <c r="C247" s="32" t="s">
        <v>493</v>
      </c>
    </row>
    <row r="248" spans="1:21" s="31" customFormat="1" ht="15" customHeight="1">
      <c r="A248" s="50"/>
      <c r="B248" s="162" t="s">
        <v>403</v>
      </c>
      <c r="C248" s="32" t="s">
        <v>494</v>
      </c>
    </row>
    <row r="249" spans="1:21" s="31" customFormat="1" ht="15" customHeight="1">
      <c r="A249" s="50"/>
      <c r="B249" s="162" t="s">
        <v>495</v>
      </c>
      <c r="C249" s="161" t="s">
        <v>496</v>
      </c>
      <c r="D249" s="50"/>
      <c r="E249" s="50"/>
      <c r="F249" s="50"/>
      <c r="G249" s="50"/>
      <c r="H249" s="50"/>
      <c r="I249" s="50"/>
      <c r="J249" s="50"/>
      <c r="K249" s="50"/>
      <c r="L249" s="50"/>
      <c r="M249" s="50"/>
      <c r="N249" s="50"/>
      <c r="O249" s="50"/>
      <c r="P249" s="50"/>
      <c r="Q249" s="50"/>
      <c r="R249" s="50"/>
      <c r="S249" s="50"/>
      <c r="T249" s="50"/>
    </row>
    <row r="250" spans="1:21" s="31" customFormat="1" ht="15" customHeight="1">
      <c r="A250" s="50"/>
      <c r="B250" s="162" t="s">
        <v>497</v>
      </c>
      <c r="C250" s="32" t="s">
        <v>498</v>
      </c>
    </row>
    <row r="251" spans="1:21" s="31" customFormat="1" ht="15" customHeight="1">
      <c r="B251" s="32"/>
      <c r="C251" s="32"/>
    </row>
    <row r="252" spans="1:21" s="31" customFormat="1" ht="15" customHeight="1">
      <c r="A252" s="31" t="s">
        <v>1779</v>
      </c>
    </row>
    <row r="253" spans="1:21" s="31" customFormat="1" ht="15" customHeight="1">
      <c r="A253" s="32" t="s">
        <v>448</v>
      </c>
      <c r="B253" s="33"/>
      <c r="C253" s="1013" t="s">
        <v>1712</v>
      </c>
      <c r="D253" s="1013"/>
      <c r="E253" s="1013"/>
      <c r="F253" s="1013"/>
      <c r="G253" s="1013"/>
      <c r="H253" s="1013"/>
      <c r="I253" s="1013"/>
      <c r="J253" s="1013"/>
      <c r="K253" s="1013"/>
      <c r="L253" s="1013"/>
      <c r="M253" s="1013"/>
      <c r="N253" s="1013"/>
      <c r="O253" s="1013"/>
      <c r="P253" s="1013"/>
      <c r="Q253" s="1013"/>
      <c r="R253" s="1013"/>
      <c r="S253" s="1013"/>
      <c r="T253" s="1013"/>
    </row>
    <row r="254" spans="1:21" s="31" customFormat="1" ht="15" customHeight="1">
      <c r="A254" s="33"/>
      <c r="B254" s="33"/>
      <c r="C254" s="1013"/>
      <c r="D254" s="1013"/>
      <c r="E254" s="1013"/>
      <c r="F254" s="1013"/>
      <c r="G254" s="1013"/>
      <c r="H254" s="1013"/>
      <c r="I254" s="1013"/>
      <c r="J254" s="1013"/>
      <c r="K254" s="1013"/>
      <c r="L254" s="1013"/>
      <c r="M254" s="1013"/>
      <c r="N254" s="1013"/>
      <c r="O254" s="1013"/>
      <c r="P254" s="1013"/>
      <c r="Q254" s="1013"/>
      <c r="R254" s="1013"/>
      <c r="S254" s="1013"/>
      <c r="T254" s="1013"/>
    </row>
    <row r="255" spans="1:21" s="31" customFormat="1" ht="15" customHeight="1">
      <c r="A255" s="33"/>
      <c r="B255" s="33"/>
      <c r="C255" s="1013"/>
      <c r="D255" s="1013"/>
      <c r="E255" s="1013"/>
      <c r="F255" s="1013"/>
      <c r="G255" s="1013"/>
      <c r="H255" s="1013"/>
      <c r="I255" s="1013"/>
      <c r="J255" s="1013"/>
      <c r="K255" s="1013"/>
      <c r="L255" s="1013"/>
      <c r="M255" s="1013"/>
      <c r="N255" s="1013"/>
      <c r="O255" s="1013"/>
      <c r="P255" s="1013"/>
      <c r="Q255" s="1013"/>
      <c r="R255" s="1013"/>
      <c r="S255" s="1013"/>
      <c r="T255" s="1013"/>
    </row>
    <row r="256" spans="1:21" s="31" customFormat="1" ht="15" customHeight="1">
      <c r="A256" s="33"/>
      <c r="B256" s="33"/>
      <c r="C256" s="1013"/>
      <c r="D256" s="1013"/>
      <c r="E256" s="1013"/>
      <c r="F256" s="1013"/>
      <c r="G256" s="1013"/>
      <c r="H256" s="1013"/>
      <c r="I256" s="1013"/>
      <c r="J256" s="1013"/>
      <c r="K256" s="1013"/>
      <c r="L256" s="1013"/>
      <c r="M256" s="1013"/>
      <c r="N256" s="1013"/>
      <c r="O256" s="1013"/>
      <c r="P256" s="1013"/>
      <c r="Q256" s="1013"/>
      <c r="R256" s="1013"/>
      <c r="S256" s="1013"/>
      <c r="T256" s="1013"/>
    </row>
    <row r="257" spans="1:22" s="31" customFormat="1" ht="15" customHeight="1">
      <c r="A257" s="32" t="s">
        <v>450</v>
      </c>
      <c r="B257" s="32"/>
      <c r="C257" s="32" t="s">
        <v>499</v>
      </c>
      <c r="H257" s="32"/>
      <c r="K257" s="513"/>
      <c r="L257" s="513"/>
      <c r="M257" s="513"/>
      <c r="N257" s="513"/>
      <c r="O257" s="513"/>
      <c r="P257" s="513"/>
      <c r="Q257" s="513"/>
      <c r="R257" s="513"/>
      <c r="S257" s="513"/>
      <c r="T257" s="73"/>
    </row>
    <row r="258" spans="1:22" s="31" customFormat="1" ht="15" customHeight="1"/>
    <row r="259" spans="1:22" s="31" customFormat="1" ht="15" customHeight="1">
      <c r="A259" s="32" t="s">
        <v>1780</v>
      </c>
      <c r="B259" s="32"/>
      <c r="C259" s="32"/>
      <c r="H259" s="32"/>
      <c r="K259" s="513"/>
      <c r="L259" s="513"/>
      <c r="M259" s="513"/>
      <c r="N259" s="513"/>
      <c r="O259" s="513"/>
      <c r="P259" s="513"/>
      <c r="Q259" s="513"/>
      <c r="R259" s="513"/>
      <c r="S259" s="513"/>
      <c r="T259" s="73"/>
      <c r="U259" s="1013"/>
      <c r="V259" s="1013"/>
    </row>
    <row r="260" spans="1:22" s="31" customFormat="1" ht="15" customHeight="1">
      <c r="B260" s="1216" t="s">
        <v>138</v>
      </c>
      <c r="C260" s="1216"/>
      <c r="D260" s="1216"/>
      <c r="E260" s="1216"/>
      <c r="F260" s="1219" t="s">
        <v>1922</v>
      </c>
      <c r="G260" s="1219"/>
      <c r="H260" s="1219"/>
      <c r="I260" s="1090" t="s">
        <v>139</v>
      </c>
      <c r="J260" s="1090"/>
      <c r="K260" s="1090"/>
      <c r="L260" s="1090"/>
      <c r="M260" s="1220" t="str">
        <f>DBCS(【マスター】!F27)</f>
        <v/>
      </c>
      <c r="N260" s="1220"/>
      <c r="O260" s="1220"/>
      <c r="P260" s="1220"/>
      <c r="Q260" s="1220"/>
      <c r="R260" s="1220"/>
      <c r="S260" s="1220"/>
      <c r="T260" s="73"/>
      <c r="U260" s="1013"/>
      <c r="V260" s="1013"/>
    </row>
    <row r="261" spans="1:22" s="31" customFormat="1" ht="15" customHeight="1">
      <c r="B261" s="1216" t="s">
        <v>140</v>
      </c>
      <c r="C261" s="1216"/>
      <c r="D261" s="1216"/>
      <c r="E261" s="1216"/>
      <c r="F261" s="1090" t="str">
        <f>DBCS(【マスター】!C27&amp;【マスター】!D28&amp;【マスター】!E28&amp;【マスター】!F28&amp;【マスター】!G28&amp;【マスター】!H28&amp;【マスター】!I28)</f>
        <v>年月日</v>
      </c>
      <c r="G261" s="1090"/>
      <c r="H261" s="1090"/>
      <c r="I261" s="1090"/>
      <c r="J261" s="1090"/>
      <c r="K261" s="1090"/>
      <c r="L261" s="1090"/>
      <c r="M261" s="1"/>
      <c r="N261" s="1"/>
      <c r="O261" s="1"/>
      <c r="P261" s="1"/>
      <c r="Q261" s="1"/>
      <c r="R261" s="1"/>
      <c r="S261" s="1"/>
      <c r="T261" s="73"/>
      <c r="U261" s="1013"/>
      <c r="V261" s="1013"/>
    </row>
    <row r="262" spans="1:22" s="31" customFormat="1" ht="15" customHeight="1">
      <c r="B262" s="1216" t="s">
        <v>141</v>
      </c>
      <c r="C262" s="1216"/>
      <c r="D262" s="1216"/>
      <c r="E262" s="1216"/>
      <c r="F262" s="1090" t="str">
        <f>DBCS(【マスター】!C29)</f>
        <v/>
      </c>
      <c r="G262" s="1090"/>
      <c r="H262" s="1090"/>
      <c r="I262" s="1090" t="s">
        <v>142</v>
      </c>
      <c r="J262" s="1090"/>
      <c r="K262" s="1090"/>
      <c r="L262" s="1090"/>
      <c r="M262" s="1220" t="str">
        <f>DBCS(【マスター】!F29)</f>
        <v/>
      </c>
      <c r="N262" s="1220"/>
      <c r="O262" s="1220"/>
      <c r="P262" s="1220"/>
      <c r="Q262" s="1220"/>
      <c r="R262" s="1220"/>
      <c r="S262" s="1220"/>
      <c r="T262" s="73"/>
      <c r="U262" s="1013"/>
      <c r="V262" s="1013"/>
    </row>
    <row r="263" spans="1:22" s="31" customFormat="1" ht="15" customHeight="1">
      <c r="B263" s="721"/>
      <c r="C263" s="721"/>
      <c r="D263" s="721"/>
      <c r="E263" s="721"/>
      <c r="F263" s="232"/>
      <c r="G263" s="232"/>
      <c r="H263" s="232"/>
      <c r="I263" s="232"/>
      <c r="J263" s="232"/>
      <c r="K263" s="232"/>
      <c r="L263" s="232"/>
      <c r="M263" s="662"/>
      <c r="N263" s="662"/>
      <c r="O263" s="662"/>
      <c r="P263" s="662"/>
      <c r="Q263" s="662"/>
      <c r="R263" s="662"/>
      <c r="S263" s="662"/>
      <c r="T263" s="73"/>
      <c r="U263" s="512"/>
      <c r="V263" s="512"/>
    </row>
    <row r="264" spans="1:22" s="31" customFormat="1" ht="15" customHeight="1">
      <c r="A264" s="1026" t="s">
        <v>500</v>
      </c>
      <c r="B264" s="1026"/>
      <c r="C264" s="1026"/>
      <c r="D264" s="1026"/>
      <c r="E264" s="1026"/>
      <c r="F264" s="1026"/>
      <c r="G264" s="1026"/>
      <c r="H264" s="1026"/>
      <c r="I264" s="1026"/>
      <c r="J264" s="1026"/>
      <c r="K264" s="1026"/>
      <c r="L264" s="1026"/>
      <c r="M264" s="1026"/>
      <c r="N264" s="1026"/>
      <c r="O264" s="1026"/>
      <c r="P264" s="1026"/>
      <c r="Q264" s="1026"/>
      <c r="R264" s="1026"/>
      <c r="S264" s="1026"/>
      <c r="T264" s="1026"/>
    </row>
    <row r="265" spans="1:22" s="31" customFormat="1" ht="15" customHeight="1">
      <c r="B265" s="32"/>
      <c r="C265" s="32"/>
      <c r="H265" s="32"/>
      <c r="K265" s="513"/>
      <c r="L265" s="513"/>
      <c r="M265" s="513"/>
      <c r="N265" s="161"/>
      <c r="O265" s="513"/>
      <c r="P265" s="513"/>
      <c r="Q265" s="513"/>
      <c r="R265" s="513"/>
      <c r="S265" s="513"/>
      <c r="T265" s="34"/>
    </row>
    <row r="266" spans="1:22" s="31" customFormat="1" ht="15" customHeight="1">
      <c r="B266" s="32"/>
      <c r="C266" s="32"/>
      <c r="H266" s="32"/>
      <c r="K266" s="513"/>
      <c r="L266" s="513"/>
      <c r="M266" s="513"/>
      <c r="N266" s="161"/>
      <c r="O266" s="513"/>
      <c r="P266" s="513"/>
      <c r="Q266" s="513"/>
      <c r="R266" s="513"/>
      <c r="S266" s="513"/>
      <c r="T266" s="34"/>
    </row>
    <row r="267" spans="1:22" s="31" customFormat="1" ht="15" customHeight="1">
      <c r="A267" s="1013" t="s">
        <v>1952</v>
      </c>
      <c r="B267" s="1013"/>
      <c r="C267" s="1013"/>
      <c r="D267" s="1013"/>
      <c r="E267" s="1013"/>
      <c r="F267" s="1013"/>
      <c r="G267" s="1013"/>
      <c r="H267" s="1013"/>
      <c r="I267" s="1013"/>
      <c r="J267" s="1013"/>
      <c r="K267" s="1013"/>
      <c r="L267" s="1013"/>
      <c r="M267" s="1013"/>
      <c r="N267" s="1013"/>
      <c r="O267" s="1013"/>
      <c r="P267" s="1013"/>
      <c r="Q267" s="1013"/>
      <c r="R267" s="1013"/>
      <c r="S267" s="1013"/>
      <c r="T267" s="1013"/>
      <c r="U267" s="196"/>
    </row>
    <row r="268" spans="1:22" s="31" customFormat="1" ht="15" customHeight="1">
      <c r="A268" s="1013"/>
      <c r="B268" s="1013"/>
      <c r="C268" s="1013"/>
      <c r="D268" s="1013"/>
      <c r="E268" s="1013"/>
      <c r="F268" s="1013"/>
      <c r="G268" s="1013"/>
      <c r="H268" s="1013"/>
      <c r="I268" s="1013"/>
      <c r="J268" s="1013"/>
      <c r="K268" s="1013"/>
      <c r="L268" s="1013"/>
      <c r="M268" s="1013"/>
      <c r="N268" s="1013"/>
      <c r="O268" s="1013"/>
      <c r="P268" s="1013"/>
      <c r="Q268" s="1013"/>
      <c r="R268" s="1013"/>
      <c r="S268" s="1013"/>
      <c r="T268" s="1013"/>
    </row>
    <row r="269" spans="1:22" s="31" customFormat="1" ht="15" customHeight="1">
      <c r="A269" s="512"/>
      <c r="B269" s="512"/>
      <c r="C269" s="512"/>
      <c r="D269" s="512"/>
      <c r="E269" s="512"/>
      <c r="F269" s="512"/>
      <c r="G269" s="512"/>
      <c r="H269" s="512"/>
      <c r="I269" s="512"/>
      <c r="J269" s="512"/>
      <c r="K269" s="512"/>
      <c r="L269" s="512"/>
      <c r="M269" s="512"/>
      <c r="N269" s="512"/>
      <c r="O269" s="512"/>
      <c r="P269" s="512"/>
      <c r="Q269" s="512"/>
      <c r="R269" s="512"/>
      <c r="S269" s="512"/>
      <c r="T269" s="512"/>
    </row>
    <row r="270" spans="1:22" s="31" customFormat="1" ht="15" customHeight="1">
      <c r="A270" s="512"/>
      <c r="B270" s="512"/>
      <c r="C270" s="512"/>
      <c r="D270" s="512"/>
      <c r="E270" s="512"/>
      <c r="F270" s="512"/>
      <c r="G270" s="512"/>
      <c r="H270" s="512"/>
      <c r="I270" s="512"/>
      <c r="J270" s="512"/>
      <c r="K270" s="512"/>
      <c r="L270" s="512"/>
      <c r="M270" s="512"/>
      <c r="N270" s="512"/>
      <c r="O270" s="512"/>
      <c r="P270" s="512"/>
      <c r="Q270" s="512"/>
      <c r="R270" s="512"/>
      <c r="S270" s="512"/>
      <c r="T270" s="512"/>
    </row>
    <row r="271" spans="1:22" s="31" customFormat="1" ht="15" customHeight="1">
      <c r="A271" s="31" t="s">
        <v>501</v>
      </c>
      <c r="B271" s="32" t="s">
        <v>79</v>
      </c>
      <c r="C271" s="605" t="s">
        <v>2026</v>
      </c>
      <c r="D271" s="1093" t="s">
        <v>2037</v>
      </c>
      <c r="E271" s="1093"/>
      <c r="F271" s="1093"/>
      <c r="G271" s="1093"/>
      <c r="H271" s="34"/>
      <c r="I271" s="34"/>
      <c r="J271" s="34"/>
      <c r="K271" s="34"/>
      <c r="L271" s="34"/>
      <c r="M271" s="34"/>
      <c r="N271" s="34"/>
      <c r="O271" s="34"/>
      <c r="P271" s="34"/>
      <c r="Q271" s="34"/>
      <c r="R271" s="34"/>
      <c r="S271" s="34"/>
      <c r="T271" s="34"/>
      <c r="U271" s="196"/>
    </row>
    <row r="272" spans="1:22" s="31" customFormat="1" ht="15" customHeight="1">
      <c r="B272" s="32"/>
      <c r="C272" s="34"/>
      <c r="D272" s="34"/>
      <c r="E272" s="34"/>
      <c r="F272" s="34"/>
      <c r="G272" s="34"/>
      <c r="H272" s="34"/>
      <c r="I272" s="34"/>
      <c r="J272" s="34"/>
      <c r="K272" s="34"/>
      <c r="L272" s="34"/>
      <c r="M272" s="34"/>
      <c r="N272" s="34"/>
      <c r="O272" s="34"/>
      <c r="P272" s="34"/>
      <c r="Q272" s="34"/>
      <c r="R272" s="34"/>
      <c r="S272" s="34"/>
      <c r="T272" s="34"/>
    </row>
    <row r="273" spans="1:21" s="31" customFormat="1" ht="15" customHeight="1">
      <c r="B273" s="32"/>
      <c r="C273" s="32" t="s">
        <v>502</v>
      </c>
      <c r="D273" s="34"/>
      <c r="E273" s="34"/>
      <c r="F273" s="34"/>
      <c r="G273" s="34"/>
      <c r="H273" s="2" t="s">
        <v>503</v>
      </c>
      <c r="K273" s="1221" t="str">
        <f>DBCS(【マスター】!F23&amp;【マスター】!C24)</f>
        <v>愛知県豊川市大堀町２９３番地</v>
      </c>
      <c r="L273" s="1221"/>
      <c r="M273" s="1221"/>
      <c r="N273" s="1221"/>
      <c r="O273" s="1221"/>
      <c r="P273" s="1221"/>
      <c r="Q273" s="1221"/>
      <c r="R273" s="1221"/>
      <c r="S273" s="1221"/>
      <c r="T273" s="1221"/>
    </row>
    <row r="274" spans="1:21" s="31" customFormat="1" ht="15" customHeight="1">
      <c r="B274" s="32"/>
      <c r="C274" s="32"/>
      <c r="H274" s="2" t="s">
        <v>504</v>
      </c>
      <c r="K274" s="1074" t="str">
        <f>IF(【マスター】!C22="","",【マスター】!C22)</f>
        <v>株式会社ケアサポート</v>
      </c>
      <c r="L274" s="1074"/>
      <c r="M274" s="1074"/>
      <c r="N274" s="1074"/>
      <c r="O274" s="1074"/>
      <c r="P274" s="1074"/>
      <c r="Q274" s="1074"/>
      <c r="R274" s="1074"/>
      <c r="S274" s="1074"/>
      <c r="T274" s="1074"/>
    </row>
    <row r="275" spans="1:21" s="31" customFormat="1" ht="15" customHeight="1">
      <c r="B275" s="32"/>
      <c r="C275" s="32"/>
      <c r="H275" s="2" t="s">
        <v>505</v>
      </c>
      <c r="K275" s="1074" t="str">
        <f>【マスター】!C26&amp;"　"&amp;【マスター】!I26</f>
        <v>代表取締役　本多 康夫</v>
      </c>
      <c r="L275" s="1074"/>
      <c r="M275" s="1074"/>
      <c r="N275" s="1074"/>
      <c r="O275" s="1074"/>
      <c r="P275" s="1074"/>
      <c r="Q275" s="1074"/>
      <c r="R275" s="1074"/>
      <c r="S275" s="1074"/>
      <c r="T275" s="715" t="s">
        <v>506</v>
      </c>
    </row>
    <row r="276" spans="1:21" s="31" customFormat="1" ht="15" customHeight="1">
      <c r="B276" s="32"/>
      <c r="C276" s="34"/>
      <c r="D276" s="34"/>
      <c r="E276" s="34"/>
      <c r="F276" s="34"/>
      <c r="G276" s="34"/>
      <c r="H276" s="34"/>
      <c r="I276" s="34"/>
      <c r="J276" s="34"/>
      <c r="K276" s="34"/>
      <c r="L276" s="34"/>
      <c r="M276" s="34"/>
      <c r="N276" s="34"/>
      <c r="O276" s="34"/>
      <c r="P276" s="34"/>
      <c r="Q276" s="34"/>
      <c r="R276" s="34"/>
      <c r="S276" s="34"/>
      <c r="T276" s="34"/>
    </row>
    <row r="277" spans="1:21" s="31" customFormat="1" ht="15" customHeight="1">
      <c r="B277" s="32"/>
      <c r="C277" s="32" t="s">
        <v>507</v>
      </c>
      <c r="D277" s="34"/>
      <c r="E277" s="34"/>
      <c r="F277" s="34"/>
      <c r="G277" s="34"/>
      <c r="H277" s="32" t="s">
        <v>78</v>
      </c>
      <c r="I277" s="34"/>
      <c r="J277" s="34"/>
      <c r="K277" s="1074" t="str">
        <f>IF(【マスター】!C7="","",【マスター】!C7)</f>
        <v>デイサービスさくら亭</v>
      </c>
      <c r="L277" s="1074"/>
      <c r="M277" s="1074"/>
      <c r="N277" s="1074"/>
      <c r="O277" s="1074"/>
      <c r="P277" s="1074"/>
      <c r="Q277" s="1074"/>
      <c r="R277" s="1074"/>
      <c r="S277" s="1074"/>
      <c r="T277" s="1074"/>
    </row>
    <row r="278" spans="1:21" s="31" customFormat="1" ht="15" customHeight="1">
      <c r="B278" s="32"/>
      <c r="C278" s="32"/>
      <c r="D278" s="34"/>
      <c r="E278" s="34"/>
      <c r="F278" s="34"/>
      <c r="G278" s="34"/>
      <c r="H278" s="32"/>
      <c r="I278" s="34"/>
      <c r="J278" s="34"/>
      <c r="K278" s="512"/>
      <c r="L278" s="512"/>
      <c r="M278" s="512"/>
      <c r="N278" s="512"/>
      <c r="O278" s="512"/>
      <c r="P278" s="512"/>
      <c r="Q278" s="512"/>
      <c r="R278" s="512"/>
      <c r="S278" s="512"/>
      <c r="T278" s="512"/>
    </row>
    <row r="279" spans="1:21" s="31" customFormat="1" ht="15" customHeight="1">
      <c r="B279" s="32"/>
      <c r="C279" s="32"/>
      <c r="H279" s="31" t="s">
        <v>508</v>
      </c>
      <c r="K279" s="1144" t="s">
        <v>2029</v>
      </c>
      <c r="L279" s="1144"/>
      <c r="M279" s="1144"/>
      <c r="N279" s="1144"/>
      <c r="O279" s="1144"/>
      <c r="P279" s="1144"/>
      <c r="Q279" s="1144"/>
      <c r="R279" s="1144"/>
      <c r="S279" s="1144"/>
      <c r="T279" s="243" t="s">
        <v>506</v>
      </c>
    </row>
    <row r="280" spans="1:21" s="31" customFormat="1" ht="15" customHeight="1">
      <c r="B280" s="32"/>
      <c r="C280" s="32"/>
    </row>
    <row r="281" spans="1:21" s="31" customFormat="1" ht="15" customHeight="1">
      <c r="B281" s="32"/>
      <c r="C281" s="32"/>
    </row>
    <row r="282" spans="1:21" s="31" customFormat="1" ht="15" customHeight="1">
      <c r="B282" s="32"/>
      <c r="C282" s="32"/>
    </row>
    <row r="283" spans="1:21" s="31" customFormat="1" ht="15" customHeight="1">
      <c r="A283" s="1013" t="s">
        <v>1951</v>
      </c>
      <c r="B283" s="1013"/>
      <c r="C283" s="1013"/>
      <c r="D283" s="1013"/>
      <c r="E283" s="1013"/>
      <c r="F283" s="1013"/>
      <c r="G283" s="1013"/>
      <c r="H283" s="1013"/>
      <c r="I283" s="1013"/>
      <c r="J283" s="1013"/>
      <c r="K283" s="1013"/>
      <c r="L283" s="1013"/>
      <c r="M283" s="1013"/>
      <c r="N283" s="1013"/>
      <c r="O283" s="1013"/>
      <c r="P283" s="1013"/>
      <c r="Q283" s="1013"/>
      <c r="R283" s="1013"/>
      <c r="S283" s="1013"/>
      <c r="T283" s="1013"/>
      <c r="U283" s="196"/>
    </row>
    <row r="284" spans="1:21" s="31" customFormat="1" ht="15" customHeight="1">
      <c r="A284" s="1013"/>
      <c r="B284" s="1013"/>
      <c r="C284" s="1013"/>
      <c r="D284" s="1013"/>
      <c r="E284" s="1013"/>
      <c r="F284" s="1013"/>
      <c r="G284" s="1013"/>
      <c r="H284" s="1013"/>
      <c r="I284" s="1013"/>
      <c r="J284" s="1013"/>
      <c r="K284" s="1013"/>
      <c r="L284" s="1013"/>
      <c r="M284" s="1013"/>
      <c r="N284" s="1013"/>
      <c r="O284" s="1013"/>
      <c r="P284" s="1013"/>
      <c r="Q284" s="1013"/>
      <c r="R284" s="1013"/>
      <c r="S284" s="1013"/>
      <c r="T284" s="1013"/>
    </row>
    <row r="285" spans="1:21" s="31" customFormat="1" ht="15" customHeight="1">
      <c r="A285" s="512"/>
      <c r="B285" s="512"/>
      <c r="C285" s="512"/>
      <c r="D285" s="512"/>
      <c r="E285" s="512"/>
      <c r="F285" s="512"/>
      <c r="G285" s="512"/>
      <c r="H285" s="512"/>
      <c r="I285" s="512"/>
      <c r="J285" s="512"/>
      <c r="K285" s="512"/>
      <c r="L285" s="512"/>
      <c r="M285" s="512"/>
      <c r="N285" s="512"/>
      <c r="O285" s="512"/>
      <c r="P285" s="512"/>
      <c r="Q285" s="512"/>
      <c r="R285" s="512"/>
      <c r="S285" s="512"/>
      <c r="T285" s="512"/>
    </row>
    <row r="286" spans="1:21" s="31" customFormat="1" ht="15" customHeight="1">
      <c r="A286" s="512"/>
      <c r="B286" s="512"/>
      <c r="C286" s="512"/>
      <c r="D286" s="512"/>
      <c r="E286" s="512"/>
      <c r="F286" s="512"/>
      <c r="G286" s="512"/>
      <c r="H286" s="512"/>
      <c r="I286" s="512"/>
      <c r="J286" s="512"/>
      <c r="K286" s="512"/>
      <c r="L286" s="512"/>
      <c r="M286" s="512"/>
      <c r="N286" s="512"/>
      <c r="O286" s="512"/>
      <c r="P286" s="512"/>
      <c r="Q286" s="512"/>
      <c r="R286" s="512"/>
      <c r="S286" s="512"/>
      <c r="T286" s="512"/>
    </row>
    <row r="287" spans="1:21" s="31" customFormat="1" ht="15" customHeight="1">
      <c r="B287" s="32" t="s">
        <v>79</v>
      </c>
      <c r="C287" s="605" t="s">
        <v>2026</v>
      </c>
      <c r="D287" s="1093" t="s">
        <v>2037</v>
      </c>
      <c r="E287" s="1093"/>
      <c r="F287" s="1093"/>
      <c r="G287" s="1093"/>
      <c r="H287" s="512"/>
      <c r="I287" s="512"/>
      <c r="J287" s="512"/>
      <c r="K287" s="512"/>
      <c r="L287" s="512"/>
      <c r="M287" s="512"/>
      <c r="N287" s="512"/>
      <c r="O287" s="512"/>
      <c r="P287" s="512"/>
      <c r="Q287" s="512"/>
      <c r="R287" s="512"/>
      <c r="S287" s="512"/>
      <c r="T287" s="512"/>
      <c r="U287" s="196"/>
    </row>
    <row r="288" spans="1:21" s="31" customFormat="1" ht="15" customHeight="1">
      <c r="B288" s="512"/>
      <c r="C288" s="512"/>
      <c r="D288" s="512"/>
      <c r="E288" s="512"/>
      <c r="F288" s="512"/>
      <c r="G288" s="512"/>
      <c r="H288" s="512"/>
      <c r="I288" s="512"/>
      <c r="J288" s="512"/>
      <c r="K288" s="512"/>
      <c r="L288" s="512"/>
      <c r="M288" s="512"/>
      <c r="N288" s="512"/>
      <c r="O288" s="512"/>
      <c r="P288" s="512"/>
      <c r="Q288" s="512"/>
      <c r="R288" s="512"/>
      <c r="S288" s="512"/>
      <c r="T288" s="512"/>
    </row>
    <row r="289" spans="2:20" s="31" customFormat="1" ht="15" customHeight="1">
      <c r="B289" s="32"/>
      <c r="C289" s="32" t="s">
        <v>509</v>
      </c>
      <c r="H289" s="2" t="s">
        <v>503</v>
      </c>
      <c r="K289" s="1221" t="str">
        <f>DBCS(IF(【マスター】!B157="","",【マスター】!B157))</f>
        <v/>
      </c>
      <c r="L289" s="1221"/>
      <c r="M289" s="1221"/>
      <c r="N289" s="1221"/>
      <c r="O289" s="1221"/>
      <c r="P289" s="1221"/>
      <c r="Q289" s="1221"/>
      <c r="R289" s="1221"/>
      <c r="S289" s="1221"/>
      <c r="T289" s="1221"/>
    </row>
    <row r="290" spans="2:20" s="31" customFormat="1" ht="15" customHeight="1">
      <c r="B290" s="34"/>
      <c r="C290" s="34"/>
      <c r="D290" s="34"/>
      <c r="E290" s="34"/>
      <c r="F290" s="34"/>
      <c r="G290" s="34"/>
      <c r="H290" s="34"/>
      <c r="I290" s="34"/>
      <c r="J290" s="34"/>
      <c r="K290" s="1221" t="str">
        <f>DBCS(IF(【マスター】!B158="","",【マスター】!B158))</f>
        <v/>
      </c>
      <c r="L290" s="1221"/>
      <c r="M290" s="1221"/>
      <c r="N290" s="1221"/>
      <c r="O290" s="1221"/>
      <c r="P290" s="1221"/>
      <c r="Q290" s="1221"/>
      <c r="R290" s="1221"/>
      <c r="S290" s="1221"/>
      <c r="T290" s="1221"/>
    </row>
    <row r="291" spans="2:20" s="31" customFormat="1" ht="15" customHeight="1">
      <c r="B291" s="34"/>
      <c r="C291" s="34"/>
      <c r="D291" s="34"/>
      <c r="E291" s="34"/>
      <c r="F291" s="34"/>
      <c r="G291" s="34"/>
      <c r="H291" s="34"/>
      <c r="I291" s="34"/>
      <c r="J291" s="34"/>
      <c r="K291" s="164"/>
      <c r="L291" s="164"/>
      <c r="M291" s="164"/>
      <c r="N291" s="164"/>
      <c r="O291" s="164"/>
      <c r="P291" s="164"/>
      <c r="Q291" s="164"/>
      <c r="R291" s="164"/>
      <c r="S291" s="164"/>
      <c r="T291" s="164"/>
    </row>
    <row r="292" spans="2:20" s="31" customFormat="1" ht="15" customHeight="1">
      <c r="B292" s="34"/>
      <c r="C292" s="34"/>
      <c r="D292" s="34"/>
      <c r="E292" s="34"/>
      <c r="F292" s="34"/>
      <c r="G292" s="34"/>
      <c r="H292" s="32" t="s">
        <v>510</v>
      </c>
      <c r="I292" s="34"/>
      <c r="J292" s="34"/>
      <c r="K292" s="1222"/>
      <c r="L292" s="1222"/>
      <c r="M292" s="1222"/>
      <c r="N292" s="1222"/>
      <c r="O292" s="1222"/>
      <c r="P292" s="1222"/>
      <c r="Q292" s="1222"/>
      <c r="R292" s="1222"/>
      <c r="S292" s="1222"/>
      <c r="T292" s="243" t="s">
        <v>506</v>
      </c>
    </row>
    <row r="293" spans="2:20" s="31" customFormat="1" ht="15" customHeight="1">
      <c r="B293" s="32"/>
      <c r="C293" s="32"/>
    </row>
    <row r="294" spans="2:20" s="31" customFormat="1" ht="15" customHeight="1">
      <c r="B294" s="32"/>
      <c r="C294" s="31" t="s">
        <v>511</v>
      </c>
      <c r="H294" s="2" t="s">
        <v>503</v>
      </c>
      <c r="K294" s="1221" t="str">
        <f>DBCS(IF(【マスター】!B159="","",【マスター】!B159))</f>
        <v/>
      </c>
      <c r="L294" s="1221"/>
      <c r="M294" s="1221"/>
      <c r="N294" s="1221"/>
      <c r="O294" s="1221"/>
      <c r="P294" s="1221"/>
      <c r="Q294" s="1221"/>
      <c r="R294" s="1221"/>
      <c r="S294" s="1221"/>
      <c r="T294" s="1221"/>
    </row>
    <row r="295" spans="2:20" s="31" customFormat="1" ht="15" customHeight="1">
      <c r="B295" s="32"/>
      <c r="C295" s="31" t="s">
        <v>512</v>
      </c>
      <c r="H295" s="34"/>
      <c r="K295" s="1221" t="str">
        <f>DBCS(IF(【マスター】!B160="","",【マスター】!B160))</f>
        <v/>
      </c>
      <c r="L295" s="1221"/>
      <c r="M295" s="1221"/>
      <c r="N295" s="1221"/>
      <c r="O295" s="1221"/>
      <c r="P295" s="1221"/>
      <c r="Q295" s="1221"/>
      <c r="R295" s="1221"/>
      <c r="S295" s="1221"/>
      <c r="T295" s="1221"/>
    </row>
    <row r="296" spans="2:20" s="31" customFormat="1" ht="15" customHeight="1">
      <c r="B296" s="32"/>
      <c r="H296" s="34"/>
      <c r="K296" s="545"/>
      <c r="L296" s="545"/>
      <c r="M296" s="545"/>
      <c r="N296" s="545"/>
      <c r="O296" s="545"/>
      <c r="P296" s="545"/>
      <c r="Q296" s="545"/>
      <c r="R296" s="545"/>
      <c r="S296" s="545"/>
      <c r="T296" s="545"/>
    </row>
    <row r="297" spans="2:20" s="31" customFormat="1" ht="15" customHeight="1">
      <c r="B297" s="32"/>
      <c r="C297" s="32"/>
      <c r="H297" s="32" t="s">
        <v>510</v>
      </c>
      <c r="K297" s="559"/>
      <c r="L297" s="559"/>
      <c r="M297" s="559"/>
      <c r="N297" s="559"/>
      <c r="O297" s="559"/>
      <c r="P297" s="559"/>
      <c r="Q297" s="559"/>
      <c r="R297" s="559"/>
      <c r="S297" s="559"/>
      <c r="T297" s="243" t="s">
        <v>506</v>
      </c>
    </row>
    <row r="298" spans="2:20" s="31" customFormat="1" ht="15" customHeight="1">
      <c r="B298" s="32"/>
      <c r="C298" s="32"/>
      <c r="H298" s="32"/>
      <c r="K298" s="513"/>
      <c r="L298" s="513"/>
      <c r="M298" s="513"/>
      <c r="N298" s="513"/>
      <c r="O298" s="513"/>
      <c r="P298" s="513"/>
      <c r="Q298" s="513"/>
      <c r="R298" s="513"/>
      <c r="S298" s="513"/>
      <c r="T298" s="41"/>
    </row>
    <row r="299" spans="2:20" s="31" customFormat="1" ht="15" customHeight="1">
      <c r="B299" s="32"/>
      <c r="C299" s="32"/>
      <c r="H299" s="32"/>
      <c r="K299" s="513"/>
      <c r="L299" s="513"/>
      <c r="M299" s="513"/>
      <c r="N299" s="161" t="s">
        <v>513</v>
      </c>
      <c r="O299" s="513"/>
      <c r="P299" s="513"/>
      <c r="Q299" s="513"/>
      <c r="R299" s="513"/>
      <c r="S299" s="513"/>
      <c r="T299" s="34" t="s">
        <v>514</v>
      </c>
    </row>
    <row r="300" spans="2:20" s="31" customFormat="1" ht="15" customHeight="1">
      <c r="B300" s="32"/>
      <c r="C300" s="32"/>
    </row>
    <row r="301" spans="2:20" s="31" customFormat="1" ht="15" customHeight="1">
      <c r="B301" s="32"/>
      <c r="C301" s="32"/>
      <c r="H301" s="32"/>
      <c r="K301" s="513"/>
      <c r="L301" s="513"/>
      <c r="M301" s="513"/>
      <c r="N301" s="161"/>
      <c r="O301" s="513"/>
      <c r="P301" s="513"/>
      <c r="Q301" s="513"/>
      <c r="R301" s="513"/>
      <c r="S301" s="513"/>
      <c r="T301" s="34"/>
    </row>
    <row r="302" spans="2:20" s="31" customFormat="1" ht="15" customHeight="1">
      <c r="B302" s="32"/>
      <c r="C302" s="32"/>
      <c r="H302" s="32"/>
      <c r="K302" s="513"/>
      <c r="L302" s="513"/>
      <c r="M302" s="513"/>
      <c r="N302" s="161"/>
      <c r="O302" s="513"/>
      <c r="P302" s="513"/>
      <c r="Q302" s="513"/>
      <c r="R302" s="513"/>
      <c r="S302" s="513"/>
      <c r="T302" s="34"/>
    </row>
    <row r="303" spans="2:20" s="31" customFormat="1" ht="15" customHeight="1">
      <c r="B303" s="32"/>
      <c r="C303" s="32"/>
      <c r="H303" s="32"/>
      <c r="K303" s="513"/>
      <c r="L303" s="513"/>
      <c r="M303" s="513"/>
      <c r="N303" s="161"/>
      <c r="O303" s="513"/>
      <c r="P303" s="513"/>
      <c r="Q303" s="513"/>
      <c r="R303" s="513"/>
      <c r="S303" s="513"/>
      <c r="T303" s="34"/>
    </row>
    <row r="304" spans="2:20" s="31" customFormat="1" ht="15" customHeight="1">
      <c r="B304" s="32"/>
      <c r="C304" s="32"/>
      <c r="H304" s="32"/>
      <c r="K304" s="513"/>
      <c r="L304" s="513"/>
      <c r="M304" s="513"/>
      <c r="N304" s="161"/>
      <c r="O304" s="513"/>
      <c r="P304" s="513"/>
      <c r="Q304" s="513"/>
      <c r="R304" s="513"/>
      <c r="S304" s="513"/>
      <c r="T304" s="34"/>
    </row>
    <row r="305" spans="2:20" s="31" customFormat="1" ht="15" customHeight="1">
      <c r="B305" s="32"/>
      <c r="C305" s="32"/>
      <c r="H305" s="32"/>
      <c r="K305" s="513"/>
      <c r="L305" s="513"/>
      <c r="M305" s="513"/>
      <c r="N305" s="161"/>
      <c r="O305" s="513"/>
      <c r="P305" s="513"/>
      <c r="Q305" s="513"/>
      <c r="R305" s="513"/>
      <c r="S305" s="513"/>
      <c r="T305" s="34"/>
    </row>
    <row r="306" spans="2:20" s="31" customFormat="1" ht="15" customHeight="1">
      <c r="B306" s="32"/>
      <c r="C306" s="32"/>
      <c r="H306" s="32"/>
      <c r="K306" s="513"/>
      <c r="L306" s="513"/>
      <c r="M306" s="513"/>
      <c r="N306" s="161"/>
      <c r="O306" s="513"/>
      <c r="P306" s="513"/>
      <c r="Q306" s="513"/>
      <c r="R306" s="513"/>
      <c r="S306" s="513"/>
      <c r="T306" s="34"/>
    </row>
    <row r="307" spans="2:20" s="31" customFormat="1" ht="15" customHeight="1">
      <c r="B307" s="32"/>
      <c r="C307" s="32"/>
      <c r="H307" s="32"/>
      <c r="K307" s="513"/>
      <c r="L307" s="513"/>
      <c r="M307" s="513"/>
      <c r="N307" s="161"/>
      <c r="O307" s="513"/>
      <c r="P307" s="513"/>
      <c r="Q307" s="513"/>
      <c r="R307" s="513"/>
      <c r="S307" s="513"/>
      <c r="T307" s="34"/>
    </row>
    <row r="308" spans="2:20" s="31" customFormat="1" ht="15" customHeight="1">
      <c r="B308" s="32"/>
      <c r="C308" s="32"/>
      <c r="H308" s="32"/>
      <c r="K308" s="513"/>
      <c r="L308" s="513"/>
      <c r="M308" s="513"/>
      <c r="N308" s="161"/>
      <c r="O308" s="513"/>
      <c r="P308" s="513"/>
      <c r="Q308" s="513"/>
      <c r="R308" s="513"/>
      <c r="S308" s="513"/>
      <c r="T308" s="34"/>
    </row>
    <row r="309" spans="2:20" s="31" customFormat="1" ht="15" customHeight="1">
      <c r="B309" s="32"/>
      <c r="C309" s="32"/>
      <c r="H309" s="32"/>
      <c r="K309" s="513"/>
      <c r="L309" s="513"/>
      <c r="M309" s="513"/>
      <c r="N309" s="161"/>
      <c r="O309" s="513"/>
      <c r="P309" s="513"/>
      <c r="Q309" s="513"/>
      <c r="R309" s="513"/>
      <c r="S309" s="513"/>
      <c r="T309" s="34"/>
    </row>
    <row r="310" spans="2:20" s="31" customFormat="1" ht="15" customHeight="1">
      <c r="B310" s="32"/>
      <c r="C310" s="32"/>
      <c r="H310" s="32"/>
      <c r="K310" s="513"/>
      <c r="L310" s="513"/>
      <c r="M310" s="513"/>
      <c r="N310" s="161"/>
      <c r="O310" s="513"/>
      <c r="P310" s="513"/>
      <c r="Q310" s="513"/>
      <c r="R310" s="513"/>
      <c r="S310" s="513"/>
      <c r="T310" s="34"/>
    </row>
    <row r="311" spans="2:20" s="31" customFormat="1" ht="15" customHeight="1">
      <c r="B311" s="32"/>
      <c r="C311" s="32"/>
      <c r="H311" s="32"/>
      <c r="K311" s="513"/>
      <c r="L311" s="513"/>
      <c r="M311" s="513"/>
      <c r="N311" s="161"/>
      <c r="O311" s="513"/>
      <c r="P311" s="513"/>
      <c r="Q311" s="513"/>
      <c r="R311" s="513"/>
      <c r="S311" s="513"/>
      <c r="T311" s="34"/>
    </row>
    <row r="312" spans="2:20" s="31" customFormat="1" ht="15" customHeight="1">
      <c r="B312" s="32"/>
      <c r="C312" s="32"/>
      <c r="H312" s="32"/>
      <c r="K312" s="513"/>
      <c r="L312" s="513"/>
      <c r="M312" s="513"/>
      <c r="N312" s="161"/>
      <c r="O312" s="513"/>
      <c r="P312" s="513"/>
      <c r="Q312" s="513"/>
      <c r="R312" s="513"/>
      <c r="S312" s="513"/>
      <c r="T312" s="34"/>
    </row>
    <row r="313" spans="2:20" s="31" customFormat="1" ht="15" customHeight="1">
      <c r="B313" s="32"/>
      <c r="C313" s="32"/>
      <c r="H313" s="32"/>
      <c r="K313" s="513"/>
      <c r="L313" s="513"/>
      <c r="M313" s="513"/>
      <c r="N313" s="161"/>
      <c r="O313" s="513"/>
      <c r="P313" s="513"/>
      <c r="Q313" s="513"/>
      <c r="R313" s="513"/>
      <c r="S313" s="513"/>
      <c r="T313" s="34"/>
    </row>
    <row r="314" spans="2:20" s="31" customFormat="1" ht="15" customHeight="1">
      <c r="B314" s="32"/>
      <c r="C314" s="32"/>
      <c r="H314" s="32"/>
      <c r="K314" s="513"/>
      <c r="L314" s="513"/>
      <c r="M314" s="513"/>
      <c r="N314" s="161"/>
      <c r="O314" s="513"/>
      <c r="P314" s="513"/>
      <c r="Q314" s="513"/>
      <c r="R314" s="513"/>
      <c r="S314" s="513"/>
      <c r="T314" s="34"/>
    </row>
    <row r="315" spans="2:20" s="31" customFormat="1" ht="15" customHeight="1">
      <c r="B315" s="32"/>
      <c r="C315" s="32"/>
      <c r="H315" s="32"/>
      <c r="K315" s="513"/>
      <c r="L315" s="513"/>
      <c r="M315" s="513"/>
      <c r="N315" s="161"/>
      <c r="O315" s="513"/>
      <c r="P315" s="513"/>
      <c r="Q315" s="513"/>
      <c r="R315" s="513"/>
      <c r="S315" s="513"/>
      <c r="T315" s="34"/>
    </row>
    <row r="316" spans="2:20" s="31" customFormat="1" ht="15" customHeight="1">
      <c r="B316" s="32"/>
      <c r="C316" s="32"/>
      <c r="H316" s="32"/>
      <c r="K316" s="513"/>
      <c r="L316" s="513"/>
      <c r="M316" s="513"/>
      <c r="N316" s="513"/>
      <c r="O316" s="513"/>
      <c r="P316" s="513"/>
      <c r="Q316" s="513"/>
      <c r="R316" s="513"/>
      <c r="S316" s="513"/>
      <c r="T316" s="73"/>
    </row>
    <row r="317" spans="2:20" s="31" customFormat="1" ht="15" customHeight="1"/>
    <row r="318" spans="2:20" s="31" customFormat="1" ht="15" customHeight="1">
      <c r="B318" s="32"/>
      <c r="C318" s="32"/>
      <c r="H318" s="32"/>
      <c r="K318" s="513"/>
      <c r="L318" s="513"/>
      <c r="M318" s="513"/>
      <c r="N318" s="513"/>
      <c r="O318" s="513"/>
      <c r="P318" s="513"/>
      <c r="Q318" s="513"/>
      <c r="R318" s="513"/>
      <c r="S318" s="513"/>
      <c r="T318" s="73"/>
    </row>
    <row r="319" spans="2:20" s="31" customFormat="1" ht="15" customHeight="1">
      <c r="B319" s="32"/>
      <c r="C319" s="32"/>
      <c r="H319" s="32"/>
      <c r="K319" s="513"/>
      <c r="L319" s="513"/>
      <c r="M319" s="513"/>
      <c r="N319" s="513"/>
      <c r="O319" s="513"/>
      <c r="P319" s="513"/>
      <c r="Q319" s="513"/>
      <c r="R319" s="513"/>
      <c r="S319" s="513"/>
      <c r="T319" s="73"/>
    </row>
    <row r="320" spans="2:20" s="31" customFormat="1" ht="15" customHeight="1">
      <c r="B320" s="32"/>
      <c r="C320" s="32"/>
      <c r="H320" s="32"/>
      <c r="K320" s="513"/>
      <c r="L320" s="513"/>
      <c r="M320" s="513"/>
      <c r="N320" s="513"/>
      <c r="O320" s="513"/>
      <c r="P320" s="513"/>
      <c r="Q320" s="513"/>
      <c r="R320" s="513"/>
      <c r="S320" s="513"/>
      <c r="T320" s="73"/>
    </row>
    <row r="321" spans="1:20" s="31" customFormat="1" ht="15" customHeight="1">
      <c r="B321" s="32"/>
      <c r="C321" s="32"/>
      <c r="H321" s="32"/>
      <c r="K321" s="513"/>
      <c r="L321" s="513"/>
      <c r="M321" s="513"/>
      <c r="N321" s="513"/>
      <c r="O321" s="513"/>
      <c r="P321" s="513"/>
      <c r="Q321" s="513"/>
      <c r="R321" s="513"/>
      <c r="S321" s="513"/>
      <c r="T321" s="73"/>
    </row>
    <row r="322" spans="1:20" s="31" customFormat="1" ht="15" customHeight="1">
      <c r="B322" s="32"/>
      <c r="C322" s="32"/>
      <c r="H322" s="32"/>
      <c r="K322" s="513"/>
      <c r="L322" s="513"/>
      <c r="M322" s="513"/>
      <c r="N322" s="513"/>
      <c r="O322" s="513"/>
      <c r="P322" s="513"/>
      <c r="Q322" s="513"/>
      <c r="R322" s="513"/>
      <c r="S322" s="513"/>
      <c r="T322" s="73"/>
    </row>
    <row r="323" spans="1:20" s="31" customFormat="1" ht="15" customHeight="1">
      <c r="B323" s="32"/>
      <c r="C323" s="32"/>
    </row>
    <row r="324" spans="1:20" s="31" customFormat="1" ht="15" customHeight="1">
      <c r="B324" s="32"/>
      <c r="C324" s="32"/>
    </row>
    <row r="325" spans="1:20" s="31" customFormat="1" ht="15" customHeight="1">
      <c r="B325" s="32"/>
      <c r="C325" s="32"/>
    </row>
    <row r="326" spans="1:20" s="31" customFormat="1" ht="15" customHeight="1">
      <c r="B326" s="32"/>
      <c r="C326" s="32"/>
    </row>
    <row r="327" spans="1:20" s="31" customFormat="1" ht="15" customHeight="1">
      <c r="B327" s="32"/>
      <c r="C327" s="32"/>
    </row>
    <row r="328" spans="1:20" s="31" customFormat="1" ht="15" customHeight="1">
      <c r="B328" s="32"/>
      <c r="C328" s="32"/>
    </row>
    <row r="329" spans="1:20" s="31" customFormat="1" ht="15" customHeight="1">
      <c r="B329" s="32"/>
      <c r="C329" s="32"/>
    </row>
    <row r="330" spans="1:20" s="31" customFormat="1" ht="15" customHeight="1">
      <c r="B330" s="32"/>
      <c r="C330" s="32"/>
    </row>
    <row r="331" spans="1:20" s="31" customFormat="1" ht="15" customHeight="1">
      <c r="B331" s="32"/>
      <c r="C331" s="32"/>
    </row>
    <row r="332" spans="1:20" s="31" customFormat="1" ht="15" customHeight="1">
      <c r="B332" s="32"/>
      <c r="C332" s="32"/>
    </row>
    <row r="333" spans="1:20" s="31" customFormat="1" ht="15" customHeight="1">
      <c r="B333" s="32"/>
      <c r="C333" s="32"/>
    </row>
    <row r="334" spans="1:20" s="31" customFormat="1" ht="15" customHeight="1">
      <c r="B334" s="32"/>
      <c r="C334" s="32"/>
    </row>
    <row r="335" spans="1:20" s="31" customFormat="1" ht="15" customHeight="1">
      <c r="B335" s="32"/>
      <c r="C335" s="32"/>
    </row>
    <row r="336" spans="1:20" ht="15" customHeight="1">
      <c r="A336" s="31"/>
      <c r="B336" s="32"/>
      <c r="C336" s="32"/>
      <c r="D336" s="31"/>
      <c r="E336" s="31"/>
      <c r="F336" s="31"/>
      <c r="G336" s="31"/>
      <c r="H336" s="31"/>
      <c r="I336" s="31"/>
      <c r="J336" s="31"/>
      <c r="K336" s="31"/>
      <c r="L336" s="31"/>
      <c r="M336" s="31"/>
      <c r="N336" s="31"/>
      <c r="O336" s="31"/>
      <c r="P336" s="31"/>
      <c r="Q336" s="31"/>
      <c r="R336" s="31"/>
      <c r="S336" s="31"/>
      <c r="T336" s="31"/>
    </row>
  </sheetData>
  <sheetProtection selectLockedCells="1"/>
  <mergeCells count="286">
    <mergeCell ref="C184:T185"/>
    <mergeCell ref="C186:T187"/>
    <mergeCell ref="C193:T194"/>
    <mergeCell ref="C188:T189"/>
    <mergeCell ref="C190:T192"/>
    <mergeCell ref="C179:T180"/>
    <mergeCell ref="C238:T239"/>
    <mergeCell ref="C221:T222"/>
    <mergeCell ref="C223:T223"/>
    <mergeCell ref="C234:T236"/>
    <mergeCell ref="K277:T277"/>
    <mergeCell ref="K279:S279"/>
    <mergeCell ref="A283:T284"/>
    <mergeCell ref="D287:G287"/>
    <mergeCell ref="K289:T289"/>
    <mergeCell ref="C243:T244"/>
    <mergeCell ref="B216:T219"/>
    <mergeCell ref="C210:T211"/>
    <mergeCell ref="C212:T214"/>
    <mergeCell ref="H23:I23"/>
    <mergeCell ref="J23:K23"/>
    <mergeCell ref="K290:T290"/>
    <mergeCell ref="K292:S292"/>
    <mergeCell ref="K294:T294"/>
    <mergeCell ref="A264:T264"/>
    <mergeCell ref="K295:T295"/>
    <mergeCell ref="A267:T268"/>
    <mergeCell ref="D271:G271"/>
    <mergeCell ref="K273:T273"/>
    <mergeCell ref="K274:T274"/>
    <mergeCell ref="K275:S275"/>
    <mergeCell ref="A121:A123"/>
    <mergeCell ref="C253:T256"/>
    <mergeCell ref="S146:T146"/>
    <mergeCell ref="A142:F142"/>
    <mergeCell ref="G142:T142"/>
    <mergeCell ref="A143:F149"/>
    <mergeCell ref="G143:T143"/>
    <mergeCell ref="G144:K144"/>
    <mergeCell ref="H28:I28"/>
    <mergeCell ref="J28:K28"/>
    <mergeCell ref="L28:M28"/>
    <mergeCell ref="N28:O28"/>
    <mergeCell ref="U259:V262"/>
    <mergeCell ref="B260:E260"/>
    <mergeCell ref="F260:H260"/>
    <mergeCell ref="I260:L260"/>
    <mergeCell ref="M260:S260"/>
    <mergeCell ref="B261:E261"/>
    <mergeCell ref="F261:L261"/>
    <mergeCell ref="B262:E262"/>
    <mergeCell ref="F262:H262"/>
    <mergeCell ref="I262:L262"/>
    <mergeCell ref="M262:S262"/>
    <mergeCell ref="Y55:AL55"/>
    <mergeCell ref="Y56:AL56"/>
    <mergeCell ref="A1:T2"/>
    <mergeCell ref="A3:T3"/>
    <mergeCell ref="B6:F6"/>
    <mergeCell ref="H6:P6"/>
    <mergeCell ref="Q6:T6"/>
    <mergeCell ref="B7:F7"/>
    <mergeCell ref="H7:T7"/>
    <mergeCell ref="B8:F10"/>
    <mergeCell ref="H8:J8"/>
    <mergeCell ref="K8:T8"/>
    <mergeCell ref="H9:J9"/>
    <mergeCell ref="K9:T9"/>
    <mergeCell ref="H10:J10"/>
    <mergeCell ref="K10:T10"/>
    <mergeCell ref="B14:F14"/>
    <mergeCell ref="H14:T14"/>
    <mergeCell ref="B15:F17"/>
    <mergeCell ref="H15:J15"/>
    <mergeCell ref="N23:O23"/>
    <mergeCell ref="H20:N20"/>
    <mergeCell ref="F24:G24"/>
    <mergeCell ref="H24:I24"/>
    <mergeCell ref="K15:T15"/>
    <mergeCell ref="H16:J16"/>
    <mergeCell ref="K16:T16"/>
    <mergeCell ref="H17:J17"/>
    <mergeCell ref="K17:T17"/>
    <mergeCell ref="B18:F18"/>
    <mergeCell ref="H18:T18"/>
    <mergeCell ref="B19:F19"/>
    <mergeCell ref="H19:T19"/>
    <mergeCell ref="B20:F20"/>
    <mergeCell ref="P20:Q20"/>
    <mergeCell ref="P25:T25"/>
    <mergeCell ref="A26:E26"/>
    <mergeCell ref="F26:G26"/>
    <mergeCell ref="H26:I26"/>
    <mergeCell ref="J26:K26"/>
    <mergeCell ref="L26:M26"/>
    <mergeCell ref="N26:O26"/>
    <mergeCell ref="P26:T26"/>
    <mergeCell ref="J24:K24"/>
    <mergeCell ref="L24:M24"/>
    <mergeCell ref="N24:O24"/>
    <mergeCell ref="A25:E25"/>
    <mergeCell ref="F25:G25"/>
    <mergeCell ref="H25:I25"/>
    <mergeCell ref="J25:K25"/>
    <mergeCell ref="L25:M25"/>
    <mergeCell ref="N25:O25"/>
    <mergeCell ref="L23:M23"/>
    <mergeCell ref="A22:E24"/>
    <mergeCell ref="F22:G23"/>
    <mergeCell ref="H22:O22"/>
    <mergeCell ref="P22:T24"/>
    <mergeCell ref="P28:T28"/>
    <mergeCell ref="A27:E27"/>
    <mergeCell ref="F27:G27"/>
    <mergeCell ref="H27:I27"/>
    <mergeCell ref="J27:K27"/>
    <mergeCell ref="L27:M27"/>
    <mergeCell ref="N27:O27"/>
    <mergeCell ref="P27:T27"/>
    <mergeCell ref="A28:E28"/>
    <mergeCell ref="F28:G28"/>
    <mergeCell ref="P29:T29"/>
    <mergeCell ref="A31:E31"/>
    <mergeCell ref="F31:O31"/>
    <mergeCell ref="P31:T31"/>
    <mergeCell ref="A32:E33"/>
    <mergeCell ref="F32:O32"/>
    <mergeCell ref="P32:T33"/>
    <mergeCell ref="F33:O33"/>
    <mergeCell ref="A29:E29"/>
    <mergeCell ref="F29:G29"/>
    <mergeCell ref="H29:I29"/>
    <mergeCell ref="J29:K29"/>
    <mergeCell ref="L29:M29"/>
    <mergeCell ref="N29:O29"/>
    <mergeCell ref="A34:E35"/>
    <mergeCell ref="F34:O34"/>
    <mergeCell ref="P34:T35"/>
    <mergeCell ref="F35:O35"/>
    <mergeCell ref="A36:E37"/>
    <mergeCell ref="F36:O36"/>
    <mergeCell ref="P36:T37"/>
    <mergeCell ref="F37:O37"/>
    <mergeCell ref="B48:F48"/>
    <mergeCell ref="H48:N48"/>
    <mergeCell ref="A38:E39"/>
    <mergeCell ref="F38:O38"/>
    <mergeCell ref="P38:T39"/>
    <mergeCell ref="F39:O39"/>
    <mergeCell ref="A40:E41"/>
    <mergeCell ref="F40:O40"/>
    <mergeCell ref="P40:T41"/>
    <mergeCell ref="F41:O41"/>
    <mergeCell ref="A43:E44"/>
    <mergeCell ref="F43:T44"/>
    <mergeCell ref="B46:F46"/>
    <mergeCell ref="H46:N46"/>
    <mergeCell ref="B47:F47"/>
    <mergeCell ref="H47:N47"/>
    <mergeCell ref="A54:E54"/>
    <mergeCell ref="F54:T54"/>
    <mergeCell ref="B55:D56"/>
    <mergeCell ref="F55:T55"/>
    <mergeCell ref="C87:T88"/>
    <mergeCell ref="C89:T90"/>
    <mergeCell ref="C91:T92"/>
    <mergeCell ref="C93:T94"/>
    <mergeCell ref="C95:T96"/>
    <mergeCell ref="B63:D64"/>
    <mergeCell ref="F63:T63"/>
    <mergeCell ref="F64:T64"/>
    <mergeCell ref="B65:D66"/>
    <mergeCell ref="F65:T65"/>
    <mergeCell ref="F58:T58"/>
    <mergeCell ref="F56:T56"/>
    <mergeCell ref="F66:T66"/>
    <mergeCell ref="B59:D60"/>
    <mergeCell ref="F59:T60"/>
    <mergeCell ref="B61:D62"/>
    <mergeCell ref="F61:T62"/>
    <mergeCell ref="B57:D58"/>
    <mergeCell ref="F57:T57"/>
    <mergeCell ref="A98:E98"/>
    <mergeCell ref="F98:T98"/>
    <mergeCell ref="E75:O75"/>
    <mergeCell ref="C85:T86"/>
    <mergeCell ref="C80:T83"/>
    <mergeCell ref="A72:T72"/>
    <mergeCell ref="B67:D68"/>
    <mergeCell ref="F67:T68"/>
    <mergeCell ref="B69:D70"/>
    <mergeCell ref="F69:T70"/>
    <mergeCell ref="A99:E103"/>
    <mergeCell ref="F99:T103"/>
    <mergeCell ref="A105:E107"/>
    <mergeCell ref="F105:L105"/>
    <mergeCell ref="M105:T105"/>
    <mergeCell ref="F106:L106"/>
    <mergeCell ref="M106:T106"/>
    <mergeCell ref="F107:L107"/>
    <mergeCell ref="M107:T107"/>
    <mergeCell ref="A104:E104"/>
    <mergeCell ref="F104:T104"/>
    <mergeCell ref="I113:J113"/>
    <mergeCell ref="K113:T113"/>
    <mergeCell ref="I114:J114"/>
    <mergeCell ref="K114:T114"/>
    <mergeCell ref="A110:A114"/>
    <mergeCell ref="B110:E114"/>
    <mergeCell ref="F110:J110"/>
    <mergeCell ref="K110:T110"/>
    <mergeCell ref="F111:J111"/>
    <mergeCell ref="K111:T111"/>
    <mergeCell ref="I112:J112"/>
    <mergeCell ref="K112:T112"/>
    <mergeCell ref="F112:H114"/>
    <mergeCell ref="I134:T134"/>
    <mergeCell ref="S144:T144"/>
    <mergeCell ref="L144:M144"/>
    <mergeCell ref="N144:R144"/>
    <mergeCell ref="A115:A117"/>
    <mergeCell ref="F115:J115"/>
    <mergeCell ref="K115:T115"/>
    <mergeCell ref="F116:J116"/>
    <mergeCell ref="K116:T116"/>
    <mergeCell ref="F117:J117"/>
    <mergeCell ref="K117:T117"/>
    <mergeCell ref="B115:E116"/>
    <mergeCell ref="B117:E117"/>
    <mergeCell ref="A118:A120"/>
    <mergeCell ref="F118:J118"/>
    <mergeCell ref="K118:T118"/>
    <mergeCell ref="F119:J119"/>
    <mergeCell ref="K119:T119"/>
    <mergeCell ref="F120:J120"/>
    <mergeCell ref="K120:T120"/>
    <mergeCell ref="B120:E120"/>
    <mergeCell ref="B118:E119"/>
    <mergeCell ref="A152:T153"/>
    <mergeCell ref="C198:T199"/>
    <mergeCell ref="G149:T149"/>
    <mergeCell ref="C229:T230"/>
    <mergeCell ref="C231:T232"/>
    <mergeCell ref="S147:T147"/>
    <mergeCell ref="G148:K148"/>
    <mergeCell ref="C203:T203"/>
    <mergeCell ref="C224:T227"/>
    <mergeCell ref="C159:T161"/>
    <mergeCell ref="C164:T166"/>
    <mergeCell ref="C167:T170"/>
    <mergeCell ref="C208:T209"/>
    <mergeCell ref="L148:M148"/>
    <mergeCell ref="N148:R148"/>
    <mergeCell ref="C172:T172"/>
    <mergeCell ref="C173:T173"/>
    <mergeCell ref="C158:G158"/>
    <mergeCell ref="C171:T171"/>
    <mergeCell ref="C174:T174"/>
    <mergeCell ref="C175:T175"/>
    <mergeCell ref="C204:T204"/>
    <mergeCell ref="B178:T178"/>
    <mergeCell ref="C182:T183"/>
    <mergeCell ref="G146:K146"/>
    <mergeCell ref="L146:M146"/>
    <mergeCell ref="N146:R146"/>
    <mergeCell ref="S148:T148"/>
    <mergeCell ref="B121:E123"/>
    <mergeCell ref="F121:J121"/>
    <mergeCell ref="K121:T121"/>
    <mergeCell ref="F122:J122"/>
    <mergeCell ref="K122:T122"/>
    <mergeCell ref="F123:J123"/>
    <mergeCell ref="K123:T123"/>
    <mergeCell ref="G145:K145"/>
    <mergeCell ref="L145:M145"/>
    <mergeCell ref="L147:M147"/>
    <mergeCell ref="N147:R147"/>
    <mergeCell ref="G147:K147"/>
    <mergeCell ref="N145:R145"/>
    <mergeCell ref="S145:T145"/>
    <mergeCell ref="A137:T139"/>
    <mergeCell ref="A126:T129"/>
    <mergeCell ref="A130:T132"/>
    <mergeCell ref="B133:H133"/>
    <mergeCell ref="I133:T133"/>
    <mergeCell ref="B134:H134"/>
  </mergeCells>
  <phoneticPr fontId="16"/>
  <dataValidations count="1">
    <dataValidation imeMode="fullAlpha" allowBlank="1" showInputMessage="1" showErrorMessage="1" sqref="H47 K123:T124" xr:uid="{00000000-0002-0000-0200-000000000000}"/>
  </dataValidations>
  <printOptions horizontalCentered="1"/>
  <pageMargins left="0.59055118110236227" right="0.59055118110236227" top="0.59055118110236227" bottom="0.39370078740157483" header="0.31496062992125984" footer="0.19685039370078741"/>
  <pageSetup paperSize="9" scale="98" fitToHeight="0" orientation="portrait" r:id="rId1"/>
  <rowBreaks count="6" manualBreakCount="6">
    <brk id="50" max="19" man="1"/>
    <brk id="104" max="19" man="1"/>
    <brk id="161" max="19" man="1"/>
    <brk id="214" max="19" man="1"/>
    <brk id="264" max="16383" man="1"/>
    <brk id="265"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【マスター】!$N$84:$N$93</xm:f>
          </x14:formula1>
          <xm:sqref>E75:O75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rgb="FFFF0000"/>
    <pageSetUpPr fitToPage="1"/>
  </sheetPr>
  <dimension ref="A1:AO342"/>
  <sheetViews>
    <sheetView view="pageBreakPreview" topLeftCell="A268" zoomScaleNormal="100" zoomScaleSheetLayoutView="100" workbookViewId="0">
      <selection activeCell="C61" sqref="C61:T64"/>
    </sheetView>
  </sheetViews>
  <sheetFormatPr defaultColWidth="9" defaultRowHeight="15" customHeight="1"/>
  <cols>
    <col min="1" max="1" width="4.625" style="1" customWidth="1"/>
    <col min="2" max="3" width="4.625" style="37" customWidth="1"/>
    <col min="4" max="20" width="4.625" style="1" customWidth="1"/>
    <col min="21" max="16384" width="9" style="1"/>
  </cols>
  <sheetData>
    <row r="1" spans="1:20" ht="15" customHeight="1">
      <c r="T1" s="38"/>
    </row>
    <row r="9" spans="1:20" ht="15" customHeight="1">
      <c r="A9" s="1021" t="s">
        <v>720</v>
      </c>
      <c r="B9" s="1021"/>
      <c r="C9" s="1021"/>
      <c r="D9" s="1021"/>
      <c r="E9" s="1021"/>
      <c r="F9" s="1021"/>
      <c r="G9" s="1021"/>
      <c r="H9" s="1021"/>
      <c r="I9" s="1021"/>
      <c r="J9" s="1021"/>
      <c r="K9" s="1021"/>
      <c r="L9" s="1021"/>
      <c r="M9" s="1021"/>
      <c r="N9" s="1021"/>
      <c r="O9" s="1021"/>
      <c r="P9" s="1021"/>
      <c r="Q9" s="1021"/>
      <c r="R9" s="1021"/>
      <c r="S9" s="1021"/>
      <c r="T9" s="1021"/>
    </row>
    <row r="10" spans="1:20" ht="15" customHeight="1">
      <c r="A10" s="1021"/>
      <c r="B10" s="1021"/>
      <c r="C10" s="1021"/>
      <c r="D10" s="1021"/>
      <c r="E10" s="1021"/>
      <c r="F10" s="1021"/>
      <c r="G10" s="1021"/>
      <c r="H10" s="1021"/>
      <c r="I10" s="1021"/>
      <c r="J10" s="1021"/>
      <c r="K10" s="1021"/>
      <c r="L10" s="1021"/>
      <c r="M10" s="1021"/>
      <c r="N10" s="1021"/>
      <c r="O10" s="1021"/>
      <c r="P10" s="1021"/>
      <c r="Q10" s="1021"/>
      <c r="R10" s="1021"/>
      <c r="S10" s="1021"/>
      <c r="T10" s="1021"/>
    </row>
    <row r="11" spans="1:20" ht="15" customHeight="1">
      <c r="A11" s="1021"/>
      <c r="B11" s="1021"/>
      <c r="C11" s="1021"/>
      <c r="D11" s="1021"/>
      <c r="E11" s="1021"/>
      <c r="F11" s="1021"/>
      <c r="G11" s="1021"/>
      <c r="H11" s="1021"/>
      <c r="I11" s="1021"/>
      <c r="J11" s="1021"/>
      <c r="K11" s="1021"/>
      <c r="L11" s="1021"/>
      <c r="M11" s="1021"/>
      <c r="N11" s="1021"/>
      <c r="O11" s="1021"/>
      <c r="P11" s="1021"/>
      <c r="Q11" s="1021"/>
      <c r="R11" s="1021"/>
      <c r="S11" s="1021"/>
      <c r="T11" s="1021"/>
    </row>
    <row r="12" spans="1:20" ht="15" customHeight="1">
      <c r="A12" s="1021" t="s">
        <v>2008</v>
      </c>
      <c r="B12" s="1021"/>
      <c r="C12" s="1021"/>
      <c r="D12" s="1021"/>
      <c r="E12" s="1021"/>
      <c r="F12" s="1021"/>
      <c r="G12" s="1021"/>
      <c r="H12" s="1021"/>
      <c r="I12" s="1021"/>
      <c r="J12" s="1021"/>
      <c r="K12" s="1021"/>
      <c r="L12" s="1021"/>
      <c r="M12" s="1021"/>
      <c r="N12" s="1021"/>
      <c r="O12" s="1021"/>
      <c r="P12" s="1021"/>
      <c r="Q12" s="1021"/>
      <c r="R12" s="1021"/>
      <c r="S12" s="1021"/>
      <c r="T12" s="1021"/>
    </row>
    <row r="13" spans="1:20" ht="15" customHeight="1">
      <c r="A13" s="1021"/>
      <c r="B13" s="1021"/>
      <c r="C13" s="1021"/>
      <c r="D13" s="1021"/>
      <c r="E13" s="1021"/>
      <c r="F13" s="1021"/>
      <c r="G13" s="1021"/>
      <c r="H13" s="1021"/>
      <c r="I13" s="1021"/>
      <c r="J13" s="1021"/>
      <c r="K13" s="1021"/>
      <c r="L13" s="1021"/>
      <c r="M13" s="1021"/>
      <c r="N13" s="1021"/>
      <c r="O13" s="1021"/>
      <c r="P13" s="1021"/>
      <c r="Q13" s="1021"/>
      <c r="R13" s="1021"/>
      <c r="S13" s="1021"/>
      <c r="T13" s="1021"/>
    </row>
    <row r="14" spans="1:20" ht="15" customHeight="1">
      <c r="A14" s="1021"/>
      <c r="B14" s="1021"/>
      <c r="C14" s="1021"/>
      <c r="D14" s="1021"/>
      <c r="E14" s="1021"/>
      <c r="F14" s="1021"/>
      <c r="G14" s="1021"/>
      <c r="H14" s="1021"/>
      <c r="I14" s="1021"/>
      <c r="J14" s="1021"/>
      <c r="K14" s="1021"/>
      <c r="L14" s="1021"/>
      <c r="M14" s="1021"/>
      <c r="N14" s="1021"/>
      <c r="O14" s="1021"/>
      <c r="P14" s="1021"/>
      <c r="Q14" s="1021"/>
      <c r="R14" s="1021"/>
      <c r="S14" s="1021"/>
      <c r="T14" s="1021"/>
    </row>
    <row r="15" spans="1:20" ht="15" customHeight="1">
      <c r="A15" s="1021" t="s">
        <v>2009</v>
      </c>
      <c r="B15" s="1021"/>
      <c r="C15" s="1021"/>
      <c r="D15" s="1021"/>
      <c r="E15" s="1021"/>
      <c r="F15" s="1021"/>
      <c r="G15" s="1021"/>
      <c r="H15" s="1021"/>
      <c r="I15" s="1021"/>
      <c r="J15" s="1021"/>
      <c r="K15" s="1021"/>
      <c r="L15" s="1021"/>
      <c r="M15" s="1021"/>
      <c r="N15" s="1021"/>
      <c r="O15" s="1021"/>
      <c r="P15" s="1021"/>
      <c r="Q15" s="1021"/>
      <c r="R15" s="1021"/>
      <c r="S15" s="1021"/>
      <c r="T15" s="1021"/>
    </row>
    <row r="16" spans="1:20" ht="15" customHeight="1">
      <c r="A16" s="1021"/>
      <c r="B16" s="1021"/>
      <c r="C16" s="1021"/>
      <c r="D16" s="1021"/>
      <c r="E16" s="1021"/>
      <c r="F16" s="1021"/>
      <c r="G16" s="1021"/>
      <c r="H16" s="1021"/>
      <c r="I16" s="1021"/>
      <c r="J16" s="1021"/>
      <c r="K16" s="1021"/>
      <c r="L16" s="1021"/>
      <c r="M16" s="1021"/>
      <c r="N16" s="1021"/>
      <c r="O16" s="1021"/>
      <c r="P16" s="1021"/>
      <c r="Q16" s="1021"/>
      <c r="R16" s="1021"/>
      <c r="S16" s="1021"/>
      <c r="T16" s="1021"/>
    </row>
    <row r="17" spans="1:20" ht="15" customHeight="1">
      <c r="A17" s="1021"/>
      <c r="B17" s="1021"/>
      <c r="C17" s="1021"/>
      <c r="D17" s="1021"/>
      <c r="E17" s="1021"/>
      <c r="F17" s="1021"/>
      <c r="G17" s="1021"/>
      <c r="H17" s="1021"/>
      <c r="I17" s="1021"/>
      <c r="J17" s="1021"/>
      <c r="K17" s="1021"/>
      <c r="L17" s="1021"/>
      <c r="M17" s="1021"/>
      <c r="N17" s="1021"/>
      <c r="O17" s="1021"/>
      <c r="P17" s="1021"/>
      <c r="Q17" s="1021"/>
      <c r="R17" s="1021"/>
      <c r="S17" s="1021"/>
      <c r="T17" s="1021"/>
    </row>
    <row r="20" spans="1:20" ht="15" customHeight="1">
      <c r="B20" s="1022" t="str">
        <f>IF(【マスター】!C7="","",【マスター】!C7)</f>
        <v>デイサービスさくら亭</v>
      </c>
      <c r="C20" s="1022"/>
      <c r="D20" s="1022"/>
      <c r="E20" s="1022"/>
      <c r="F20" s="1022"/>
      <c r="G20" s="1022"/>
      <c r="H20" s="1022"/>
      <c r="I20" s="1022"/>
      <c r="J20" s="1022"/>
      <c r="K20" s="1022"/>
      <c r="L20" s="1022"/>
      <c r="M20" s="1022"/>
      <c r="N20" s="1022"/>
      <c r="O20" s="1022"/>
      <c r="P20" s="1022"/>
      <c r="Q20" s="1022"/>
      <c r="R20" s="1022"/>
      <c r="S20" s="1022"/>
      <c r="T20" s="39"/>
    </row>
    <row r="21" spans="1:20" ht="15" customHeight="1">
      <c r="A21" s="39"/>
      <c r="B21" s="1022"/>
      <c r="C21" s="1022"/>
      <c r="D21" s="1022"/>
      <c r="E21" s="1022"/>
      <c r="F21" s="1022"/>
      <c r="G21" s="1022"/>
      <c r="H21" s="1022"/>
      <c r="I21" s="1022"/>
      <c r="J21" s="1022"/>
      <c r="K21" s="1022"/>
      <c r="L21" s="1022"/>
      <c r="M21" s="1022"/>
      <c r="N21" s="1022"/>
      <c r="O21" s="1022"/>
      <c r="P21" s="1022"/>
      <c r="Q21" s="1022"/>
      <c r="R21" s="1022"/>
      <c r="S21" s="1022"/>
      <c r="T21" s="39"/>
    </row>
    <row r="22" spans="1:20" ht="15" customHeight="1">
      <c r="A22" s="39"/>
      <c r="B22" s="1022"/>
      <c r="C22" s="1022"/>
      <c r="D22" s="1022"/>
      <c r="E22" s="1022"/>
      <c r="F22" s="1022"/>
      <c r="G22" s="1022"/>
      <c r="H22" s="1022"/>
      <c r="I22" s="1022"/>
      <c r="J22" s="1022"/>
      <c r="K22" s="1022"/>
      <c r="L22" s="1022"/>
      <c r="M22" s="1022"/>
      <c r="N22" s="1022"/>
      <c r="O22" s="1022"/>
      <c r="P22" s="1022"/>
      <c r="Q22" s="1022"/>
      <c r="R22" s="1022"/>
      <c r="S22" s="1022"/>
      <c r="T22" s="39"/>
    </row>
    <row r="53" spans="1:20" ht="15" customHeight="1">
      <c r="A53" s="1023" t="str">
        <f>IF(【マスター】!C22="","",【マスター】!C22)</f>
        <v>株式会社ケアサポート</v>
      </c>
      <c r="B53" s="1023"/>
      <c r="C53" s="1023"/>
      <c r="D53" s="1023"/>
      <c r="E53" s="1023"/>
      <c r="F53" s="1023"/>
      <c r="G53" s="1023"/>
      <c r="H53" s="1023"/>
      <c r="I53" s="1023"/>
      <c r="J53" s="1023"/>
      <c r="K53" s="1023"/>
      <c r="L53" s="1023"/>
      <c r="M53" s="1023"/>
      <c r="N53" s="1023"/>
      <c r="O53" s="1023"/>
      <c r="P53" s="1023"/>
      <c r="Q53" s="1023"/>
      <c r="R53" s="1023"/>
      <c r="S53" s="1023"/>
      <c r="T53" s="1023"/>
    </row>
    <row r="56" spans="1:20" ht="15" customHeight="1">
      <c r="A56" s="1024" t="s">
        <v>904</v>
      </c>
      <c r="B56" s="1024"/>
      <c r="C56" s="1024"/>
      <c r="D56" s="1024"/>
      <c r="E56" s="1024"/>
      <c r="F56" s="1024"/>
      <c r="G56" s="1024"/>
      <c r="H56" s="1024"/>
      <c r="I56" s="1024"/>
      <c r="J56" s="1024"/>
      <c r="K56" s="1024"/>
      <c r="L56" s="1024"/>
      <c r="M56" s="1024"/>
      <c r="N56" s="1024"/>
      <c r="O56" s="1024"/>
      <c r="P56" s="1024"/>
      <c r="Q56" s="1024"/>
      <c r="R56" s="1024"/>
      <c r="S56" s="1024"/>
      <c r="T56" s="1024"/>
    </row>
    <row r="57" spans="1:20" ht="15" customHeight="1">
      <c r="A57" s="1024"/>
      <c r="B57" s="1024"/>
      <c r="C57" s="1024"/>
      <c r="D57" s="1024"/>
      <c r="E57" s="1024"/>
      <c r="F57" s="1024"/>
      <c r="G57" s="1024"/>
      <c r="H57" s="1024"/>
      <c r="I57" s="1024"/>
      <c r="J57" s="1024"/>
      <c r="K57" s="1024"/>
      <c r="L57" s="1024"/>
      <c r="M57" s="1024"/>
      <c r="N57" s="1024"/>
      <c r="O57" s="1024"/>
      <c r="P57" s="1024"/>
      <c r="Q57" s="1024"/>
      <c r="R57" s="1024"/>
      <c r="S57" s="1024"/>
      <c r="T57" s="1024"/>
    </row>
    <row r="58" spans="1:20" s="31" customFormat="1" ht="45" customHeight="1">
      <c r="A58" s="1013" t="str">
        <f>IF(【マスター】!B156="","　利用者                    （以下「甲」という。）と事業者 "&amp;【マスター】!C22&amp;"(以下「乙」という。）とは、介護サポートサービスの利用に関して次のとおり契約を結びます。","　利用者 "&amp;【マスター】!B156&amp;" （以下「甲」という。）と事業者 "&amp;【マスター】!C22&amp;"(以下「乙」という。）とは、通所介護サービスの利用に関して次のとおり契約を結びます。")</f>
        <v>　利用者                    （以下「甲」という。）と事業者 株式会社ケアサポート(以下「乙」という。）とは、介護サポートサービスの利用に関して次のとおり契約を結びます。</v>
      </c>
      <c r="B58" s="1013"/>
      <c r="C58" s="1013"/>
      <c r="D58" s="1013"/>
      <c r="E58" s="1013"/>
      <c r="F58" s="1013"/>
      <c r="G58" s="1013"/>
      <c r="H58" s="1013"/>
      <c r="I58" s="1013"/>
      <c r="J58" s="1013"/>
      <c r="K58" s="1013"/>
      <c r="L58" s="1013"/>
      <c r="M58" s="1013"/>
      <c r="N58" s="1013"/>
      <c r="O58" s="1013"/>
      <c r="P58" s="1013"/>
      <c r="Q58" s="1013"/>
      <c r="R58" s="1013"/>
      <c r="S58" s="1013"/>
      <c r="T58" s="1013"/>
    </row>
    <row r="59" spans="1:20" s="31" customFormat="1" ht="15" customHeight="1">
      <c r="B59" s="32"/>
      <c r="C59" s="32"/>
    </row>
    <row r="60" spans="1:20" s="31" customFormat="1" ht="15" customHeight="1">
      <c r="A60" s="31" t="s">
        <v>722</v>
      </c>
      <c r="B60" s="32"/>
      <c r="C60" s="32"/>
    </row>
    <row r="61" spans="1:20" s="31" customFormat="1" ht="15" customHeight="1">
      <c r="A61" s="31" t="s">
        <v>723</v>
      </c>
      <c r="B61" s="32"/>
      <c r="C61" s="1013" t="s">
        <v>905</v>
      </c>
      <c r="D61" s="1013"/>
      <c r="E61" s="1013"/>
      <c r="F61" s="1013"/>
      <c r="G61" s="1013"/>
      <c r="H61" s="1013"/>
      <c r="I61" s="1013"/>
      <c r="J61" s="1013"/>
      <c r="K61" s="1013"/>
      <c r="L61" s="1013"/>
      <c r="M61" s="1013"/>
      <c r="N61" s="1013"/>
      <c r="O61" s="1013"/>
      <c r="P61" s="1013"/>
      <c r="Q61" s="1013"/>
      <c r="R61" s="1013"/>
      <c r="S61" s="1013"/>
      <c r="T61" s="1013"/>
    </row>
    <row r="62" spans="1:20" s="31" customFormat="1" ht="15" customHeight="1">
      <c r="B62" s="32"/>
      <c r="C62" s="1013"/>
      <c r="D62" s="1013"/>
      <c r="E62" s="1013"/>
      <c r="F62" s="1013"/>
      <c r="G62" s="1013"/>
      <c r="H62" s="1013"/>
      <c r="I62" s="1013"/>
      <c r="J62" s="1013"/>
      <c r="K62" s="1013"/>
      <c r="L62" s="1013"/>
      <c r="M62" s="1013"/>
      <c r="N62" s="1013"/>
      <c r="O62" s="1013"/>
      <c r="P62" s="1013"/>
      <c r="Q62" s="1013"/>
      <c r="R62" s="1013"/>
      <c r="S62" s="1013"/>
      <c r="T62" s="1013"/>
    </row>
    <row r="63" spans="1:20" s="31" customFormat="1" ht="15" customHeight="1">
      <c r="B63" s="32"/>
      <c r="C63" s="1013"/>
      <c r="D63" s="1013"/>
      <c r="E63" s="1013"/>
      <c r="F63" s="1013"/>
      <c r="G63" s="1013"/>
      <c r="H63" s="1013"/>
      <c r="I63" s="1013"/>
      <c r="J63" s="1013"/>
      <c r="K63" s="1013"/>
      <c r="L63" s="1013"/>
      <c r="M63" s="1013"/>
      <c r="N63" s="1013"/>
      <c r="O63" s="1013"/>
      <c r="P63" s="1013"/>
      <c r="Q63" s="1013"/>
      <c r="R63" s="1013"/>
      <c r="S63" s="1013"/>
      <c r="T63" s="1013"/>
    </row>
    <row r="64" spans="1:20" s="31" customFormat="1" ht="15" customHeight="1">
      <c r="B64" s="32"/>
      <c r="C64" s="1013"/>
      <c r="D64" s="1013"/>
      <c r="E64" s="1013"/>
      <c r="F64" s="1013"/>
      <c r="G64" s="1013"/>
      <c r="H64" s="1013"/>
      <c r="I64" s="1013"/>
      <c r="J64" s="1013"/>
      <c r="K64" s="1013"/>
      <c r="L64" s="1013"/>
      <c r="M64" s="1013"/>
      <c r="N64" s="1013"/>
      <c r="O64" s="1013"/>
      <c r="P64" s="1013"/>
      <c r="Q64" s="1013"/>
      <c r="R64" s="1013"/>
      <c r="S64" s="1013"/>
      <c r="T64" s="1013"/>
    </row>
    <row r="65" spans="1:21" s="31" customFormat="1" ht="15" customHeight="1">
      <c r="B65" s="32" t="s">
        <v>725</v>
      </c>
      <c r="C65" s="1013" t="s">
        <v>906</v>
      </c>
      <c r="D65" s="1013"/>
      <c r="E65" s="1013"/>
      <c r="F65" s="1013"/>
      <c r="G65" s="1013"/>
      <c r="H65" s="1013"/>
      <c r="I65" s="1013"/>
      <c r="J65" s="1013"/>
      <c r="K65" s="1013"/>
      <c r="L65" s="1013"/>
      <c r="M65" s="1013"/>
      <c r="N65" s="1013"/>
      <c r="O65" s="1013"/>
      <c r="P65" s="1013"/>
      <c r="Q65" s="1013"/>
      <c r="R65" s="1013"/>
      <c r="S65" s="1013"/>
      <c r="T65" s="1013"/>
    </row>
    <row r="66" spans="1:21" s="31" customFormat="1" ht="15" customHeight="1">
      <c r="B66" s="32"/>
      <c r="C66" s="1013"/>
      <c r="D66" s="1013"/>
      <c r="E66" s="1013"/>
      <c r="F66" s="1013"/>
      <c r="G66" s="1013"/>
      <c r="H66" s="1013"/>
      <c r="I66" s="1013"/>
      <c r="J66" s="1013"/>
      <c r="K66" s="1013"/>
      <c r="L66" s="1013"/>
      <c r="M66" s="1013"/>
      <c r="N66" s="1013"/>
      <c r="O66" s="1013"/>
      <c r="P66" s="1013"/>
      <c r="Q66" s="1013"/>
      <c r="R66" s="1013"/>
      <c r="S66" s="1013"/>
      <c r="T66" s="1013"/>
    </row>
    <row r="67" spans="1:21" s="31" customFormat="1" ht="15" customHeight="1">
      <c r="B67" s="32"/>
      <c r="C67" s="32"/>
    </row>
    <row r="68" spans="1:21" s="31" customFormat="1" ht="15" customHeight="1">
      <c r="A68" s="31" t="s">
        <v>727</v>
      </c>
      <c r="B68" s="32"/>
      <c r="C68" s="32"/>
    </row>
    <row r="69" spans="1:21" s="31" customFormat="1" ht="15" customHeight="1">
      <c r="A69" s="31" t="s">
        <v>728</v>
      </c>
      <c r="B69" s="32"/>
      <c r="C69" s="1013" t="s">
        <v>907</v>
      </c>
      <c r="D69" s="1229"/>
      <c r="E69" s="1229"/>
      <c r="F69" s="1229"/>
      <c r="G69" s="1229"/>
      <c r="H69" s="1229"/>
      <c r="J69" s="522"/>
      <c r="K69" s="522"/>
      <c r="L69" s="522"/>
      <c r="M69" s="522"/>
      <c r="N69" s="522"/>
      <c r="O69" s="522"/>
      <c r="P69" s="522"/>
      <c r="Q69" s="522"/>
      <c r="R69" s="522"/>
      <c r="S69" s="522"/>
      <c r="T69" s="522"/>
    </row>
    <row r="70" spans="1:21" s="31" customFormat="1" ht="15" customHeight="1">
      <c r="B70" s="32"/>
      <c r="C70" s="1230" t="s">
        <v>2038</v>
      </c>
      <c r="D70" s="1231"/>
      <c r="E70" s="1231"/>
      <c r="F70" s="1231"/>
      <c r="G70" s="1231"/>
      <c r="H70" s="1231"/>
      <c r="I70" s="1231"/>
      <c r="J70" s="1231"/>
      <c r="K70" s="1231"/>
      <c r="L70" s="1231"/>
      <c r="M70" s="1231"/>
      <c r="N70" s="1013" t="s">
        <v>908</v>
      </c>
      <c r="O70" s="1232"/>
      <c r="P70" s="1232"/>
      <c r="Q70" s="1232"/>
      <c r="R70" s="1232"/>
      <c r="S70" s="1232"/>
      <c r="T70" s="1232"/>
      <c r="U70" s="33"/>
    </row>
    <row r="71" spans="1:21" s="31" customFormat="1" ht="15" customHeight="1">
      <c r="B71" s="32" t="s">
        <v>725</v>
      </c>
      <c r="C71" s="1013" t="s">
        <v>909</v>
      </c>
      <c r="D71" s="1013"/>
      <c r="E71" s="1013"/>
      <c r="F71" s="1013"/>
      <c r="G71" s="1013"/>
      <c r="H71" s="1013"/>
      <c r="I71" s="1013"/>
      <c r="J71" s="1013"/>
      <c r="K71" s="1013"/>
      <c r="L71" s="1013"/>
      <c r="M71" s="1013"/>
      <c r="N71" s="1013"/>
      <c r="O71" s="1013"/>
      <c r="P71" s="1013"/>
      <c r="Q71" s="1013"/>
      <c r="R71" s="1013"/>
      <c r="S71" s="1013"/>
      <c r="T71" s="1013"/>
    </row>
    <row r="72" spans="1:21" s="31" customFormat="1" ht="15" customHeight="1">
      <c r="B72" s="32"/>
      <c r="C72" s="1013"/>
      <c r="D72" s="1013"/>
      <c r="E72" s="1013"/>
      <c r="F72" s="1013"/>
      <c r="G72" s="1013"/>
      <c r="H72" s="1013"/>
      <c r="I72" s="1013"/>
      <c r="J72" s="1013"/>
      <c r="K72" s="1013"/>
      <c r="L72" s="1013"/>
      <c r="M72" s="1013"/>
      <c r="N72" s="1013"/>
      <c r="O72" s="1013"/>
      <c r="P72" s="1013"/>
      <c r="Q72" s="1013"/>
      <c r="R72" s="1013"/>
      <c r="S72" s="1013"/>
      <c r="T72" s="1013"/>
    </row>
    <row r="73" spans="1:21" s="31" customFormat="1" ht="15" customHeight="1">
      <c r="B73" s="32"/>
      <c r="C73" s="1013"/>
      <c r="D73" s="1013"/>
      <c r="E73" s="1013"/>
      <c r="F73" s="1013"/>
      <c r="G73" s="1013"/>
      <c r="H73" s="1013"/>
      <c r="I73" s="1013"/>
      <c r="J73" s="1013"/>
      <c r="K73" s="1013"/>
      <c r="L73" s="1013"/>
      <c r="M73" s="1013"/>
      <c r="N73" s="1013"/>
      <c r="O73" s="1013"/>
      <c r="P73" s="1013"/>
      <c r="Q73" s="1013"/>
      <c r="R73" s="1013"/>
      <c r="S73" s="1013"/>
      <c r="T73" s="1013"/>
    </row>
    <row r="74" spans="1:21" s="31" customFormat="1" ht="15" customHeight="1">
      <c r="B74" s="32"/>
      <c r="C74" s="513"/>
      <c r="D74" s="512"/>
      <c r="E74" s="512"/>
      <c r="F74" s="512"/>
      <c r="G74" s="512"/>
      <c r="H74" s="512"/>
      <c r="I74" s="512"/>
      <c r="J74" s="512"/>
      <c r="K74" s="512"/>
      <c r="L74" s="512"/>
      <c r="M74" s="512"/>
      <c r="N74" s="512"/>
      <c r="O74" s="512"/>
      <c r="P74" s="512"/>
      <c r="Q74" s="512"/>
      <c r="R74" s="512"/>
      <c r="S74" s="512"/>
      <c r="T74" s="512"/>
    </row>
    <row r="75" spans="1:21" s="31" customFormat="1" ht="15" customHeight="1">
      <c r="A75" s="31" t="s">
        <v>734</v>
      </c>
      <c r="B75" s="32"/>
      <c r="C75" s="32"/>
    </row>
    <row r="76" spans="1:21" s="31" customFormat="1" ht="15" customHeight="1">
      <c r="A76" s="31" t="s">
        <v>735</v>
      </c>
      <c r="B76" s="32"/>
      <c r="C76" s="1013" t="s">
        <v>910</v>
      </c>
      <c r="D76" s="1013"/>
      <c r="E76" s="1013"/>
      <c r="F76" s="1013"/>
      <c r="G76" s="1013"/>
      <c r="H76" s="1013"/>
      <c r="I76" s="1013"/>
      <c r="J76" s="1013"/>
      <c r="K76" s="1013"/>
      <c r="L76" s="1013"/>
      <c r="M76" s="1013"/>
      <c r="N76" s="1013"/>
      <c r="O76" s="1013"/>
      <c r="P76" s="1013"/>
      <c r="Q76" s="1013"/>
      <c r="R76" s="1013"/>
      <c r="S76" s="1013"/>
      <c r="T76" s="1013"/>
    </row>
    <row r="77" spans="1:21" s="31" customFormat="1" ht="15" customHeight="1">
      <c r="B77" s="32"/>
      <c r="C77" s="1013"/>
      <c r="D77" s="1013"/>
      <c r="E77" s="1013"/>
      <c r="F77" s="1013"/>
      <c r="G77" s="1013"/>
      <c r="H77" s="1013"/>
      <c r="I77" s="1013"/>
      <c r="J77" s="1013"/>
      <c r="K77" s="1013"/>
      <c r="L77" s="1013"/>
      <c r="M77" s="1013"/>
      <c r="N77" s="1013"/>
      <c r="O77" s="1013"/>
      <c r="P77" s="1013"/>
      <c r="Q77" s="1013"/>
      <c r="R77" s="1013"/>
      <c r="S77" s="1013"/>
      <c r="T77" s="1013"/>
    </row>
    <row r="78" spans="1:21" s="31" customFormat="1" ht="15" customHeight="1">
      <c r="B78" s="32"/>
      <c r="C78" s="1013"/>
      <c r="D78" s="1013"/>
      <c r="E78" s="1013"/>
      <c r="F78" s="1013"/>
      <c r="G78" s="1013"/>
      <c r="H78" s="1013"/>
      <c r="I78" s="1013"/>
      <c r="J78" s="1013"/>
      <c r="K78" s="1013"/>
      <c r="L78" s="1013"/>
      <c r="M78" s="1013"/>
      <c r="N78" s="1013"/>
      <c r="O78" s="1013"/>
      <c r="P78" s="1013"/>
      <c r="Q78" s="1013"/>
      <c r="R78" s="1013"/>
      <c r="S78" s="1013"/>
      <c r="T78" s="1013"/>
    </row>
    <row r="79" spans="1:21" s="31" customFormat="1" ht="15" customHeight="1">
      <c r="B79" s="32"/>
      <c r="C79" s="32"/>
    </row>
    <row r="80" spans="1:21" s="31" customFormat="1" ht="15" customHeight="1">
      <c r="A80" s="31" t="s">
        <v>911</v>
      </c>
      <c r="B80" s="32"/>
      <c r="C80" s="32"/>
    </row>
    <row r="81" spans="1:20" s="31" customFormat="1" ht="15" customHeight="1">
      <c r="A81" s="31" t="s">
        <v>738</v>
      </c>
      <c r="B81" s="32"/>
      <c r="C81" s="1013" t="s">
        <v>912</v>
      </c>
      <c r="D81" s="1013"/>
      <c r="E81" s="1013"/>
      <c r="F81" s="1013"/>
      <c r="G81" s="1013"/>
      <c r="H81" s="1013"/>
      <c r="I81" s="1013"/>
      <c r="J81" s="1013"/>
      <c r="K81" s="1013"/>
      <c r="L81" s="1013"/>
      <c r="M81" s="1013"/>
      <c r="N81" s="1013"/>
      <c r="O81" s="1013"/>
      <c r="P81" s="1013"/>
      <c r="Q81" s="1013"/>
      <c r="R81" s="1013"/>
      <c r="S81" s="1013"/>
      <c r="T81" s="1013"/>
    </row>
    <row r="82" spans="1:20" s="31" customFormat="1" ht="15" customHeight="1">
      <c r="B82" s="32"/>
      <c r="C82" s="1013"/>
      <c r="D82" s="1013"/>
      <c r="E82" s="1013"/>
      <c r="F82" s="1013"/>
      <c r="G82" s="1013"/>
      <c r="H82" s="1013"/>
      <c r="I82" s="1013"/>
      <c r="J82" s="1013"/>
      <c r="K82" s="1013"/>
      <c r="L82" s="1013"/>
      <c r="M82" s="1013"/>
      <c r="N82" s="1013"/>
      <c r="O82" s="1013"/>
      <c r="P82" s="1013"/>
      <c r="Q82" s="1013"/>
      <c r="R82" s="1013"/>
      <c r="S82" s="1013"/>
      <c r="T82" s="1013"/>
    </row>
    <row r="83" spans="1:20" s="31" customFormat="1" ht="15" customHeight="1">
      <c r="B83" s="32"/>
      <c r="C83" s="1013"/>
      <c r="D83" s="1013"/>
      <c r="E83" s="1013"/>
      <c r="F83" s="1013"/>
      <c r="G83" s="1013"/>
      <c r="H83" s="1013"/>
      <c r="I83" s="1013"/>
      <c r="J83" s="1013"/>
      <c r="K83" s="1013"/>
      <c r="L83" s="1013"/>
      <c r="M83" s="1013"/>
      <c r="N83" s="1013"/>
      <c r="O83" s="1013"/>
      <c r="P83" s="1013"/>
      <c r="Q83" s="1013"/>
      <c r="R83" s="1013"/>
      <c r="S83" s="1013"/>
      <c r="T83" s="1013"/>
    </row>
    <row r="84" spans="1:20" s="31" customFormat="1" ht="15" customHeight="1">
      <c r="B84" s="32" t="s">
        <v>725</v>
      </c>
      <c r="C84" s="1013" t="s">
        <v>913</v>
      </c>
      <c r="D84" s="1013"/>
      <c r="E84" s="1013"/>
      <c r="F84" s="1013"/>
      <c r="G84" s="1013"/>
      <c r="H84" s="1013"/>
      <c r="I84" s="1013"/>
      <c r="J84" s="1013"/>
      <c r="K84" s="1013"/>
      <c r="L84" s="1013"/>
      <c r="M84" s="1013"/>
      <c r="N84" s="1013"/>
      <c r="O84" s="1013"/>
      <c r="P84" s="1013"/>
      <c r="Q84" s="1013"/>
      <c r="R84" s="1013"/>
      <c r="S84" s="1013"/>
      <c r="T84" s="1013"/>
    </row>
    <row r="85" spans="1:20" s="31" customFormat="1" ht="15" customHeight="1">
      <c r="B85" s="32"/>
      <c r="C85" s="1013"/>
      <c r="D85" s="1013"/>
      <c r="E85" s="1013"/>
      <c r="F85" s="1013"/>
      <c r="G85" s="1013"/>
      <c r="H85" s="1013"/>
      <c r="I85" s="1013"/>
      <c r="J85" s="1013"/>
      <c r="K85" s="1013"/>
      <c r="L85" s="1013"/>
      <c r="M85" s="1013"/>
      <c r="N85" s="1013"/>
      <c r="O85" s="1013"/>
      <c r="P85" s="1013"/>
      <c r="Q85" s="1013"/>
      <c r="R85" s="1013"/>
      <c r="S85" s="1013"/>
      <c r="T85" s="1013"/>
    </row>
    <row r="86" spans="1:20" s="31" customFormat="1" ht="15" customHeight="1">
      <c r="B86" s="32" t="s">
        <v>741</v>
      </c>
      <c r="C86" s="1013" t="s">
        <v>914</v>
      </c>
      <c r="D86" s="1013"/>
      <c r="E86" s="1013"/>
      <c r="F86" s="1013"/>
      <c r="G86" s="1013"/>
      <c r="H86" s="1013"/>
      <c r="I86" s="1013"/>
      <c r="J86" s="1013"/>
      <c r="K86" s="1013"/>
      <c r="L86" s="1013"/>
      <c r="M86" s="1013"/>
      <c r="N86" s="1013"/>
      <c r="O86" s="1013"/>
      <c r="P86" s="1013"/>
      <c r="Q86" s="1013"/>
      <c r="R86" s="1013"/>
      <c r="S86" s="1013"/>
      <c r="T86" s="1013"/>
    </row>
    <row r="87" spans="1:20" s="31" customFormat="1" ht="15" customHeight="1">
      <c r="B87" s="32"/>
      <c r="C87" s="1013"/>
      <c r="D87" s="1013"/>
      <c r="E87" s="1013"/>
      <c r="F87" s="1013"/>
      <c r="G87" s="1013"/>
      <c r="H87" s="1013"/>
      <c r="I87" s="1013"/>
      <c r="J87" s="1013"/>
      <c r="K87" s="1013"/>
      <c r="L87" s="1013"/>
      <c r="M87" s="1013"/>
      <c r="N87" s="1013"/>
      <c r="O87" s="1013"/>
      <c r="P87" s="1013"/>
      <c r="Q87" s="1013"/>
      <c r="R87" s="1013"/>
      <c r="S87" s="1013"/>
      <c r="T87" s="1013"/>
    </row>
    <row r="88" spans="1:20" s="31" customFormat="1" ht="15" customHeight="1">
      <c r="B88" s="32" t="s">
        <v>743</v>
      </c>
      <c r="C88" s="1013" t="s">
        <v>915</v>
      </c>
      <c r="D88" s="1013"/>
      <c r="E88" s="1013"/>
      <c r="F88" s="1013"/>
      <c r="G88" s="1013"/>
      <c r="H88" s="1013"/>
      <c r="I88" s="1013"/>
      <c r="J88" s="1013"/>
      <c r="K88" s="1013"/>
      <c r="L88" s="1013"/>
      <c r="M88" s="1013"/>
      <c r="N88" s="1013"/>
      <c r="O88" s="1013"/>
      <c r="P88" s="1013"/>
      <c r="Q88" s="1013"/>
      <c r="R88" s="1013"/>
      <c r="S88" s="1013"/>
      <c r="T88" s="1013"/>
    </row>
    <row r="89" spans="1:20" s="31" customFormat="1" ht="15" customHeight="1">
      <c r="B89" s="32"/>
      <c r="C89" s="1013"/>
      <c r="D89" s="1013"/>
      <c r="E89" s="1013"/>
      <c r="F89" s="1013"/>
      <c r="G89" s="1013"/>
      <c r="H89" s="1013"/>
      <c r="I89" s="1013"/>
      <c r="J89" s="1013"/>
      <c r="K89" s="1013"/>
      <c r="L89" s="1013"/>
      <c r="M89" s="1013"/>
      <c r="N89" s="1013"/>
      <c r="O89" s="1013"/>
      <c r="P89" s="1013"/>
      <c r="Q89" s="1013"/>
      <c r="R89" s="1013"/>
      <c r="S89" s="1013"/>
      <c r="T89" s="1013"/>
    </row>
    <row r="90" spans="1:20" s="31" customFormat="1" ht="15" customHeight="1">
      <c r="B90" s="1233" t="s">
        <v>745</v>
      </c>
      <c r="C90" s="1233"/>
      <c r="D90" s="1013" t="s">
        <v>916</v>
      </c>
      <c r="E90" s="1013"/>
      <c r="F90" s="1013"/>
      <c r="G90" s="1013"/>
      <c r="H90" s="1013"/>
      <c r="I90" s="1013"/>
      <c r="J90" s="1013"/>
      <c r="K90" s="1013"/>
      <c r="L90" s="1013"/>
      <c r="M90" s="1013"/>
      <c r="N90" s="1013"/>
      <c r="O90" s="1013"/>
      <c r="P90" s="1013"/>
      <c r="Q90" s="1013"/>
      <c r="R90" s="1013"/>
      <c r="S90" s="1013"/>
      <c r="T90" s="1013"/>
    </row>
    <row r="91" spans="1:20" s="31" customFormat="1" ht="15" customHeight="1">
      <c r="B91" s="32"/>
      <c r="C91" s="34"/>
      <c r="D91" s="1013"/>
      <c r="E91" s="1013"/>
      <c r="F91" s="1013"/>
      <c r="G91" s="1013"/>
      <c r="H91" s="1013"/>
      <c r="I91" s="1013"/>
      <c r="J91" s="1013"/>
      <c r="K91" s="1013"/>
      <c r="L91" s="1013"/>
      <c r="M91" s="1013"/>
      <c r="N91" s="1013"/>
      <c r="O91" s="1013"/>
      <c r="P91" s="1013"/>
      <c r="Q91" s="1013"/>
      <c r="R91" s="1013"/>
      <c r="S91" s="1013"/>
      <c r="T91" s="1013"/>
    </row>
    <row r="92" spans="1:20" s="31" customFormat="1" ht="15" customHeight="1">
      <c r="B92" s="1227" t="s">
        <v>747</v>
      </c>
      <c r="C92" s="1227"/>
      <c r="D92" s="31" t="s">
        <v>917</v>
      </c>
    </row>
    <row r="93" spans="1:20" s="31" customFormat="1" ht="15" customHeight="1">
      <c r="B93" s="32" t="s">
        <v>749</v>
      </c>
      <c r="C93" s="1013" t="s">
        <v>918</v>
      </c>
      <c r="D93" s="1013"/>
      <c r="E93" s="1013"/>
      <c r="F93" s="1013"/>
      <c r="G93" s="1013"/>
      <c r="H93" s="1013"/>
      <c r="I93" s="1013"/>
      <c r="J93" s="1013"/>
      <c r="K93" s="1013"/>
      <c r="L93" s="1013"/>
      <c r="M93" s="1013"/>
      <c r="N93" s="1013"/>
      <c r="O93" s="1013"/>
      <c r="P93" s="1013"/>
      <c r="Q93" s="1013"/>
      <c r="R93" s="1013"/>
      <c r="S93" s="1013"/>
      <c r="T93" s="1013"/>
    </row>
    <row r="94" spans="1:20" s="31" customFormat="1" ht="15" customHeight="1">
      <c r="B94" s="32"/>
      <c r="C94" s="1013"/>
      <c r="D94" s="1013"/>
      <c r="E94" s="1013"/>
      <c r="F94" s="1013"/>
      <c r="G94" s="1013"/>
      <c r="H94" s="1013"/>
      <c r="I94" s="1013"/>
      <c r="J94" s="1013"/>
      <c r="K94" s="1013"/>
      <c r="L94" s="1013"/>
      <c r="M94" s="1013"/>
      <c r="N94" s="1013"/>
      <c r="O94" s="1013"/>
      <c r="P94" s="1013"/>
      <c r="Q94" s="1013"/>
      <c r="R94" s="1013"/>
      <c r="S94" s="1013"/>
      <c r="T94" s="1013"/>
    </row>
    <row r="95" spans="1:20" s="31" customFormat="1" ht="15" customHeight="1">
      <c r="B95" s="32" t="s">
        <v>751</v>
      </c>
      <c r="C95" s="1013" t="s">
        <v>919</v>
      </c>
      <c r="D95" s="1013"/>
      <c r="E95" s="1013"/>
      <c r="F95" s="1013"/>
      <c r="G95" s="1013"/>
      <c r="H95" s="1013"/>
      <c r="I95" s="1013"/>
      <c r="J95" s="1013"/>
      <c r="K95" s="1013"/>
      <c r="L95" s="1013"/>
      <c r="M95" s="1013"/>
      <c r="N95" s="1013"/>
      <c r="O95" s="1013"/>
      <c r="P95" s="1013"/>
      <c r="Q95" s="1013"/>
      <c r="R95" s="1013"/>
      <c r="S95" s="1013"/>
      <c r="T95" s="1013"/>
    </row>
    <row r="96" spans="1:20" s="31" customFormat="1" ht="15" customHeight="1">
      <c r="B96" s="32"/>
      <c r="C96" s="1013"/>
      <c r="D96" s="1013"/>
      <c r="E96" s="1013"/>
      <c r="F96" s="1013"/>
      <c r="G96" s="1013"/>
      <c r="H96" s="1013"/>
      <c r="I96" s="1013"/>
      <c r="J96" s="1013"/>
      <c r="K96" s="1013"/>
      <c r="L96" s="1013"/>
      <c r="M96" s="1013"/>
      <c r="N96" s="1013"/>
      <c r="O96" s="1013"/>
      <c r="P96" s="1013"/>
      <c r="Q96" s="1013"/>
      <c r="R96" s="1013"/>
      <c r="S96" s="1013"/>
      <c r="T96" s="1013"/>
    </row>
    <row r="97" spans="1:24" s="31" customFormat="1" ht="15" customHeight="1">
      <c r="B97" s="32"/>
      <c r="C97" s="32"/>
    </row>
    <row r="98" spans="1:24" s="31" customFormat="1" ht="15" customHeight="1">
      <c r="A98" s="31" t="s">
        <v>920</v>
      </c>
      <c r="B98" s="32"/>
      <c r="C98" s="32"/>
    </row>
    <row r="99" spans="1:24" s="31" customFormat="1" ht="15" customHeight="1">
      <c r="A99" s="31" t="s">
        <v>754</v>
      </c>
      <c r="B99" s="32"/>
      <c r="C99" s="32" t="s">
        <v>921</v>
      </c>
    </row>
    <row r="100" spans="1:24" s="31" customFormat="1" ht="15" customHeight="1">
      <c r="B100" s="32" t="s">
        <v>725</v>
      </c>
      <c r="C100" s="1013" t="s">
        <v>922</v>
      </c>
      <c r="D100" s="1013"/>
      <c r="E100" s="1013"/>
      <c r="F100" s="1013"/>
      <c r="G100" s="1013"/>
      <c r="H100" s="1013"/>
      <c r="I100" s="1013"/>
      <c r="J100" s="1013"/>
      <c r="K100" s="1013"/>
      <c r="L100" s="1013"/>
      <c r="M100" s="1013"/>
      <c r="N100" s="1013"/>
      <c r="O100" s="1013"/>
      <c r="P100" s="1013"/>
      <c r="Q100" s="1013"/>
      <c r="R100" s="1013"/>
      <c r="S100" s="1013"/>
      <c r="T100" s="1013"/>
    </row>
    <row r="101" spans="1:24" s="31" customFormat="1" ht="15" customHeight="1">
      <c r="B101" s="32"/>
      <c r="C101" s="1013"/>
      <c r="D101" s="1013"/>
      <c r="E101" s="1013"/>
      <c r="F101" s="1013"/>
      <c r="G101" s="1013"/>
      <c r="H101" s="1013"/>
      <c r="I101" s="1013"/>
      <c r="J101" s="1013"/>
      <c r="K101" s="1013"/>
      <c r="L101" s="1013"/>
      <c r="M101" s="1013"/>
      <c r="N101" s="1013"/>
      <c r="O101" s="1013"/>
      <c r="P101" s="1013"/>
      <c r="Q101" s="1013"/>
      <c r="R101" s="1013"/>
      <c r="S101" s="1013"/>
      <c r="T101" s="1013"/>
    </row>
    <row r="102" spans="1:24" s="31" customFormat="1" ht="15" customHeight="1">
      <c r="B102" s="32" t="s">
        <v>741</v>
      </c>
      <c r="C102" s="1013" t="s">
        <v>758</v>
      </c>
      <c r="D102" s="1013"/>
      <c r="E102" s="1013"/>
      <c r="F102" s="1013"/>
      <c r="G102" s="1013"/>
      <c r="H102" s="1013"/>
      <c r="I102" s="1013"/>
      <c r="J102" s="1013"/>
      <c r="K102" s="1013"/>
      <c r="L102" s="1013"/>
      <c r="M102" s="1013"/>
      <c r="N102" s="1013"/>
      <c r="O102" s="1013"/>
      <c r="P102" s="1013"/>
      <c r="Q102" s="1013"/>
      <c r="R102" s="1013"/>
      <c r="S102" s="1013"/>
      <c r="T102" s="1013"/>
    </row>
    <row r="103" spans="1:24" s="31" customFormat="1" ht="15" customHeight="1">
      <c r="B103" s="32"/>
      <c r="C103" s="1013"/>
      <c r="D103" s="1013"/>
      <c r="E103" s="1013"/>
      <c r="F103" s="1013"/>
      <c r="G103" s="1013"/>
      <c r="H103" s="1013"/>
      <c r="I103" s="1013"/>
      <c r="J103" s="1013"/>
      <c r="K103" s="1013"/>
      <c r="L103" s="1013"/>
      <c r="M103" s="1013"/>
      <c r="N103" s="1013"/>
      <c r="O103" s="1013"/>
      <c r="P103" s="1013"/>
      <c r="Q103" s="1013"/>
      <c r="R103" s="1013"/>
      <c r="S103" s="1013"/>
      <c r="T103" s="1013"/>
    </row>
    <row r="104" spans="1:24" s="31" customFormat="1" ht="15" customHeight="1">
      <c r="B104" s="32"/>
      <c r="C104" s="1013"/>
      <c r="D104" s="1013"/>
      <c r="E104" s="1013"/>
      <c r="F104" s="1013"/>
      <c r="G104" s="1013"/>
      <c r="H104" s="1013"/>
      <c r="I104" s="1013"/>
      <c r="J104" s="1013"/>
      <c r="K104" s="1013"/>
      <c r="L104" s="1013"/>
      <c r="M104" s="1013"/>
      <c r="N104" s="1013"/>
      <c r="O104" s="1013"/>
      <c r="P104" s="1013"/>
      <c r="Q104" s="1013"/>
      <c r="R104" s="1013"/>
      <c r="S104" s="1013"/>
      <c r="T104" s="1013"/>
    </row>
    <row r="105" spans="1:24" s="31" customFormat="1" ht="15" customHeight="1">
      <c r="B105" s="197" t="s">
        <v>743</v>
      </c>
      <c r="C105" s="1228" t="s">
        <v>923</v>
      </c>
      <c r="D105" s="1228"/>
      <c r="E105" s="1228"/>
      <c r="F105" s="1228"/>
      <c r="G105" s="1228"/>
      <c r="H105" s="1228"/>
      <c r="I105" s="1228"/>
      <c r="J105" s="1228"/>
      <c r="K105" s="1228"/>
      <c r="L105" s="1228"/>
      <c r="M105" s="1228"/>
      <c r="N105" s="1228"/>
      <c r="O105" s="1228"/>
      <c r="P105" s="1228"/>
      <c r="Q105" s="1228"/>
      <c r="R105" s="1228"/>
      <c r="S105" s="1228"/>
      <c r="T105" s="1228"/>
    </row>
    <row r="106" spans="1:24" s="31" customFormat="1" ht="15" customHeight="1">
      <c r="B106" s="197"/>
      <c r="C106" s="1228"/>
      <c r="D106" s="1228"/>
      <c r="E106" s="1228"/>
      <c r="F106" s="1228"/>
      <c r="G106" s="1228"/>
      <c r="H106" s="1228"/>
      <c r="I106" s="1228"/>
      <c r="J106" s="1228"/>
      <c r="K106" s="1228"/>
      <c r="L106" s="1228"/>
      <c r="M106" s="1228"/>
      <c r="N106" s="1228"/>
      <c r="O106" s="1228"/>
      <c r="P106" s="1228"/>
      <c r="Q106" s="1228"/>
      <c r="R106" s="1228"/>
      <c r="S106" s="1228"/>
      <c r="T106" s="1228"/>
    </row>
    <row r="107" spans="1:24" s="31" customFormat="1" ht="15" customHeight="1">
      <c r="B107" s="32"/>
      <c r="C107" s="512"/>
      <c r="D107" s="512"/>
      <c r="E107" s="512"/>
      <c r="F107" s="512"/>
      <c r="G107" s="512"/>
      <c r="H107" s="512"/>
      <c r="I107" s="512"/>
      <c r="J107" s="512"/>
      <c r="K107" s="512"/>
      <c r="L107" s="512"/>
      <c r="M107" s="512"/>
      <c r="N107" s="512"/>
      <c r="O107" s="512"/>
      <c r="P107" s="512"/>
      <c r="Q107" s="512"/>
      <c r="R107" s="512"/>
      <c r="S107" s="512"/>
      <c r="T107" s="512"/>
    </row>
    <row r="108" spans="1:24" s="31" customFormat="1" ht="15" customHeight="1">
      <c r="A108" s="31" t="s">
        <v>759</v>
      </c>
      <c r="B108" s="32"/>
      <c r="C108" s="32"/>
    </row>
    <row r="109" spans="1:24" s="31" customFormat="1" ht="15" customHeight="1">
      <c r="A109" s="31" t="s">
        <v>760</v>
      </c>
      <c r="B109" s="32"/>
      <c r="C109" s="1013" t="s">
        <v>924</v>
      </c>
      <c r="D109" s="1013"/>
      <c r="E109" s="1013"/>
      <c r="F109" s="1013"/>
      <c r="G109" s="1013"/>
      <c r="H109" s="1013"/>
      <c r="I109" s="1013"/>
      <c r="J109" s="1013"/>
      <c r="K109" s="1013"/>
      <c r="L109" s="1013"/>
      <c r="M109" s="1013"/>
      <c r="N109" s="1013"/>
      <c r="O109" s="1013"/>
      <c r="P109" s="1013"/>
      <c r="Q109" s="1013"/>
      <c r="R109" s="1013"/>
      <c r="S109" s="1013"/>
      <c r="T109" s="1013"/>
    </row>
    <row r="110" spans="1:24" s="31" customFormat="1" ht="15" customHeight="1">
      <c r="B110" s="32"/>
      <c r="C110" s="1013"/>
      <c r="D110" s="1013"/>
      <c r="E110" s="1013"/>
      <c r="F110" s="1013"/>
      <c r="G110" s="1013"/>
      <c r="H110" s="1013"/>
      <c r="I110" s="1013"/>
      <c r="J110" s="1013"/>
      <c r="K110" s="1013"/>
      <c r="L110" s="1013"/>
      <c r="M110" s="1013"/>
      <c r="N110" s="1013"/>
      <c r="O110" s="1013"/>
      <c r="P110" s="1013"/>
      <c r="Q110" s="1013"/>
      <c r="R110" s="1013"/>
      <c r="S110" s="1013"/>
      <c r="T110" s="1013"/>
    </row>
    <row r="111" spans="1:24" s="31" customFormat="1" ht="15" customHeight="1">
      <c r="B111" s="32"/>
      <c r="C111" s="1013"/>
      <c r="D111" s="1013"/>
      <c r="E111" s="1013"/>
      <c r="F111" s="1013"/>
      <c r="G111" s="1013"/>
      <c r="H111" s="1013"/>
      <c r="I111" s="1013"/>
      <c r="J111" s="1013"/>
      <c r="K111" s="1013"/>
      <c r="L111" s="1013"/>
      <c r="M111" s="1013"/>
      <c r="N111" s="1013"/>
      <c r="O111" s="1013"/>
      <c r="P111" s="1013"/>
      <c r="Q111" s="1013"/>
      <c r="R111" s="1013"/>
      <c r="S111" s="1013"/>
      <c r="T111" s="1013"/>
    </row>
    <row r="112" spans="1:24" s="31" customFormat="1" ht="35.1" customHeight="1">
      <c r="B112" s="31" t="s">
        <v>725</v>
      </c>
      <c r="C112" s="1013" t="s">
        <v>762</v>
      </c>
      <c r="D112" s="1013"/>
      <c r="E112" s="1013"/>
      <c r="F112" s="1013"/>
      <c r="G112" s="1013"/>
      <c r="H112" s="1013"/>
      <c r="I112" s="1013"/>
      <c r="J112" s="1013"/>
      <c r="K112" s="1013"/>
      <c r="L112" s="1013"/>
      <c r="M112" s="1013"/>
      <c r="N112" s="1013"/>
      <c r="O112" s="1013"/>
      <c r="P112" s="1013"/>
      <c r="Q112" s="1013"/>
      <c r="R112" s="1013"/>
      <c r="S112" s="1013"/>
      <c r="T112" s="1013"/>
      <c r="U112" s="196"/>
      <c r="V112" s="196"/>
      <c r="X112" s="196"/>
    </row>
    <row r="113" spans="1:20" s="31" customFormat="1" ht="15" customHeight="1">
      <c r="B113" s="32"/>
      <c r="C113" s="512"/>
      <c r="D113" s="512"/>
      <c r="E113" s="512"/>
      <c r="F113" s="512"/>
      <c r="G113" s="512"/>
      <c r="H113" s="512"/>
      <c r="I113" s="512"/>
      <c r="J113" s="512"/>
      <c r="K113" s="512"/>
      <c r="L113" s="512"/>
      <c r="M113" s="512"/>
      <c r="N113" s="512"/>
      <c r="O113" s="512"/>
      <c r="P113" s="512"/>
      <c r="Q113" s="512"/>
      <c r="R113" s="512"/>
      <c r="S113" s="512"/>
      <c r="T113" s="512"/>
    </row>
    <row r="114" spans="1:20" s="31" customFormat="1" ht="15" customHeight="1">
      <c r="A114" s="31" t="s">
        <v>763</v>
      </c>
      <c r="B114" s="32"/>
      <c r="C114" s="32"/>
    </row>
    <row r="115" spans="1:20" s="31" customFormat="1" ht="15" customHeight="1">
      <c r="A115" s="31" t="s">
        <v>764</v>
      </c>
      <c r="B115" s="32"/>
      <c r="C115" s="1013" t="s">
        <v>925</v>
      </c>
      <c r="D115" s="1013"/>
      <c r="E115" s="1013"/>
      <c r="F115" s="1013"/>
      <c r="G115" s="1013"/>
      <c r="H115" s="1013"/>
      <c r="I115" s="1013"/>
      <c r="J115" s="1013"/>
      <c r="K115" s="1013"/>
      <c r="L115" s="1013"/>
      <c r="M115" s="1013"/>
      <c r="N115" s="1013"/>
      <c r="O115" s="1013"/>
      <c r="P115" s="1013"/>
      <c r="Q115" s="1013"/>
      <c r="R115" s="1013"/>
      <c r="S115" s="1013"/>
      <c r="T115" s="1013"/>
    </row>
    <row r="116" spans="1:20" s="31" customFormat="1" ht="15" customHeight="1">
      <c r="B116" s="32"/>
      <c r="C116" s="1013"/>
      <c r="D116" s="1013"/>
      <c r="E116" s="1013"/>
      <c r="F116" s="1013"/>
      <c r="G116" s="1013"/>
      <c r="H116" s="1013"/>
      <c r="I116" s="1013"/>
      <c r="J116" s="1013"/>
      <c r="K116" s="1013"/>
      <c r="L116" s="1013"/>
      <c r="M116" s="1013"/>
      <c r="N116" s="1013"/>
      <c r="O116" s="1013"/>
      <c r="P116" s="1013"/>
      <c r="Q116" s="1013"/>
      <c r="R116" s="1013"/>
      <c r="S116" s="1013"/>
      <c r="T116" s="1013"/>
    </row>
    <row r="117" spans="1:20" s="31" customFormat="1" ht="15" customHeight="1">
      <c r="B117" s="32"/>
      <c r="C117" s="32"/>
    </row>
    <row r="118" spans="1:20" s="31" customFormat="1" ht="15" customHeight="1">
      <c r="A118" s="31" t="s">
        <v>766</v>
      </c>
      <c r="B118" s="32"/>
      <c r="C118" s="32"/>
    </row>
    <row r="119" spans="1:20" s="31" customFormat="1" ht="15" customHeight="1">
      <c r="A119" s="31" t="s">
        <v>767</v>
      </c>
      <c r="B119" s="32"/>
      <c r="C119" s="1013" t="s">
        <v>926</v>
      </c>
      <c r="D119" s="1013"/>
      <c r="E119" s="1013"/>
      <c r="F119" s="1013"/>
      <c r="G119" s="1013"/>
      <c r="H119" s="1013"/>
      <c r="I119" s="1013"/>
      <c r="J119" s="1013"/>
      <c r="K119" s="1013"/>
      <c r="L119" s="1013"/>
      <c r="M119" s="1013"/>
      <c r="N119" s="1013"/>
      <c r="O119" s="1013"/>
      <c r="P119" s="1013"/>
      <c r="Q119" s="1013"/>
      <c r="R119" s="1013"/>
      <c r="S119" s="1013"/>
      <c r="T119" s="1013"/>
    </row>
    <row r="120" spans="1:20" s="31" customFormat="1" ht="15" customHeight="1">
      <c r="B120" s="32"/>
      <c r="C120" s="1013"/>
      <c r="D120" s="1013"/>
      <c r="E120" s="1013"/>
      <c r="F120" s="1013"/>
      <c r="G120" s="1013"/>
      <c r="H120" s="1013"/>
      <c r="I120" s="1013"/>
      <c r="J120" s="1013"/>
      <c r="K120" s="1013"/>
      <c r="L120" s="1013"/>
      <c r="M120" s="1013"/>
      <c r="N120" s="1013"/>
      <c r="O120" s="1013"/>
      <c r="P120" s="1013"/>
      <c r="Q120" s="1013"/>
      <c r="R120" s="1013"/>
      <c r="S120" s="1013"/>
      <c r="T120" s="1013"/>
    </row>
    <row r="121" spans="1:20" s="31" customFormat="1" ht="15" customHeight="1">
      <c r="B121" s="32"/>
      <c r="C121" s="1013"/>
      <c r="D121" s="1013"/>
      <c r="E121" s="1013"/>
      <c r="F121" s="1013"/>
      <c r="G121" s="1013"/>
      <c r="H121" s="1013"/>
      <c r="I121" s="1013"/>
      <c r="J121" s="1013"/>
      <c r="K121" s="1013"/>
      <c r="L121" s="1013"/>
      <c r="M121" s="1013"/>
      <c r="N121" s="1013"/>
      <c r="O121" s="1013"/>
      <c r="P121" s="1013"/>
      <c r="Q121" s="1013"/>
      <c r="R121" s="1013"/>
      <c r="S121" s="1013"/>
      <c r="T121" s="1013"/>
    </row>
    <row r="122" spans="1:20" s="31" customFormat="1" ht="15" customHeight="1">
      <c r="B122" s="32" t="s">
        <v>725</v>
      </c>
      <c r="C122" s="1013" t="s">
        <v>769</v>
      </c>
      <c r="D122" s="1013"/>
      <c r="E122" s="1013"/>
      <c r="F122" s="1013"/>
      <c r="G122" s="1013"/>
      <c r="H122" s="1013"/>
      <c r="I122" s="1013"/>
      <c r="J122" s="1013"/>
      <c r="K122" s="1013"/>
      <c r="L122" s="1013"/>
      <c r="M122" s="1013"/>
      <c r="N122" s="1013"/>
      <c r="O122" s="1013"/>
      <c r="P122" s="1013"/>
      <c r="Q122" s="1013"/>
      <c r="R122" s="1013"/>
      <c r="S122" s="1013"/>
      <c r="T122" s="1013"/>
    </row>
    <row r="123" spans="1:20" s="31" customFormat="1" ht="15" customHeight="1">
      <c r="B123" s="32"/>
      <c r="C123" s="1013"/>
      <c r="D123" s="1013"/>
      <c r="E123" s="1013"/>
      <c r="F123" s="1013"/>
      <c r="G123" s="1013"/>
      <c r="H123" s="1013"/>
      <c r="I123" s="1013"/>
      <c r="J123" s="1013"/>
      <c r="K123" s="1013"/>
      <c r="L123" s="1013"/>
      <c r="M123" s="1013"/>
      <c r="N123" s="1013"/>
      <c r="O123" s="1013"/>
      <c r="P123" s="1013"/>
      <c r="Q123" s="1013"/>
      <c r="R123" s="1013"/>
      <c r="S123" s="1013"/>
      <c r="T123" s="1013"/>
    </row>
    <row r="124" spans="1:20" s="31" customFormat="1" ht="15" customHeight="1">
      <c r="B124" s="32"/>
      <c r="C124" s="32"/>
    </row>
    <row r="125" spans="1:20" s="31" customFormat="1" ht="15" customHeight="1">
      <c r="A125" s="31" t="s">
        <v>770</v>
      </c>
      <c r="B125" s="32"/>
      <c r="C125" s="32"/>
    </row>
    <row r="126" spans="1:20" s="31" customFormat="1" ht="15" customHeight="1">
      <c r="A126" s="31" t="s">
        <v>771</v>
      </c>
      <c r="B126" s="32"/>
      <c r="C126" s="32" t="s">
        <v>772</v>
      </c>
    </row>
    <row r="127" spans="1:20" s="31" customFormat="1" ht="15" customHeight="1">
      <c r="B127" s="1227" t="s">
        <v>745</v>
      </c>
      <c r="C127" s="1227"/>
      <c r="D127" s="31" t="s">
        <v>773</v>
      </c>
    </row>
    <row r="128" spans="1:20" s="31" customFormat="1" ht="15" customHeight="1">
      <c r="B128" s="1227" t="s">
        <v>747</v>
      </c>
      <c r="C128" s="1227"/>
      <c r="D128" s="31" t="s">
        <v>774</v>
      </c>
    </row>
    <row r="129" spans="1:41" s="31" customFormat="1" ht="15" customHeight="1">
      <c r="B129" s="1227" t="s">
        <v>775</v>
      </c>
      <c r="C129" s="1227"/>
      <c r="D129" s="31" t="s">
        <v>776</v>
      </c>
    </row>
    <row r="130" spans="1:41" s="31" customFormat="1" ht="15" customHeight="1">
      <c r="B130" s="32" t="s">
        <v>725</v>
      </c>
      <c r="C130" s="1013" t="s">
        <v>927</v>
      </c>
      <c r="D130" s="1013"/>
      <c r="E130" s="1013"/>
      <c r="F130" s="1013"/>
      <c r="G130" s="1013"/>
      <c r="H130" s="1013"/>
      <c r="I130" s="1013"/>
      <c r="J130" s="1013"/>
      <c r="K130" s="1013"/>
      <c r="L130" s="1013"/>
      <c r="M130" s="1013"/>
      <c r="N130" s="1013"/>
      <c r="O130" s="1013"/>
      <c r="P130" s="1013"/>
      <c r="Q130" s="1013"/>
      <c r="R130" s="1013"/>
      <c r="S130" s="1013"/>
      <c r="T130" s="1013"/>
    </row>
    <row r="131" spans="1:41" s="31" customFormat="1" ht="15" customHeight="1">
      <c r="B131" s="32"/>
      <c r="C131" s="1013"/>
      <c r="D131" s="1013"/>
      <c r="E131" s="1013"/>
      <c r="F131" s="1013"/>
      <c r="G131" s="1013"/>
      <c r="H131" s="1013"/>
      <c r="I131" s="1013"/>
      <c r="J131" s="1013"/>
      <c r="K131" s="1013"/>
      <c r="L131" s="1013"/>
      <c r="M131" s="1013"/>
      <c r="N131" s="1013"/>
      <c r="O131" s="1013"/>
      <c r="P131" s="1013"/>
      <c r="Q131" s="1013"/>
      <c r="R131" s="1013"/>
      <c r="S131" s="1013"/>
      <c r="T131" s="1013"/>
    </row>
    <row r="132" spans="1:41" s="31" customFormat="1" ht="15" customHeight="1">
      <c r="B132" s="32"/>
      <c r="C132" s="1013"/>
      <c r="D132" s="1013"/>
      <c r="E132" s="1013"/>
      <c r="F132" s="1013"/>
      <c r="G132" s="1013"/>
      <c r="H132" s="1013"/>
      <c r="I132" s="1013"/>
      <c r="J132" s="1013"/>
      <c r="K132" s="1013"/>
      <c r="L132" s="1013"/>
      <c r="M132" s="1013"/>
      <c r="N132" s="1013"/>
      <c r="O132" s="1013"/>
      <c r="P132" s="1013"/>
      <c r="Q132" s="1013"/>
      <c r="R132" s="1013"/>
      <c r="S132" s="1013"/>
      <c r="T132" s="1013"/>
    </row>
    <row r="133" spans="1:41" s="31" customFormat="1" ht="15" customHeight="1">
      <c r="B133" s="32"/>
      <c r="C133" s="32"/>
    </row>
    <row r="134" spans="1:41" s="31" customFormat="1" ht="15" customHeight="1">
      <c r="A134" s="31" t="s">
        <v>777</v>
      </c>
      <c r="B134" s="32"/>
      <c r="C134" s="32"/>
    </row>
    <row r="135" spans="1:41" s="31" customFormat="1" ht="15" customHeight="1">
      <c r="A135" s="31" t="s">
        <v>778</v>
      </c>
      <c r="B135" s="32"/>
      <c r="C135" s="1013" t="s">
        <v>928</v>
      </c>
      <c r="D135" s="1013"/>
      <c r="E135" s="1013"/>
      <c r="F135" s="1013"/>
      <c r="G135" s="1013"/>
      <c r="H135" s="1013"/>
      <c r="I135" s="1013"/>
      <c r="J135" s="1013"/>
      <c r="K135" s="1013"/>
      <c r="L135" s="1013"/>
      <c r="M135" s="1013"/>
      <c r="N135" s="1013"/>
      <c r="O135" s="1013"/>
      <c r="P135" s="1013"/>
      <c r="Q135" s="1013"/>
      <c r="R135" s="1013"/>
      <c r="S135" s="1013"/>
      <c r="T135" s="1013"/>
    </row>
    <row r="136" spans="1:41" s="31" customFormat="1" ht="15" customHeight="1">
      <c r="B136" s="32"/>
      <c r="C136" s="1013"/>
      <c r="D136" s="1013"/>
      <c r="E136" s="1013"/>
      <c r="F136" s="1013"/>
      <c r="G136" s="1013"/>
      <c r="H136" s="1013"/>
      <c r="I136" s="1013"/>
      <c r="J136" s="1013"/>
      <c r="K136" s="1013"/>
      <c r="L136" s="1013"/>
      <c r="M136" s="1013"/>
      <c r="N136" s="1013"/>
      <c r="O136" s="1013"/>
      <c r="P136" s="1013"/>
      <c r="Q136" s="1013"/>
      <c r="R136" s="1013"/>
      <c r="S136" s="1013"/>
      <c r="T136" s="1013"/>
    </row>
    <row r="137" spans="1:41" s="31" customFormat="1" ht="15" customHeight="1">
      <c r="B137" s="32"/>
      <c r="C137" s="1013"/>
      <c r="D137" s="1013"/>
      <c r="E137" s="1013"/>
      <c r="F137" s="1013"/>
      <c r="G137" s="1013"/>
      <c r="H137" s="1013"/>
      <c r="I137" s="1013"/>
      <c r="J137" s="1013"/>
      <c r="K137" s="1013"/>
      <c r="L137" s="1013"/>
      <c r="M137" s="1013"/>
      <c r="N137" s="1013"/>
      <c r="O137" s="1013"/>
      <c r="P137" s="1013"/>
      <c r="Q137" s="1013"/>
      <c r="R137" s="1013"/>
      <c r="S137" s="1013"/>
      <c r="T137" s="1013"/>
    </row>
    <row r="138" spans="1:41" s="31" customFormat="1" ht="15" customHeight="1">
      <c r="B138" s="32" t="s">
        <v>725</v>
      </c>
      <c r="C138" s="1013" t="s">
        <v>929</v>
      </c>
      <c r="D138" s="1013"/>
      <c r="E138" s="1013"/>
      <c r="F138" s="1013"/>
      <c r="G138" s="1013"/>
      <c r="H138" s="1013"/>
      <c r="I138" s="1013"/>
      <c r="J138" s="1013"/>
      <c r="K138" s="1013"/>
      <c r="L138" s="1013"/>
      <c r="M138" s="1013"/>
      <c r="N138" s="1013"/>
      <c r="O138" s="1013"/>
      <c r="P138" s="1013"/>
      <c r="Q138" s="1013"/>
      <c r="R138" s="1013"/>
      <c r="S138" s="1013"/>
      <c r="T138" s="1013"/>
    </row>
    <row r="139" spans="1:41" s="31" customFormat="1" ht="15" customHeight="1">
      <c r="B139" s="32"/>
      <c r="C139" s="1013"/>
      <c r="D139" s="1013"/>
      <c r="E139" s="1013"/>
      <c r="F139" s="1013"/>
      <c r="G139" s="1013"/>
      <c r="H139" s="1013"/>
      <c r="I139" s="1013"/>
      <c r="J139" s="1013"/>
      <c r="K139" s="1013"/>
      <c r="L139" s="1013"/>
      <c r="M139" s="1013"/>
      <c r="N139" s="1013"/>
      <c r="O139" s="1013"/>
      <c r="P139" s="1013"/>
      <c r="Q139" s="1013"/>
      <c r="R139" s="1013"/>
      <c r="S139" s="1013"/>
      <c r="T139" s="1013"/>
    </row>
    <row r="140" spans="1:41" s="31" customFormat="1" ht="15" customHeight="1">
      <c r="B140" s="32"/>
      <c r="C140" s="1013"/>
      <c r="D140" s="1013"/>
      <c r="E140" s="1013"/>
      <c r="F140" s="1013"/>
      <c r="G140" s="1013"/>
      <c r="H140" s="1013"/>
      <c r="I140" s="1013"/>
      <c r="J140" s="1013"/>
      <c r="K140" s="1013"/>
      <c r="L140" s="1013"/>
      <c r="M140" s="1013"/>
      <c r="N140" s="1013"/>
      <c r="O140" s="1013"/>
      <c r="P140" s="1013"/>
      <c r="Q140" s="1013"/>
      <c r="R140" s="1013"/>
      <c r="S140" s="1013"/>
      <c r="T140" s="1013"/>
    </row>
    <row r="141" spans="1:41" s="31" customFormat="1" ht="15" customHeight="1">
      <c r="B141" s="32"/>
      <c r="C141" s="1013"/>
      <c r="D141" s="1013"/>
      <c r="E141" s="1013"/>
      <c r="F141" s="1013"/>
      <c r="G141" s="1013"/>
      <c r="H141" s="1013"/>
      <c r="I141" s="1013"/>
      <c r="J141" s="1013"/>
      <c r="K141" s="1013"/>
      <c r="L141" s="1013"/>
      <c r="M141" s="1013"/>
      <c r="N141" s="1013"/>
      <c r="O141" s="1013"/>
      <c r="P141" s="1013"/>
      <c r="Q141" s="1013"/>
      <c r="R141" s="1013"/>
      <c r="S141" s="1013"/>
      <c r="T141" s="1013"/>
    </row>
    <row r="142" spans="1:41" s="31" customFormat="1" ht="15" customHeight="1">
      <c r="B142" s="32"/>
      <c r="C142" s="32"/>
    </row>
    <row r="143" spans="1:41" s="31" customFormat="1" ht="15" customHeight="1">
      <c r="A143" s="32" t="s">
        <v>1781</v>
      </c>
      <c r="B143" s="661"/>
      <c r="C143" s="661"/>
      <c r="D143" s="661"/>
      <c r="E143" s="661"/>
      <c r="F143" s="662"/>
      <c r="G143" s="662"/>
      <c r="H143" s="662"/>
      <c r="I143" s="662"/>
      <c r="J143" s="662"/>
      <c r="K143" s="662"/>
      <c r="L143" s="662"/>
      <c r="M143" s="662"/>
      <c r="N143" s="662"/>
      <c r="O143" s="662"/>
      <c r="P143" s="662"/>
      <c r="Q143" s="662"/>
      <c r="R143" s="662"/>
      <c r="S143" s="662"/>
      <c r="T143" s="73"/>
      <c r="U143" s="196"/>
      <c r="W143" s="196"/>
      <c r="X143" s="196"/>
      <c r="Y143" s="512"/>
      <c r="Z143" s="512"/>
      <c r="AM143" s="666" t="s">
        <v>1741</v>
      </c>
    </row>
    <row r="144" spans="1:41" s="31" customFormat="1" ht="30" customHeight="1">
      <c r="A144" s="31" t="s">
        <v>781</v>
      </c>
      <c r="C144" s="1018" t="s">
        <v>1782</v>
      </c>
      <c r="D144" s="1018"/>
      <c r="E144" s="1018"/>
      <c r="F144" s="1018"/>
      <c r="G144" s="1018"/>
      <c r="H144" s="1018"/>
      <c r="I144" s="1018"/>
      <c r="J144" s="1018"/>
      <c r="K144" s="1018"/>
      <c r="L144" s="1018"/>
      <c r="M144" s="1018"/>
      <c r="N144" s="1018"/>
      <c r="O144" s="1018"/>
      <c r="P144" s="1018"/>
      <c r="Q144" s="1018"/>
      <c r="R144" s="1018"/>
      <c r="S144" s="1018"/>
      <c r="T144" s="1018"/>
      <c r="U144" s="720"/>
      <c r="V144" s="196"/>
      <c r="W144" s="33"/>
      <c r="X144" s="33"/>
      <c r="Y144" s="33"/>
      <c r="Z144" s="33"/>
      <c r="AA144" s="33"/>
      <c r="AB144" s="33"/>
      <c r="AC144" s="33"/>
      <c r="AD144" s="33"/>
      <c r="AE144" s="33"/>
      <c r="AF144" s="33"/>
      <c r="AG144" s="33"/>
      <c r="AH144" s="33"/>
      <c r="AI144" s="33"/>
      <c r="AJ144" s="33"/>
      <c r="AK144" s="33"/>
      <c r="AL144" s="33"/>
      <c r="AM144" s="33"/>
      <c r="AN144" s="33"/>
      <c r="AO144" s="33"/>
    </row>
    <row r="145" spans="1:41" s="31" customFormat="1" ht="15" customHeight="1">
      <c r="A145" s="663"/>
      <c r="B145" s="717"/>
      <c r="C145" s="1018" t="s">
        <v>1832</v>
      </c>
      <c r="D145" s="1018"/>
      <c r="E145" s="1018"/>
      <c r="F145" s="1018"/>
      <c r="G145" s="1018"/>
      <c r="H145" s="1018"/>
      <c r="I145" s="1018"/>
      <c r="J145" s="1018"/>
      <c r="K145" s="1018"/>
      <c r="L145" s="1018"/>
      <c r="M145" s="1018"/>
      <c r="N145" s="1018"/>
      <c r="O145" s="1018"/>
      <c r="P145" s="1018"/>
      <c r="Q145" s="1018"/>
      <c r="R145" s="1018"/>
      <c r="S145" s="1018"/>
      <c r="T145" s="1018"/>
      <c r="V145" s="196"/>
      <c r="W145" s="33"/>
      <c r="X145" s="33"/>
      <c r="Y145" s="33"/>
      <c r="Z145" s="33"/>
      <c r="AA145" s="33"/>
      <c r="AB145" s="33"/>
      <c r="AC145" s="33"/>
      <c r="AD145" s="33"/>
      <c r="AE145" s="33"/>
      <c r="AF145" s="33"/>
      <c r="AG145" s="33"/>
      <c r="AH145" s="33"/>
      <c r="AI145" s="33"/>
      <c r="AJ145" s="33"/>
      <c r="AK145" s="33"/>
      <c r="AL145" s="33"/>
      <c r="AM145" s="33"/>
      <c r="AN145" s="33"/>
      <c r="AO145" s="33"/>
    </row>
    <row r="146" spans="1:41" s="31" customFormat="1" ht="15" customHeight="1">
      <c r="A146" s="663"/>
      <c r="B146" s="717"/>
      <c r="C146" s="1018"/>
      <c r="D146" s="1018"/>
      <c r="E146" s="1018"/>
      <c r="F146" s="1018"/>
      <c r="G146" s="1018"/>
      <c r="H146" s="1018"/>
      <c r="I146" s="1018"/>
      <c r="J146" s="1018"/>
      <c r="K146" s="1018"/>
      <c r="L146" s="1018"/>
      <c r="M146" s="1018"/>
      <c r="N146" s="1018"/>
      <c r="O146" s="1018"/>
      <c r="P146" s="1018"/>
      <c r="Q146" s="1018"/>
      <c r="R146" s="1018"/>
      <c r="S146" s="1018"/>
      <c r="T146" s="1018"/>
      <c r="V146" s="196"/>
      <c r="W146" s="33"/>
      <c r="X146" s="33"/>
      <c r="Y146" s="33"/>
      <c r="Z146" s="33"/>
      <c r="AA146" s="33"/>
      <c r="AB146" s="33"/>
      <c r="AC146" s="33"/>
      <c r="AD146" s="33"/>
      <c r="AE146" s="33"/>
      <c r="AF146" s="33"/>
      <c r="AG146" s="33"/>
      <c r="AH146" s="33"/>
      <c r="AI146" s="33"/>
      <c r="AJ146" s="33"/>
      <c r="AK146" s="33"/>
      <c r="AL146" s="33"/>
      <c r="AM146" s="33"/>
      <c r="AN146" s="33"/>
      <c r="AO146" s="33"/>
    </row>
    <row r="147" spans="1:41" s="31" customFormat="1" ht="15" customHeight="1">
      <c r="A147" s="663"/>
      <c r="C147" s="718" t="s">
        <v>1771</v>
      </c>
      <c r="D147" s="718"/>
      <c r="E147" s="718"/>
      <c r="F147" s="718"/>
      <c r="G147" s="718"/>
      <c r="H147" s="718"/>
      <c r="I147" s="718"/>
      <c r="J147" s="718"/>
      <c r="K147" s="718"/>
      <c r="L147" s="718"/>
      <c r="M147" s="718"/>
      <c r="N147" s="718"/>
      <c r="O147" s="718"/>
      <c r="P147" s="718"/>
      <c r="Q147" s="718"/>
      <c r="R147" s="718"/>
      <c r="S147" s="718"/>
      <c r="T147" s="713"/>
      <c r="V147" s="196"/>
    </row>
    <row r="148" spans="1:41" s="31" customFormat="1" ht="15" customHeight="1">
      <c r="A148" s="663"/>
      <c r="B148" s="719"/>
      <c r="C148" s="1018" t="s">
        <v>1772</v>
      </c>
      <c r="D148" s="1018"/>
      <c r="E148" s="1018"/>
      <c r="F148" s="1018"/>
      <c r="G148" s="1018"/>
      <c r="H148" s="1018"/>
      <c r="I148" s="1018"/>
      <c r="J148" s="1018"/>
      <c r="K148" s="1018"/>
      <c r="L148" s="1018"/>
      <c r="M148" s="1018"/>
      <c r="N148" s="1018"/>
      <c r="O148" s="1018"/>
      <c r="P148" s="1018"/>
      <c r="Q148" s="1018"/>
      <c r="R148" s="1018"/>
      <c r="S148" s="1018"/>
      <c r="T148" s="1018"/>
      <c r="V148" s="196"/>
      <c r="W148" s="33"/>
      <c r="X148" s="33"/>
      <c r="Y148" s="33"/>
      <c r="Z148" s="33"/>
      <c r="AA148" s="33"/>
      <c r="AB148" s="33"/>
      <c r="AC148" s="33"/>
      <c r="AD148" s="33"/>
      <c r="AE148" s="33"/>
      <c r="AF148" s="33"/>
      <c r="AG148" s="33"/>
      <c r="AH148" s="33"/>
      <c r="AI148" s="33"/>
      <c r="AJ148" s="33"/>
      <c r="AK148" s="33"/>
      <c r="AL148" s="33"/>
      <c r="AM148" s="33"/>
      <c r="AN148" s="33"/>
      <c r="AO148" s="33"/>
    </row>
    <row r="149" spans="1:41" s="31" customFormat="1" ht="15" customHeight="1">
      <c r="A149" s="663"/>
      <c r="B149" s="719"/>
      <c r="C149" s="1018"/>
      <c r="D149" s="1018"/>
      <c r="E149" s="1018"/>
      <c r="F149" s="1018"/>
      <c r="G149" s="1018"/>
      <c r="H149" s="1018"/>
      <c r="I149" s="1018"/>
      <c r="J149" s="1018"/>
      <c r="K149" s="1018"/>
      <c r="L149" s="1018"/>
      <c r="M149" s="1018"/>
      <c r="N149" s="1018"/>
      <c r="O149" s="1018"/>
      <c r="P149" s="1018"/>
      <c r="Q149" s="1018"/>
      <c r="R149" s="1018"/>
      <c r="S149" s="1018"/>
      <c r="T149" s="1018"/>
      <c r="V149" s="196"/>
      <c r="W149" s="33"/>
      <c r="X149" s="33"/>
      <c r="Y149" s="33"/>
      <c r="Z149" s="33"/>
      <c r="AA149" s="33"/>
      <c r="AB149" s="33"/>
      <c r="AC149" s="33"/>
      <c r="AD149" s="33"/>
      <c r="AE149" s="33"/>
      <c r="AF149" s="33"/>
      <c r="AG149" s="33"/>
      <c r="AH149" s="33"/>
      <c r="AI149" s="33"/>
      <c r="AJ149" s="33"/>
      <c r="AK149" s="33"/>
      <c r="AL149" s="33"/>
      <c r="AM149" s="33"/>
      <c r="AN149" s="33"/>
      <c r="AO149" s="33"/>
    </row>
    <row r="150" spans="1:41" s="31" customFormat="1" ht="15" customHeight="1">
      <c r="A150" s="663"/>
      <c r="B150" s="719"/>
      <c r="C150" s="1018" t="s">
        <v>1833</v>
      </c>
      <c r="D150" s="1019"/>
      <c r="E150" s="1019"/>
      <c r="F150" s="1019"/>
      <c r="G150" s="1019"/>
      <c r="H150" s="1019"/>
      <c r="I150" s="1019"/>
      <c r="J150" s="1019"/>
      <c r="K150" s="1019"/>
      <c r="L150" s="1019"/>
      <c r="M150" s="1019"/>
      <c r="N150" s="1019"/>
      <c r="O150" s="1019"/>
      <c r="P150" s="1019"/>
      <c r="Q150" s="1019"/>
      <c r="R150" s="1019"/>
      <c r="S150" s="1019"/>
      <c r="T150" s="1019"/>
      <c r="V150" s="196"/>
      <c r="W150" s="33"/>
      <c r="X150" s="33"/>
      <c r="Y150" s="33"/>
      <c r="Z150" s="33"/>
      <c r="AA150" s="33"/>
      <c r="AB150" s="33"/>
      <c r="AC150" s="33"/>
      <c r="AD150" s="33"/>
      <c r="AE150" s="33"/>
      <c r="AF150" s="33"/>
      <c r="AG150" s="33"/>
      <c r="AH150" s="33"/>
      <c r="AI150" s="33"/>
      <c r="AJ150" s="33"/>
      <c r="AK150" s="33"/>
      <c r="AL150" s="33"/>
      <c r="AM150" s="33"/>
      <c r="AN150" s="33"/>
      <c r="AO150" s="33"/>
    </row>
    <row r="151" spans="1:41" s="31" customFormat="1" ht="15" customHeight="1">
      <c r="A151" s="663"/>
      <c r="B151" s="719"/>
      <c r="C151" s="1019"/>
      <c r="D151" s="1019"/>
      <c r="E151" s="1019"/>
      <c r="F151" s="1019"/>
      <c r="G151" s="1019"/>
      <c r="H151" s="1019"/>
      <c r="I151" s="1019"/>
      <c r="J151" s="1019"/>
      <c r="K151" s="1019"/>
      <c r="L151" s="1019"/>
      <c r="M151" s="1019"/>
      <c r="N151" s="1019"/>
      <c r="O151" s="1019"/>
      <c r="P151" s="1019"/>
      <c r="Q151" s="1019"/>
      <c r="R151" s="1019"/>
      <c r="S151" s="1019"/>
      <c r="T151" s="1019"/>
      <c r="V151" s="196"/>
      <c r="W151" s="33"/>
      <c r="X151" s="33"/>
      <c r="Y151" s="33"/>
      <c r="Z151" s="33"/>
      <c r="AA151" s="33"/>
      <c r="AB151" s="33"/>
      <c r="AC151" s="33"/>
      <c r="AD151" s="33"/>
      <c r="AE151" s="33"/>
      <c r="AF151" s="33"/>
      <c r="AG151" s="33"/>
      <c r="AH151" s="33"/>
      <c r="AI151" s="33"/>
      <c r="AJ151" s="33"/>
      <c r="AK151" s="33"/>
      <c r="AL151" s="33"/>
      <c r="AM151" s="33"/>
      <c r="AN151" s="33"/>
      <c r="AO151" s="33"/>
    </row>
    <row r="152" spans="1:41" s="31" customFormat="1" ht="15" customHeight="1">
      <c r="A152" s="665"/>
      <c r="B152" s="718"/>
      <c r="C152" s="1018" t="s">
        <v>1783</v>
      </c>
      <c r="D152" s="1018"/>
      <c r="E152" s="1018"/>
      <c r="F152" s="1018"/>
      <c r="G152" s="1018"/>
      <c r="H152" s="1018"/>
      <c r="I152" s="1018"/>
      <c r="J152" s="1018"/>
      <c r="K152" s="1018"/>
      <c r="L152" s="1018"/>
      <c r="M152" s="1018"/>
      <c r="N152" s="1018"/>
      <c r="O152" s="1018"/>
      <c r="P152" s="1018"/>
      <c r="Q152" s="1018"/>
      <c r="R152" s="1018"/>
      <c r="S152" s="1018"/>
      <c r="T152" s="1018"/>
      <c r="V152" s="196"/>
      <c r="W152" s="33"/>
      <c r="X152" s="33"/>
      <c r="Y152" s="33"/>
      <c r="Z152" s="33"/>
      <c r="AA152" s="33"/>
      <c r="AB152" s="33"/>
      <c r="AC152" s="33"/>
      <c r="AD152" s="33"/>
      <c r="AE152" s="33"/>
      <c r="AF152" s="33"/>
      <c r="AG152" s="33"/>
      <c r="AH152" s="33"/>
      <c r="AI152" s="33"/>
      <c r="AJ152" s="33"/>
      <c r="AK152" s="33"/>
      <c r="AL152" s="33"/>
      <c r="AM152" s="33"/>
      <c r="AN152" s="33"/>
      <c r="AO152" s="33"/>
    </row>
    <row r="153" spans="1:41" s="31" customFormat="1" ht="15" customHeight="1">
      <c r="A153" s="665"/>
      <c r="B153" s="718"/>
      <c r="C153" s="1018"/>
      <c r="D153" s="1018"/>
      <c r="E153" s="1018"/>
      <c r="F153" s="1018"/>
      <c r="G153" s="1018"/>
      <c r="H153" s="1018"/>
      <c r="I153" s="1018"/>
      <c r="J153" s="1018"/>
      <c r="K153" s="1018"/>
      <c r="L153" s="1018"/>
      <c r="M153" s="1018"/>
      <c r="N153" s="1018"/>
      <c r="O153" s="1018"/>
      <c r="P153" s="1018"/>
      <c r="Q153" s="1018"/>
      <c r="R153" s="1018"/>
      <c r="S153" s="1018"/>
      <c r="T153" s="1018"/>
      <c r="V153" s="196"/>
      <c r="W153" s="33"/>
      <c r="X153" s="33"/>
      <c r="Y153" s="33"/>
      <c r="Z153" s="33"/>
      <c r="AA153" s="33"/>
      <c r="AB153" s="33"/>
      <c r="AC153" s="33"/>
      <c r="AD153" s="33"/>
      <c r="AE153" s="33"/>
      <c r="AF153" s="33"/>
      <c r="AG153" s="33"/>
      <c r="AH153" s="33"/>
      <c r="AI153" s="33"/>
      <c r="AJ153" s="33"/>
      <c r="AK153" s="33"/>
      <c r="AL153" s="33"/>
      <c r="AM153" s="33"/>
      <c r="AN153" s="33"/>
      <c r="AO153" s="33"/>
    </row>
    <row r="154" spans="1:41" s="31" customFormat="1" ht="15" customHeight="1">
      <c r="A154" s="32"/>
      <c r="B154" s="722" t="s">
        <v>725</v>
      </c>
      <c r="C154" s="1020" t="s">
        <v>1834</v>
      </c>
      <c r="D154" s="1020"/>
      <c r="E154" s="1020"/>
      <c r="F154" s="1020"/>
      <c r="G154" s="1020"/>
      <c r="H154" s="1020"/>
      <c r="I154" s="1020"/>
      <c r="J154" s="1020"/>
      <c r="K154" s="1020"/>
      <c r="L154" s="1020"/>
      <c r="M154" s="1020"/>
      <c r="N154" s="1020"/>
      <c r="O154" s="1020"/>
      <c r="P154" s="1020"/>
      <c r="Q154" s="1020"/>
      <c r="R154" s="1020"/>
      <c r="S154" s="1020"/>
      <c r="T154" s="1020"/>
      <c r="W154" s="196"/>
      <c r="X154" s="196"/>
      <c r="Y154" s="512"/>
      <c r="Z154" s="512"/>
    </row>
    <row r="155" spans="1:41" s="31" customFormat="1" ht="15" customHeight="1">
      <c r="A155" s="32"/>
      <c r="B155" s="722"/>
      <c r="C155" s="1020"/>
      <c r="D155" s="1020"/>
      <c r="E155" s="1020"/>
      <c r="F155" s="1020"/>
      <c r="G155" s="1020"/>
      <c r="H155" s="1020"/>
      <c r="I155" s="1020"/>
      <c r="J155" s="1020"/>
      <c r="K155" s="1020"/>
      <c r="L155" s="1020"/>
      <c r="M155" s="1020"/>
      <c r="N155" s="1020"/>
      <c r="O155" s="1020"/>
      <c r="P155" s="1020"/>
      <c r="Q155" s="1020"/>
      <c r="R155" s="1020"/>
      <c r="S155" s="1020"/>
      <c r="T155" s="1020"/>
      <c r="W155" s="196"/>
      <c r="X155" s="196"/>
      <c r="Y155" s="512"/>
      <c r="Z155" s="512"/>
    </row>
    <row r="156" spans="1:41" s="31" customFormat="1" ht="15" customHeight="1">
      <c r="A156" s="32"/>
      <c r="B156" s="722" t="s">
        <v>741</v>
      </c>
      <c r="C156" s="1020" t="s">
        <v>1787</v>
      </c>
      <c r="D156" s="1020"/>
      <c r="E156" s="1020"/>
      <c r="F156" s="1020"/>
      <c r="G156" s="1020"/>
      <c r="H156" s="1020"/>
      <c r="I156" s="1020"/>
      <c r="J156" s="1020"/>
      <c r="K156" s="1020"/>
      <c r="L156" s="1020"/>
      <c r="M156" s="1020"/>
      <c r="N156" s="1020"/>
      <c r="O156" s="1020"/>
      <c r="P156" s="1020"/>
      <c r="Q156" s="1020"/>
      <c r="R156" s="1020"/>
      <c r="S156" s="1020"/>
      <c r="T156" s="1020"/>
      <c r="W156" s="196"/>
      <c r="X156" s="196"/>
      <c r="Y156" s="512"/>
      <c r="Z156" s="512"/>
    </row>
    <row r="157" spans="1:41" s="31" customFormat="1" ht="15" customHeight="1">
      <c r="A157" s="32"/>
      <c r="B157" s="722"/>
      <c r="C157" s="1020"/>
      <c r="D157" s="1020"/>
      <c r="E157" s="1020"/>
      <c r="F157" s="1020"/>
      <c r="G157" s="1020"/>
      <c r="H157" s="1020"/>
      <c r="I157" s="1020"/>
      <c r="J157" s="1020"/>
      <c r="K157" s="1020"/>
      <c r="L157" s="1020"/>
      <c r="M157" s="1020"/>
      <c r="N157" s="1020"/>
      <c r="O157" s="1020"/>
      <c r="P157" s="1020"/>
      <c r="Q157" s="1020"/>
      <c r="R157" s="1020"/>
      <c r="S157" s="1020"/>
      <c r="T157" s="1020"/>
      <c r="W157" s="196"/>
      <c r="X157" s="196"/>
      <c r="Y157" s="512"/>
      <c r="Z157" s="512"/>
    </row>
    <row r="158" spans="1:41" s="31" customFormat="1" ht="15" customHeight="1">
      <c r="A158" s="32"/>
      <c r="B158" s="722"/>
      <c r="C158" s="1020"/>
      <c r="D158" s="1020"/>
      <c r="E158" s="1020"/>
      <c r="F158" s="1020"/>
      <c r="G158" s="1020"/>
      <c r="H158" s="1020"/>
      <c r="I158" s="1020"/>
      <c r="J158" s="1020"/>
      <c r="K158" s="1020"/>
      <c r="L158" s="1020"/>
      <c r="M158" s="1020"/>
      <c r="N158" s="1020"/>
      <c r="O158" s="1020"/>
      <c r="P158" s="1020"/>
      <c r="Q158" s="1020"/>
      <c r="R158" s="1020"/>
      <c r="S158" s="1020"/>
      <c r="T158" s="1020"/>
      <c r="W158" s="196"/>
      <c r="X158" s="196"/>
      <c r="Y158" s="512"/>
      <c r="Z158" s="512"/>
    </row>
    <row r="159" spans="1:41" s="31" customFormat="1" ht="15" customHeight="1">
      <c r="A159" s="665"/>
      <c r="B159" s="722" t="s">
        <v>743</v>
      </c>
      <c r="C159" s="1018" t="s">
        <v>1788</v>
      </c>
      <c r="D159" s="1018"/>
      <c r="E159" s="1018"/>
      <c r="F159" s="1018"/>
      <c r="G159" s="1018"/>
      <c r="H159" s="1018"/>
      <c r="I159" s="1018"/>
      <c r="J159" s="1018"/>
      <c r="K159" s="1018"/>
      <c r="L159" s="1018"/>
      <c r="M159" s="1018"/>
      <c r="N159" s="1018"/>
      <c r="O159" s="1018"/>
      <c r="P159" s="1018"/>
      <c r="Q159" s="1018"/>
      <c r="R159" s="1018"/>
      <c r="S159" s="1018"/>
      <c r="T159" s="1018"/>
      <c r="V159" s="196"/>
      <c r="W159" s="33"/>
      <c r="X159" s="33"/>
      <c r="Y159" s="33"/>
      <c r="Z159" s="33"/>
      <c r="AA159" s="33"/>
      <c r="AB159" s="33"/>
      <c r="AC159" s="33"/>
      <c r="AD159" s="33"/>
      <c r="AE159" s="33"/>
      <c r="AF159" s="33"/>
      <c r="AG159" s="33"/>
      <c r="AH159" s="33"/>
      <c r="AI159" s="33"/>
      <c r="AJ159" s="33"/>
      <c r="AK159" s="33"/>
      <c r="AL159" s="33"/>
      <c r="AM159" s="33"/>
      <c r="AN159" s="33"/>
      <c r="AO159" s="33"/>
    </row>
    <row r="160" spans="1:41" s="31" customFormat="1" ht="15" customHeight="1">
      <c r="A160" s="665"/>
      <c r="B160" s="718"/>
      <c r="C160" s="1018"/>
      <c r="D160" s="1018"/>
      <c r="E160" s="1018"/>
      <c r="F160" s="1018"/>
      <c r="G160" s="1018"/>
      <c r="H160" s="1018"/>
      <c r="I160" s="1018"/>
      <c r="J160" s="1018"/>
      <c r="K160" s="1018"/>
      <c r="L160" s="1018"/>
      <c r="M160" s="1018"/>
      <c r="N160" s="1018"/>
      <c r="O160" s="1018"/>
      <c r="P160" s="1018"/>
      <c r="Q160" s="1018"/>
      <c r="R160" s="1018"/>
      <c r="S160" s="1018"/>
      <c r="T160" s="1018"/>
      <c r="V160" s="196"/>
      <c r="W160" s="33"/>
      <c r="X160" s="33"/>
      <c r="Y160" s="33"/>
      <c r="Z160" s="33"/>
      <c r="AA160" s="33"/>
      <c r="AB160" s="33"/>
      <c r="AC160" s="33"/>
      <c r="AD160" s="33"/>
      <c r="AE160" s="33"/>
      <c r="AF160" s="33"/>
      <c r="AG160" s="33"/>
      <c r="AH160" s="33"/>
      <c r="AI160" s="33"/>
      <c r="AJ160" s="33"/>
      <c r="AK160" s="33"/>
      <c r="AL160" s="33"/>
      <c r="AM160" s="33"/>
      <c r="AN160" s="33"/>
      <c r="AO160" s="33"/>
    </row>
    <row r="161" spans="1:41" s="31" customFormat="1" ht="15" customHeight="1">
      <c r="A161" s="665"/>
      <c r="B161" s="718"/>
      <c r="C161" s="718"/>
      <c r="D161" s="718"/>
      <c r="E161" s="718"/>
      <c r="F161" s="718"/>
      <c r="G161" s="718"/>
      <c r="H161" s="718"/>
      <c r="I161" s="718"/>
      <c r="J161" s="718"/>
      <c r="K161" s="718"/>
      <c r="L161" s="718"/>
      <c r="M161" s="718"/>
      <c r="N161" s="718"/>
      <c r="O161" s="718"/>
      <c r="P161" s="718"/>
      <c r="Q161" s="718"/>
      <c r="R161" s="718"/>
      <c r="S161" s="718"/>
      <c r="T161" s="713"/>
      <c r="V161" s="196"/>
      <c r="W161" s="33"/>
      <c r="X161" s="33"/>
      <c r="Y161" s="33"/>
      <c r="Z161" s="33"/>
      <c r="AA161" s="33"/>
      <c r="AB161" s="33"/>
      <c r="AC161" s="33"/>
      <c r="AD161" s="33"/>
      <c r="AE161" s="33"/>
      <c r="AF161" s="33"/>
      <c r="AG161" s="33"/>
      <c r="AH161" s="33"/>
      <c r="AI161" s="33"/>
      <c r="AJ161" s="33"/>
      <c r="AK161" s="33"/>
      <c r="AL161" s="33"/>
      <c r="AM161" s="33"/>
      <c r="AN161" s="33"/>
      <c r="AO161" s="33"/>
    </row>
    <row r="162" spans="1:41" s="31" customFormat="1" ht="15" customHeight="1">
      <c r="A162" s="31" t="s">
        <v>780</v>
      </c>
      <c r="B162" s="32"/>
      <c r="C162" s="32"/>
    </row>
    <row r="163" spans="1:41" s="31" customFormat="1" ht="15" customHeight="1">
      <c r="A163" s="31" t="s">
        <v>784</v>
      </c>
      <c r="B163" s="32"/>
      <c r="C163" s="1013" t="s">
        <v>930</v>
      </c>
      <c r="D163" s="1013"/>
      <c r="E163" s="1013"/>
      <c r="F163" s="1013"/>
      <c r="G163" s="1013"/>
      <c r="H163" s="1013"/>
      <c r="I163" s="1013"/>
      <c r="J163" s="1013"/>
      <c r="K163" s="1013"/>
      <c r="L163" s="1013"/>
      <c r="M163" s="1013"/>
      <c r="N163" s="1013"/>
      <c r="O163" s="1013"/>
      <c r="P163" s="1013"/>
      <c r="Q163" s="1013"/>
      <c r="R163" s="1013"/>
      <c r="S163" s="1013"/>
      <c r="T163" s="1013"/>
    </row>
    <row r="164" spans="1:41" s="31" customFormat="1" ht="15" customHeight="1">
      <c r="B164" s="32"/>
      <c r="C164" s="1013"/>
      <c r="D164" s="1013"/>
      <c r="E164" s="1013"/>
      <c r="F164" s="1013"/>
      <c r="G164" s="1013"/>
      <c r="H164" s="1013"/>
      <c r="I164" s="1013"/>
      <c r="J164" s="1013"/>
      <c r="K164" s="1013"/>
      <c r="L164" s="1013"/>
      <c r="M164" s="1013"/>
      <c r="N164" s="1013"/>
      <c r="O164" s="1013"/>
      <c r="P164" s="1013"/>
      <c r="Q164" s="1013"/>
      <c r="R164" s="1013"/>
      <c r="S164" s="1013"/>
      <c r="T164" s="1013"/>
    </row>
    <row r="165" spans="1:41" s="31" customFormat="1" ht="15" customHeight="1">
      <c r="B165" s="32"/>
      <c r="C165" s="1013"/>
      <c r="D165" s="1013"/>
      <c r="E165" s="1013"/>
      <c r="F165" s="1013"/>
      <c r="G165" s="1013"/>
      <c r="H165" s="1013"/>
      <c r="I165" s="1013"/>
      <c r="J165" s="1013"/>
      <c r="K165" s="1013"/>
      <c r="L165" s="1013"/>
      <c r="M165" s="1013"/>
      <c r="N165" s="1013"/>
      <c r="O165" s="1013"/>
      <c r="P165" s="1013"/>
      <c r="Q165" s="1013"/>
      <c r="R165" s="1013"/>
      <c r="S165" s="1013"/>
      <c r="T165" s="1013"/>
    </row>
    <row r="166" spans="1:41" s="31" customFormat="1" ht="15" customHeight="1">
      <c r="B166" s="32"/>
      <c r="C166" s="32"/>
    </row>
    <row r="167" spans="1:41" s="31" customFormat="1" ht="15" customHeight="1">
      <c r="A167" s="31" t="s">
        <v>783</v>
      </c>
      <c r="B167" s="32"/>
      <c r="C167" s="32"/>
    </row>
    <row r="168" spans="1:41" s="31" customFormat="1" ht="15" customHeight="1">
      <c r="A168" s="31" t="s">
        <v>804</v>
      </c>
      <c r="B168" s="32"/>
      <c r="C168" s="1013" t="s">
        <v>931</v>
      </c>
      <c r="D168" s="1013"/>
      <c r="E168" s="1013"/>
      <c r="F168" s="1013"/>
      <c r="G168" s="1013"/>
      <c r="H168" s="1013"/>
      <c r="I168" s="1013"/>
      <c r="J168" s="1013"/>
      <c r="K168" s="1013"/>
      <c r="L168" s="1013"/>
      <c r="M168" s="1013"/>
      <c r="N168" s="1013"/>
      <c r="O168" s="1013"/>
      <c r="P168" s="1013"/>
      <c r="Q168" s="1013"/>
      <c r="R168" s="1013"/>
      <c r="S168" s="1013"/>
      <c r="T168" s="1013"/>
    </row>
    <row r="169" spans="1:41" s="31" customFormat="1" ht="15" customHeight="1">
      <c r="B169" s="32"/>
      <c r="C169" s="1013"/>
      <c r="D169" s="1013"/>
      <c r="E169" s="1013"/>
      <c r="F169" s="1013"/>
      <c r="G169" s="1013"/>
      <c r="H169" s="1013"/>
      <c r="I169" s="1013"/>
      <c r="J169" s="1013"/>
      <c r="K169" s="1013"/>
      <c r="L169" s="1013"/>
      <c r="M169" s="1013"/>
      <c r="N169" s="1013"/>
      <c r="O169" s="1013"/>
      <c r="P169" s="1013"/>
      <c r="Q169" s="1013"/>
      <c r="R169" s="1013"/>
      <c r="S169" s="1013"/>
      <c r="T169" s="1013"/>
    </row>
    <row r="170" spans="1:41" s="31" customFormat="1" ht="15" customHeight="1">
      <c r="B170" s="32" t="s">
        <v>725</v>
      </c>
      <c r="C170" s="1013" t="s">
        <v>932</v>
      </c>
      <c r="D170" s="1013"/>
      <c r="E170" s="1013"/>
      <c r="F170" s="1013"/>
      <c r="G170" s="1013"/>
      <c r="H170" s="1013"/>
      <c r="I170" s="1013"/>
      <c r="J170" s="1013"/>
      <c r="K170" s="1013"/>
      <c r="L170" s="1013"/>
      <c r="M170" s="1013"/>
      <c r="N170" s="1013"/>
      <c r="O170" s="1013"/>
      <c r="P170" s="1013"/>
      <c r="Q170" s="1013"/>
      <c r="R170" s="1013"/>
      <c r="S170" s="1013"/>
      <c r="T170" s="1013"/>
    </row>
    <row r="171" spans="1:41" s="31" customFormat="1" ht="15" customHeight="1">
      <c r="B171" s="32"/>
      <c r="C171" s="1013"/>
      <c r="D171" s="1013"/>
      <c r="E171" s="1013"/>
      <c r="F171" s="1013"/>
      <c r="G171" s="1013"/>
      <c r="H171" s="1013"/>
      <c r="I171" s="1013"/>
      <c r="J171" s="1013"/>
      <c r="K171" s="1013"/>
      <c r="L171" s="1013"/>
      <c r="M171" s="1013"/>
      <c r="N171" s="1013"/>
      <c r="O171" s="1013"/>
      <c r="P171" s="1013"/>
      <c r="Q171" s="1013"/>
      <c r="R171" s="1013"/>
      <c r="S171" s="1013"/>
      <c r="T171" s="1013"/>
    </row>
    <row r="172" spans="1:41" s="31" customFormat="1" ht="15" customHeight="1">
      <c r="B172" s="32" t="s">
        <v>741</v>
      </c>
      <c r="C172" s="1013" t="s">
        <v>933</v>
      </c>
      <c r="D172" s="1013"/>
      <c r="E172" s="1013"/>
      <c r="F172" s="1013"/>
      <c r="G172" s="1013"/>
      <c r="H172" s="1013"/>
      <c r="I172" s="1013"/>
      <c r="J172" s="1013"/>
      <c r="K172" s="1013"/>
      <c r="L172" s="1013"/>
      <c r="M172" s="1013"/>
      <c r="N172" s="1013"/>
      <c r="O172" s="1013"/>
      <c r="P172" s="1013"/>
      <c r="Q172" s="1013"/>
      <c r="R172" s="1013"/>
      <c r="S172" s="1013"/>
      <c r="T172" s="1013"/>
    </row>
    <row r="173" spans="1:41" s="31" customFormat="1" ht="15" customHeight="1">
      <c r="B173" s="32"/>
      <c r="C173" s="1013"/>
      <c r="D173" s="1013"/>
      <c r="E173" s="1013"/>
      <c r="F173" s="1013"/>
      <c r="G173" s="1013"/>
      <c r="H173" s="1013"/>
      <c r="I173" s="1013"/>
      <c r="J173" s="1013"/>
      <c r="K173" s="1013"/>
      <c r="L173" s="1013"/>
      <c r="M173" s="1013"/>
      <c r="N173" s="1013"/>
      <c r="O173" s="1013"/>
      <c r="P173" s="1013"/>
      <c r="Q173" s="1013"/>
      <c r="R173" s="1013"/>
      <c r="S173" s="1013"/>
      <c r="T173" s="1013"/>
    </row>
    <row r="174" spans="1:41" s="31" customFormat="1" ht="15" customHeight="1">
      <c r="B174" s="198" t="s">
        <v>743</v>
      </c>
      <c r="C174" s="1013" t="s">
        <v>788</v>
      </c>
      <c r="D174" s="1013"/>
      <c r="E174" s="1013"/>
      <c r="F174" s="1013"/>
      <c r="G174" s="1013"/>
      <c r="H174" s="1013"/>
      <c r="I174" s="1013"/>
      <c r="J174" s="1013"/>
      <c r="K174" s="1013"/>
      <c r="L174" s="1013"/>
      <c r="M174" s="1013"/>
      <c r="N174" s="1013"/>
      <c r="O174" s="1013"/>
      <c r="P174" s="1013"/>
      <c r="Q174" s="1013"/>
      <c r="R174" s="1013"/>
      <c r="S174" s="1013"/>
      <c r="T174" s="1013"/>
    </row>
    <row r="175" spans="1:41" s="31" customFormat="1" ht="15" customHeight="1">
      <c r="B175" s="32"/>
      <c r="C175" s="1013"/>
      <c r="D175" s="1013"/>
      <c r="E175" s="1013"/>
      <c r="F175" s="1013"/>
      <c r="G175" s="1013"/>
      <c r="H175" s="1013"/>
      <c r="I175" s="1013"/>
      <c r="J175" s="1013"/>
      <c r="K175" s="1013"/>
      <c r="L175" s="1013"/>
      <c r="M175" s="1013"/>
      <c r="N175" s="1013"/>
      <c r="O175" s="1013"/>
      <c r="P175" s="1013"/>
      <c r="Q175" s="1013"/>
      <c r="R175" s="1013"/>
      <c r="S175" s="1013"/>
      <c r="T175" s="1013"/>
    </row>
    <row r="176" spans="1:41" s="31" customFormat="1" ht="15" customHeight="1">
      <c r="B176" s="1227" t="s">
        <v>745</v>
      </c>
      <c r="C176" s="1227"/>
      <c r="D176" s="31" t="s">
        <v>790</v>
      </c>
    </row>
    <row r="177" spans="2:20" s="31" customFormat="1" ht="15" customHeight="1">
      <c r="B177" s="1227" t="s">
        <v>934</v>
      </c>
      <c r="C177" s="1227"/>
      <c r="D177" s="31" t="s">
        <v>935</v>
      </c>
    </row>
    <row r="178" spans="2:20" s="31" customFormat="1" ht="15" customHeight="1">
      <c r="B178" s="1227" t="s">
        <v>936</v>
      </c>
      <c r="C178" s="1227"/>
      <c r="D178" s="31" t="s">
        <v>793</v>
      </c>
    </row>
    <row r="179" spans="2:20" s="31" customFormat="1" ht="15" customHeight="1">
      <c r="B179" s="32"/>
      <c r="C179" s="40"/>
      <c r="D179" s="1013" t="s">
        <v>937</v>
      </c>
      <c r="E179" s="1013"/>
      <c r="F179" s="1013"/>
      <c r="G179" s="1013"/>
      <c r="H179" s="1013"/>
      <c r="I179" s="1013"/>
      <c r="J179" s="1013"/>
      <c r="K179" s="1013"/>
      <c r="L179" s="1013"/>
      <c r="M179" s="1013"/>
      <c r="N179" s="1013"/>
      <c r="O179" s="1013"/>
      <c r="P179" s="1013"/>
      <c r="Q179" s="1013"/>
      <c r="R179" s="1013"/>
      <c r="S179" s="1013"/>
      <c r="T179" s="1013"/>
    </row>
    <row r="180" spans="2:20" s="31" customFormat="1" ht="15" customHeight="1">
      <c r="B180" s="32"/>
      <c r="C180" s="32"/>
      <c r="D180" s="1013"/>
      <c r="E180" s="1013"/>
      <c r="F180" s="1013"/>
      <c r="G180" s="1013"/>
      <c r="H180" s="1013"/>
      <c r="I180" s="1013"/>
      <c r="J180" s="1013"/>
      <c r="K180" s="1013"/>
      <c r="L180" s="1013"/>
      <c r="M180" s="1013"/>
      <c r="N180" s="1013"/>
      <c r="O180" s="1013"/>
      <c r="P180" s="1013"/>
      <c r="Q180" s="1013"/>
      <c r="R180" s="1013"/>
      <c r="S180" s="1013"/>
      <c r="T180" s="1013"/>
    </row>
    <row r="181" spans="2:20" s="31" customFormat="1" ht="15" customHeight="1">
      <c r="B181" s="32"/>
      <c r="C181" s="32"/>
      <c r="D181" s="1013"/>
      <c r="E181" s="1013"/>
      <c r="F181" s="1013"/>
      <c r="G181" s="1013"/>
      <c r="H181" s="1013"/>
      <c r="I181" s="1013"/>
      <c r="J181" s="1013"/>
      <c r="K181" s="1013"/>
      <c r="L181" s="1013"/>
      <c r="M181" s="1013"/>
      <c r="N181" s="1013"/>
      <c r="O181" s="1013"/>
      <c r="P181" s="1013"/>
      <c r="Q181" s="1013"/>
      <c r="R181" s="1013"/>
      <c r="S181" s="1013"/>
      <c r="T181" s="1013"/>
    </row>
    <row r="182" spans="2:20" s="31" customFormat="1" ht="15" customHeight="1">
      <c r="B182" s="198" t="s">
        <v>749</v>
      </c>
      <c r="C182" s="1093" t="s">
        <v>795</v>
      </c>
      <c r="D182" s="1093"/>
      <c r="E182" s="1093"/>
      <c r="F182" s="1093"/>
      <c r="G182" s="1093"/>
      <c r="H182" s="1093"/>
      <c r="I182" s="1093"/>
      <c r="J182" s="1093"/>
      <c r="K182" s="1093"/>
      <c r="L182" s="1093"/>
      <c r="M182" s="1093"/>
      <c r="N182" s="1093"/>
      <c r="O182" s="1093"/>
      <c r="P182" s="1093"/>
      <c r="Q182" s="1093"/>
      <c r="R182" s="1093"/>
      <c r="S182" s="1093"/>
      <c r="T182" s="1093"/>
    </row>
    <row r="183" spans="2:20" s="31" customFormat="1" ht="15" customHeight="1">
      <c r="B183" s="32"/>
      <c r="C183" s="1093"/>
      <c r="D183" s="1093"/>
      <c r="E183" s="1093"/>
      <c r="F183" s="1093"/>
      <c r="G183" s="1093"/>
      <c r="H183" s="1093"/>
      <c r="I183" s="1093"/>
      <c r="J183" s="1093"/>
      <c r="K183" s="1093"/>
      <c r="L183" s="1093"/>
      <c r="M183" s="1093"/>
      <c r="N183" s="1093"/>
      <c r="O183" s="1093"/>
      <c r="P183" s="1093"/>
      <c r="Q183" s="1093"/>
      <c r="R183" s="1093"/>
      <c r="S183" s="1093"/>
      <c r="T183" s="1093"/>
    </row>
    <row r="184" spans="2:20" s="31" customFormat="1" ht="15" customHeight="1">
      <c r="B184" s="32"/>
      <c r="C184" s="1093"/>
      <c r="D184" s="1093"/>
      <c r="E184" s="1093"/>
      <c r="F184" s="1093"/>
      <c r="G184" s="1093"/>
      <c r="H184" s="1093"/>
      <c r="I184" s="1093"/>
      <c r="J184" s="1093"/>
      <c r="K184" s="1093"/>
      <c r="L184" s="1093"/>
      <c r="M184" s="1093"/>
      <c r="N184" s="1093"/>
      <c r="O184" s="1093"/>
      <c r="P184" s="1093"/>
      <c r="Q184" s="1093"/>
      <c r="R184" s="1093"/>
      <c r="S184" s="1093"/>
      <c r="T184" s="1093"/>
    </row>
    <row r="185" spans="2:20" s="31" customFormat="1" ht="15" customHeight="1">
      <c r="B185" s="32" t="s">
        <v>751</v>
      </c>
      <c r="C185" s="1093" t="s">
        <v>938</v>
      </c>
      <c r="D185" s="1093"/>
      <c r="E185" s="1093"/>
      <c r="F185" s="1093"/>
      <c r="G185" s="1093"/>
      <c r="H185" s="1093"/>
      <c r="I185" s="1093"/>
      <c r="J185" s="1093"/>
      <c r="K185" s="1093"/>
      <c r="L185" s="1093"/>
      <c r="M185" s="1093"/>
      <c r="N185" s="1093"/>
      <c r="O185" s="1093"/>
      <c r="P185" s="1093"/>
      <c r="Q185" s="1093"/>
      <c r="R185" s="1093"/>
      <c r="S185" s="1093"/>
      <c r="T185" s="1093"/>
    </row>
    <row r="186" spans="2:20" s="31" customFormat="1" ht="15" customHeight="1">
      <c r="B186" s="32"/>
      <c r="C186" s="1093"/>
      <c r="D186" s="1093"/>
      <c r="E186" s="1093"/>
      <c r="F186" s="1093"/>
      <c r="G186" s="1093"/>
      <c r="H186" s="1093"/>
      <c r="I186" s="1093"/>
      <c r="J186" s="1093"/>
      <c r="K186" s="1093"/>
      <c r="L186" s="1093"/>
      <c r="M186" s="1093"/>
      <c r="N186" s="1093"/>
      <c r="O186" s="1093"/>
      <c r="P186" s="1093"/>
      <c r="Q186" s="1093"/>
      <c r="R186" s="1093"/>
      <c r="S186" s="1093"/>
      <c r="T186" s="1093"/>
    </row>
    <row r="187" spans="2:20" s="31" customFormat="1" ht="15" customHeight="1">
      <c r="B187" s="32" t="s">
        <v>797</v>
      </c>
      <c r="C187" s="1093" t="s">
        <v>939</v>
      </c>
      <c r="D187" s="1093"/>
      <c r="E187" s="1093"/>
      <c r="F187" s="1093"/>
      <c r="G187" s="1093"/>
      <c r="H187" s="1093"/>
      <c r="I187" s="1093"/>
      <c r="J187" s="1093"/>
      <c r="K187" s="1093"/>
      <c r="L187" s="1093"/>
      <c r="M187" s="1093"/>
      <c r="N187" s="1093"/>
      <c r="O187" s="1093"/>
      <c r="P187" s="1093"/>
      <c r="Q187" s="1093"/>
      <c r="R187" s="1093"/>
      <c r="S187" s="1093"/>
      <c r="T187" s="1093"/>
    </row>
    <row r="188" spans="2:20" s="31" customFormat="1" ht="15" customHeight="1">
      <c r="B188" s="32"/>
      <c r="C188" s="1093"/>
      <c r="D188" s="1093"/>
      <c r="E188" s="1093"/>
      <c r="F188" s="1093"/>
      <c r="G188" s="1093"/>
      <c r="H188" s="1093"/>
      <c r="I188" s="1093"/>
      <c r="J188" s="1093"/>
      <c r="K188" s="1093"/>
      <c r="L188" s="1093"/>
      <c r="M188" s="1093"/>
      <c r="N188" s="1093"/>
      <c r="O188" s="1093"/>
      <c r="P188" s="1093"/>
      <c r="Q188" s="1093"/>
      <c r="R188" s="1093"/>
      <c r="S188" s="1093"/>
      <c r="T188" s="1093"/>
    </row>
    <row r="189" spans="2:20" s="31" customFormat="1" ht="15" customHeight="1">
      <c r="B189" s="32" t="s">
        <v>799</v>
      </c>
      <c r="C189" s="1093" t="s">
        <v>800</v>
      </c>
      <c r="D189" s="1093"/>
      <c r="E189" s="1093"/>
      <c r="F189" s="1093"/>
      <c r="G189" s="1093"/>
      <c r="H189" s="1093"/>
      <c r="I189" s="1093"/>
      <c r="J189" s="1093"/>
      <c r="K189" s="1093"/>
      <c r="L189" s="1093"/>
      <c r="M189" s="1093"/>
      <c r="N189" s="1093"/>
      <c r="O189" s="1093"/>
      <c r="P189" s="1093"/>
      <c r="Q189" s="1093"/>
      <c r="R189" s="1093"/>
      <c r="S189" s="1093"/>
      <c r="T189" s="1093"/>
    </row>
    <row r="190" spans="2:20" s="31" customFormat="1" ht="15" customHeight="1">
      <c r="B190" s="32"/>
      <c r="C190" s="1093"/>
      <c r="D190" s="1093"/>
      <c r="E190" s="1093"/>
      <c r="F190" s="1093"/>
      <c r="G190" s="1093"/>
      <c r="H190" s="1093"/>
      <c r="I190" s="1093"/>
      <c r="J190" s="1093"/>
      <c r="K190" s="1093"/>
      <c r="L190" s="1093"/>
      <c r="M190" s="1093"/>
      <c r="N190" s="1093"/>
      <c r="O190" s="1093"/>
      <c r="P190" s="1093"/>
      <c r="Q190" s="1093"/>
      <c r="R190" s="1093"/>
      <c r="S190" s="1093"/>
      <c r="T190" s="1093"/>
    </row>
    <row r="191" spans="2:20" s="31" customFormat="1" ht="15" customHeight="1">
      <c r="B191" s="32" t="s">
        <v>801</v>
      </c>
      <c r="C191" s="1093" t="s">
        <v>802</v>
      </c>
      <c r="D191" s="1093"/>
      <c r="E191" s="1093"/>
      <c r="F191" s="1093"/>
      <c r="G191" s="1093"/>
      <c r="H191" s="1093"/>
      <c r="I191" s="1093"/>
      <c r="J191" s="1093"/>
      <c r="K191" s="1093"/>
      <c r="L191" s="1093"/>
      <c r="M191" s="1093"/>
      <c r="N191" s="1093"/>
      <c r="O191" s="1093"/>
      <c r="P191" s="1093"/>
      <c r="Q191" s="1093"/>
      <c r="R191" s="1093"/>
      <c r="S191" s="1093"/>
      <c r="T191" s="1093"/>
    </row>
    <row r="192" spans="2:20" s="31" customFormat="1" ht="15" customHeight="1">
      <c r="B192" s="32"/>
      <c r="C192" s="1093"/>
      <c r="D192" s="1093"/>
      <c r="E192" s="1093"/>
      <c r="F192" s="1093"/>
      <c r="G192" s="1093"/>
      <c r="H192" s="1093"/>
      <c r="I192" s="1093"/>
      <c r="J192" s="1093"/>
      <c r="K192" s="1093"/>
      <c r="L192" s="1093"/>
      <c r="M192" s="1093"/>
      <c r="N192" s="1093"/>
      <c r="O192" s="1093"/>
      <c r="P192" s="1093"/>
      <c r="Q192" s="1093"/>
      <c r="R192" s="1093"/>
      <c r="S192" s="1093"/>
      <c r="T192" s="1093"/>
    </row>
    <row r="193" spans="1:20" s="31" customFormat="1" ht="15" customHeight="1">
      <c r="B193" s="32"/>
      <c r="C193" s="32"/>
    </row>
    <row r="194" spans="1:20" s="31" customFormat="1" ht="15" customHeight="1">
      <c r="A194" s="31" t="s">
        <v>940</v>
      </c>
      <c r="B194" s="32"/>
      <c r="C194" s="32"/>
    </row>
    <row r="195" spans="1:20" s="31" customFormat="1" ht="15" customHeight="1">
      <c r="A195" s="31" t="s">
        <v>810</v>
      </c>
      <c r="B195" s="32"/>
      <c r="C195" s="1093" t="s">
        <v>941</v>
      </c>
      <c r="D195" s="1093"/>
      <c r="E195" s="1093"/>
      <c r="F195" s="1093"/>
      <c r="G195" s="1093"/>
      <c r="H195" s="1093"/>
      <c r="I195" s="1093"/>
      <c r="J195" s="1093"/>
      <c r="K195" s="1093"/>
      <c r="L195" s="1093"/>
      <c r="M195" s="1093"/>
      <c r="N195" s="1093"/>
      <c r="O195" s="1093"/>
      <c r="P195" s="1093"/>
      <c r="Q195" s="1093"/>
      <c r="R195" s="1093"/>
      <c r="S195" s="1093"/>
      <c r="T195" s="1093"/>
    </row>
    <row r="196" spans="1:20" s="31" customFormat="1" ht="15" customHeight="1">
      <c r="B196" s="32"/>
      <c r="C196" s="1093"/>
      <c r="D196" s="1093"/>
      <c r="E196" s="1093"/>
      <c r="F196" s="1093"/>
      <c r="G196" s="1093"/>
      <c r="H196" s="1093"/>
      <c r="I196" s="1093"/>
      <c r="J196" s="1093"/>
      <c r="K196" s="1093"/>
      <c r="L196" s="1093"/>
      <c r="M196" s="1093"/>
      <c r="N196" s="1093"/>
      <c r="O196" s="1093"/>
      <c r="P196" s="1093"/>
      <c r="Q196" s="1093"/>
      <c r="R196" s="1093"/>
      <c r="S196" s="1093"/>
      <c r="T196" s="1093"/>
    </row>
    <row r="197" spans="1:20" s="31" customFormat="1" ht="15" customHeight="1">
      <c r="B197" s="32"/>
      <c r="C197" s="1093"/>
      <c r="D197" s="1093"/>
      <c r="E197" s="1093"/>
      <c r="F197" s="1093"/>
      <c r="G197" s="1093"/>
      <c r="H197" s="1093"/>
      <c r="I197" s="1093"/>
      <c r="J197" s="1093"/>
      <c r="K197" s="1093"/>
      <c r="L197" s="1093"/>
      <c r="M197" s="1093"/>
      <c r="N197" s="1093"/>
      <c r="O197" s="1093"/>
      <c r="P197" s="1093"/>
      <c r="Q197" s="1093"/>
      <c r="R197" s="1093"/>
      <c r="S197" s="1093"/>
      <c r="T197" s="1093"/>
    </row>
    <row r="198" spans="1:20" s="31" customFormat="1" ht="15" customHeight="1">
      <c r="B198" s="32" t="s">
        <v>725</v>
      </c>
      <c r="C198" s="1093" t="s">
        <v>942</v>
      </c>
      <c r="D198" s="1093"/>
      <c r="E198" s="1093"/>
      <c r="F198" s="1093"/>
      <c r="G198" s="1093"/>
      <c r="H198" s="1093"/>
      <c r="I198" s="1093"/>
      <c r="J198" s="1093"/>
      <c r="K198" s="1093"/>
      <c r="L198" s="1093"/>
      <c r="M198" s="1093"/>
      <c r="N198" s="1093"/>
      <c r="O198" s="1093"/>
      <c r="P198" s="1093"/>
      <c r="Q198" s="1093"/>
      <c r="R198" s="1093"/>
      <c r="S198" s="1093"/>
      <c r="T198" s="1093"/>
    </row>
    <row r="199" spans="1:20" s="31" customFormat="1" ht="15" customHeight="1">
      <c r="B199" s="32"/>
      <c r="C199" s="1093"/>
      <c r="D199" s="1093"/>
      <c r="E199" s="1093"/>
      <c r="F199" s="1093"/>
      <c r="G199" s="1093"/>
      <c r="H199" s="1093"/>
      <c r="I199" s="1093"/>
      <c r="J199" s="1093"/>
      <c r="K199" s="1093"/>
      <c r="L199" s="1093"/>
      <c r="M199" s="1093"/>
      <c r="N199" s="1093"/>
      <c r="O199" s="1093"/>
      <c r="P199" s="1093"/>
      <c r="Q199" s="1093"/>
      <c r="R199" s="1093"/>
      <c r="S199" s="1093"/>
      <c r="T199" s="1093"/>
    </row>
    <row r="200" spans="1:20" s="31" customFormat="1" ht="15" customHeight="1">
      <c r="B200" s="32"/>
      <c r="C200" s="1093"/>
      <c r="D200" s="1093"/>
      <c r="E200" s="1093"/>
      <c r="F200" s="1093"/>
      <c r="G200" s="1093"/>
      <c r="H200" s="1093"/>
      <c r="I200" s="1093"/>
      <c r="J200" s="1093"/>
      <c r="K200" s="1093"/>
      <c r="L200" s="1093"/>
      <c r="M200" s="1093"/>
      <c r="N200" s="1093"/>
      <c r="O200" s="1093"/>
      <c r="P200" s="1093"/>
      <c r="Q200" s="1093"/>
      <c r="R200" s="1093"/>
      <c r="S200" s="1093"/>
      <c r="T200" s="1093"/>
    </row>
    <row r="201" spans="1:20" s="31" customFormat="1" ht="15" customHeight="1">
      <c r="B201" s="32" t="s">
        <v>741</v>
      </c>
      <c r="C201" s="1093" t="s">
        <v>807</v>
      </c>
      <c r="D201" s="1093"/>
      <c r="E201" s="1093"/>
      <c r="F201" s="1093"/>
      <c r="G201" s="1093"/>
      <c r="H201" s="1093"/>
      <c r="I201" s="1093"/>
      <c r="J201" s="1093"/>
      <c r="K201" s="1093"/>
      <c r="L201" s="1093"/>
      <c r="M201" s="1093"/>
      <c r="N201" s="1093"/>
      <c r="O201" s="1093"/>
      <c r="P201" s="1093"/>
      <c r="Q201" s="1093"/>
      <c r="R201" s="1093"/>
      <c r="S201" s="1093"/>
      <c r="T201" s="1093"/>
    </row>
    <row r="202" spans="1:20" s="31" customFormat="1" ht="15" customHeight="1">
      <c r="B202" s="32"/>
      <c r="C202" s="1093"/>
      <c r="D202" s="1093"/>
      <c r="E202" s="1093"/>
      <c r="F202" s="1093"/>
      <c r="G202" s="1093"/>
      <c r="H202" s="1093"/>
      <c r="I202" s="1093"/>
      <c r="J202" s="1093"/>
      <c r="K202" s="1093"/>
      <c r="L202" s="1093"/>
      <c r="M202" s="1093"/>
      <c r="N202" s="1093"/>
      <c r="O202" s="1093"/>
      <c r="P202" s="1093"/>
      <c r="Q202" s="1093"/>
      <c r="R202" s="1093"/>
      <c r="S202" s="1093"/>
      <c r="T202" s="1093"/>
    </row>
    <row r="203" spans="1:20" s="31" customFormat="1" ht="15" customHeight="1">
      <c r="B203" s="32" t="s">
        <v>743</v>
      </c>
      <c r="C203" s="1093" t="s">
        <v>943</v>
      </c>
      <c r="D203" s="1093"/>
      <c r="E203" s="1093"/>
      <c r="F203" s="1093"/>
      <c r="G203" s="1093"/>
      <c r="H203" s="1093"/>
      <c r="I203" s="1093"/>
      <c r="J203" s="1093"/>
      <c r="K203" s="1093"/>
      <c r="L203" s="1093"/>
      <c r="M203" s="1093"/>
      <c r="N203" s="1093"/>
      <c r="O203" s="1093"/>
      <c r="P203" s="1093"/>
      <c r="Q203" s="1093"/>
      <c r="R203" s="1093"/>
      <c r="S203" s="1093"/>
      <c r="T203" s="1093"/>
    </row>
    <row r="204" spans="1:20" s="31" customFormat="1" ht="15" customHeight="1">
      <c r="B204" s="32"/>
      <c r="C204" s="1093"/>
      <c r="D204" s="1093"/>
      <c r="E204" s="1093"/>
      <c r="F204" s="1093"/>
      <c r="G204" s="1093"/>
      <c r="H204" s="1093"/>
      <c r="I204" s="1093"/>
      <c r="J204" s="1093"/>
      <c r="K204" s="1093"/>
      <c r="L204" s="1093"/>
      <c r="M204" s="1093"/>
      <c r="N204" s="1093"/>
      <c r="O204" s="1093"/>
      <c r="P204" s="1093"/>
      <c r="Q204" s="1093"/>
      <c r="R204" s="1093"/>
      <c r="S204" s="1093"/>
      <c r="T204" s="1093"/>
    </row>
    <row r="205" spans="1:20" s="31" customFormat="1" ht="15" customHeight="1">
      <c r="B205" s="32"/>
      <c r="C205" s="32"/>
    </row>
    <row r="206" spans="1:20" s="31" customFormat="1" ht="15" customHeight="1">
      <c r="A206" s="31" t="s">
        <v>809</v>
      </c>
      <c r="B206" s="32"/>
      <c r="C206" s="32"/>
    </row>
    <row r="207" spans="1:20" s="31" customFormat="1" ht="15" customHeight="1">
      <c r="A207" s="31" t="s">
        <v>815</v>
      </c>
      <c r="B207" s="32"/>
      <c r="C207" s="1093" t="s">
        <v>811</v>
      </c>
      <c r="D207" s="1093"/>
      <c r="E207" s="1093"/>
      <c r="F207" s="1093"/>
      <c r="G207" s="1093"/>
      <c r="H207" s="1093"/>
      <c r="I207" s="1093"/>
      <c r="J207" s="1093"/>
      <c r="K207" s="1093"/>
      <c r="L207" s="1093"/>
      <c r="M207" s="1093"/>
      <c r="N207" s="1093"/>
      <c r="O207" s="1093"/>
      <c r="P207" s="1093"/>
      <c r="Q207" s="1093"/>
      <c r="R207" s="1093"/>
      <c r="S207" s="1093"/>
      <c r="T207" s="1093"/>
    </row>
    <row r="208" spans="1:20" s="31" customFormat="1" ht="15" customHeight="1">
      <c r="B208" s="32"/>
      <c r="C208" s="1093"/>
      <c r="D208" s="1093"/>
      <c r="E208" s="1093"/>
      <c r="F208" s="1093"/>
      <c r="G208" s="1093"/>
      <c r="H208" s="1093"/>
      <c r="I208" s="1093"/>
      <c r="J208" s="1093"/>
      <c r="K208" s="1093"/>
      <c r="L208" s="1093"/>
      <c r="M208" s="1093"/>
      <c r="N208" s="1093"/>
      <c r="O208" s="1093"/>
      <c r="P208" s="1093"/>
      <c r="Q208" s="1093"/>
      <c r="R208" s="1093"/>
      <c r="S208" s="1093"/>
      <c r="T208" s="1093"/>
    </row>
    <row r="209" spans="1:21" s="31" customFormat="1" ht="15" customHeight="1">
      <c r="B209" s="32" t="s">
        <v>725</v>
      </c>
      <c r="C209" s="1093" t="s">
        <v>944</v>
      </c>
      <c r="D209" s="1093"/>
      <c r="E209" s="1093"/>
      <c r="F209" s="1093"/>
      <c r="G209" s="1093"/>
      <c r="H209" s="1093"/>
      <c r="I209" s="1093"/>
      <c r="J209" s="1093"/>
      <c r="K209" s="1093"/>
      <c r="L209" s="1093"/>
      <c r="M209" s="1093"/>
      <c r="N209" s="1093"/>
      <c r="O209" s="1093"/>
      <c r="P209" s="1093"/>
      <c r="Q209" s="1093"/>
      <c r="R209" s="1093"/>
      <c r="S209" s="1093"/>
      <c r="T209" s="1093"/>
    </row>
    <row r="210" spans="1:21" s="31" customFormat="1" ht="15" customHeight="1">
      <c r="B210" s="32"/>
      <c r="C210" s="1093"/>
      <c r="D210" s="1093"/>
      <c r="E210" s="1093"/>
      <c r="F210" s="1093"/>
      <c r="G210" s="1093"/>
      <c r="H210" s="1093"/>
      <c r="I210" s="1093"/>
      <c r="J210" s="1093"/>
      <c r="K210" s="1093"/>
      <c r="L210" s="1093"/>
      <c r="M210" s="1093"/>
      <c r="N210" s="1093"/>
      <c r="O210" s="1093"/>
      <c r="P210" s="1093"/>
      <c r="Q210" s="1093"/>
      <c r="R210" s="1093"/>
      <c r="S210" s="1093"/>
      <c r="T210" s="1093"/>
    </row>
    <row r="211" spans="1:21" s="31" customFormat="1" ht="15" customHeight="1">
      <c r="B211" s="32"/>
      <c r="C211" s="1093"/>
      <c r="D211" s="1093"/>
      <c r="E211" s="1093"/>
      <c r="F211" s="1093"/>
      <c r="G211" s="1093"/>
      <c r="H211" s="1093"/>
      <c r="I211" s="1093"/>
      <c r="J211" s="1093"/>
      <c r="K211" s="1093"/>
      <c r="L211" s="1093"/>
      <c r="M211" s="1093"/>
      <c r="N211" s="1093"/>
      <c r="O211" s="1093"/>
      <c r="P211" s="1093"/>
      <c r="Q211" s="1093"/>
      <c r="R211" s="1093"/>
      <c r="S211" s="1093"/>
      <c r="T211" s="1093"/>
    </row>
    <row r="212" spans="1:21" s="31" customFormat="1" ht="15" customHeight="1">
      <c r="B212" s="31" t="s">
        <v>741</v>
      </c>
      <c r="C212" s="1013" t="s">
        <v>813</v>
      </c>
      <c r="D212" s="1013"/>
      <c r="E212" s="1013"/>
      <c r="F212" s="1013"/>
      <c r="G212" s="1013"/>
      <c r="H212" s="1013"/>
      <c r="I212" s="1013"/>
      <c r="J212" s="1013"/>
      <c r="K212" s="1013"/>
      <c r="L212" s="1013"/>
      <c r="M212" s="1013"/>
      <c r="N212" s="1013"/>
      <c r="O212" s="1013"/>
      <c r="P212" s="1013"/>
      <c r="Q212" s="1013"/>
      <c r="R212" s="1013"/>
      <c r="S212" s="1013"/>
      <c r="T212" s="1013"/>
    </row>
    <row r="213" spans="1:21" s="31" customFormat="1" ht="15" customHeight="1">
      <c r="C213" s="1013"/>
      <c r="D213" s="1013"/>
      <c r="E213" s="1013"/>
      <c r="F213" s="1013"/>
      <c r="G213" s="1013"/>
      <c r="H213" s="1013"/>
      <c r="I213" s="1013"/>
      <c r="J213" s="1013"/>
      <c r="K213" s="1013"/>
      <c r="L213" s="1013"/>
      <c r="M213" s="1013"/>
      <c r="N213" s="1013"/>
      <c r="O213" s="1013"/>
      <c r="P213" s="1013"/>
      <c r="Q213" s="1013"/>
      <c r="R213" s="1013"/>
      <c r="S213" s="1013"/>
      <c r="T213" s="1013"/>
    </row>
    <row r="214" spans="1:21" s="31" customFormat="1" ht="15" customHeight="1">
      <c r="C214" s="1013"/>
      <c r="D214" s="1013"/>
      <c r="E214" s="1013"/>
      <c r="F214" s="1013"/>
      <c r="G214" s="1013"/>
      <c r="H214" s="1013"/>
      <c r="I214" s="1013"/>
      <c r="J214" s="1013"/>
      <c r="K214" s="1013"/>
      <c r="L214" s="1013"/>
      <c r="M214" s="1013"/>
      <c r="N214" s="1013"/>
      <c r="O214" s="1013"/>
      <c r="P214" s="1013"/>
      <c r="Q214" s="1013"/>
      <c r="R214" s="1013"/>
      <c r="S214" s="1013"/>
      <c r="T214" s="1013"/>
    </row>
    <row r="215" spans="1:21" s="31" customFormat="1" ht="15" customHeight="1">
      <c r="B215" s="32"/>
      <c r="C215" s="513"/>
      <c r="D215" s="513"/>
      <c r="E215" s="513"/>
      <c r="F215" s="513"/>
      <c r="G215" s="513"/>
      <c r="H215" s="513"/>
      <c r="I215" s="513"/>
      <c r="J215" s="513"/>
      <c r="K215" s="513"/>
      <c r="L215" s="513"/>
      <c r="M215" s="513"/>
      <c r="N215" s="513"/>
      <c r="O215" s="513"/>
      <c r="P215" s="513"/>
      <c r="Q215" s="513"/>
      <c r="R215" s="513"/>
      <c r="S215" s="513"/>
      <c r="T215" s="513"/>
    </row>
    <row r="216" spans="1:21" s="31" customFormat="1" ht="15" customHeight="1">
      <c r="A216" s="31" t="s">
        <v>814</v>
      </c>
      <c r="B216" s="32"/>
      <c r="C216" s="513"/>
      <c r="D216" s="513"/>
      <c r="E216" s="513"/>
      <c r="F216" s="513"/>
      <c r="G216" s="513"/>
      <c r="H216" s="513"/>
      <c r="I216" s="513"/>
      <c r="J216" s="513"/>
      <c r="K216" s="513"/>
      <c r="L216" s="513"/>
      <c r="M216" s="513"/>
      <c r="N216" s="513"/>
      <c r="O216" s="513"/>
      <c r="P216" s="513"/>
      <c r="Q216" s="513"/>
      <c r="R216" s="513"/>
      <c r="S216" s="513"/>
      <c r="T216" s="513"/>
    </row>
    <row r="217" spans="1:21" s="31" customFormat="1" ht="15" customHeight="1">
      <c r="A217" s="31" t="s">
        <v>818</v>
      </c>
      <c r="B217" s="32"/>
      <c r="C217" s="1093" t="s">
        <v>816</v>
      </c>
      <c r="D217" s="1093"/>
      <c r="E217" s="1093"/>
      <c r="F217" s="1093"/>
      <c r="G217" s="1093"/>
      <c r="H217" s="1093"/>
      <c r="I217" s="1093"/>
      <c r="J217" s="1093"/>
      <c r="K217" s="1093"/>
      <c r="L217" s="1093"/>
      <c r="M217" s="1093"/>
      <c r="N217" s="1093"/>
      <c r="O217" s="1093"/>
      <c r="P217" s="1093"/>
      <c r="Q217" s="1093"/>
      <c r="R217" s="1093"/>
      <c r="S217" s="1093"/>
      <c r="T217" s="1093"/>
    </row>
    <row r="218" spans="1:21" s="31" customFormat="1" ht="15" customHeight="1">
      <c r="B218" s="32"/>
      <c r="C218" s="1093"/>
      <c r="D218" s="1093"/>
      <c r="E218" s="1093"/>
      <c r="F218" s="1093"/>
      <c r="G218" s="1093"/>
      <c r="H218" s="1093"/>
      <c r="I218" s="1093"/>
      <c r="J218" s="1093"/>
      <c r="K218" s="1093"/>
      <c r="L218" s="1093"/>
      <c r="M218" s="1093"/>
      <c r="N218" s="1093"/>
      <c r="O218" s="1093"/>
      <c r="P218" s="1093"/>
      <c r="Q218" s="1093"/>
      <c r="R218" s="1093"/>
      <c r="S218" s="1093"/>
      <c r="T218" s="1093"/>
    </row>
    <row r="219" spans="1:21" s="31" customFormat="1" ht="15" customHeight="1">
      <c r="B219" s="32"/>
      <c r="C219" s="32"/>
    </row>
    <row r="220" spans="1:21" s="31" customFormat="1" ht="15" customHeight="1">
      <c r="A220" s="31" t="s">
        <v>817</v>
      </c>
      <c r="B220" s="32"/>
      <c r="C220" s="32"/>
    </row>
    <row r="221" spans="1:21" s="31" customFormat="1" ht="15" customHeight="1">
      <c r="A221" s="31" t="s">
        <v>822</v>
      </c>
      <c r="B221" s="32"/>
      <c r="C221" s="1093" t="s">
        <v>819</v>
      </c>
      <c r="D221" s="1093"/>
      <c r="E221" s="1093"/>
      <c r="F221" s="1093"/>
      <c r="G221" s="1093"/>
      <c r="H221" s="1093"/>
      <c r="I221" s="1093"/>
      <c r="J221" s="1093"/>
      <c r="K221" s="1093"/>
      <c r="L221" s="1093"/>
      <c r="M221" s="1093"/>
      <c r="N221" s="1093"/>
      <c r="O221" s="1093"/>
      <c r="P221" s="1093"/>
      <c r="Q221" s="1093"/>
      <c r="R221" s="1093"/>
      <c r="S221" s="1093"/>
      <c r="T221" s="1093"/>
      <c r="U221" s="196"/>
    </row>
    <row r="222" spans="1:21" s="31" customFormat="1" ht="15" customHeight="1">
      <c r="B222" s="32"/>
      <c r="C222" s="1093"/>
      <c r="D222" s="1093"/>
      <c r="E222" s="1093"/>
      <c r="F222" s="1093"/>
      <c r="G222" s="1093"/>
      <c r="H222" s="1093"/>
      <c r="I222" s="1093"/>
      <c r="J222" s="1093"/>
      <c r="K222" s="1093"/>
      <c r="L222" s="1093"/>
      <c r="M222" s="1093"/>
      <c r="N222" s="1093"/>
      <c r="O222" s="1093"/>
      <c r="P222" s="1093"/>
      <c r="Q222" s="1093"/>
      <c r="R222" s="1093"/>
      <c r="S222" s="1093"/>
      <c r="T222" s="1093"/>
      <c r="U222" s="196"/>
    </row>
    <row r="223" spans="1:21" s="31" customFormat="1" ht="15" customHeight="1">
      <c r="B223" s="32"/>
      <c r="C223" s="1093"/>
      <c r="D223" s="1093"/>
      <c r="E223" s="1093"/>
      <c r="F223" s="1093"/>
      <c r="G223" s="1093"/>
      <c r="H223" s="1093"/>
      <c r="I223" s="1093"/>
      <c r="J223" s="1093"/>
      <c r="K223" s="1093"/>
      <c r="L223" s="1093"/>
      <c r="M223" s="1093"/>
      <c r="N223" s="1093"/>
      <c r="O223" s="1093"/>
      <c r="P223" s="1093"/>
      <c r="Q223" s="1093"/>
      <c r="R223" s="1093"/>
      <c r="S223" s="1093"/>
      <c r="T223" s="1093"/>
    </row>
    <row r="224" spans="1:21" s="31" customFormat="1" ht="15" customHeight="1">
      <c r="B224" s="32"/>
      <c r="C224" s="1093"/>
      <c r="D224" s="1093"/>
      <c r="E224" s="1093"/>
      <c r="F224" s="1093"/>
      <c r="G224" s="1093"/>
      <c r="H224" s="1093"/>
      <c r="I224" s="1093"/>
      <c r="J224" s="1093"/>
      <c r="K224" s="1093"/>
      <c r="L224" s="1093"/>
      <c r="M224" s="1093"/>
      <c r="N224" s="1093"/>
      <c r="O224" s="1093"/>
      <c r="P224" s="1093"/>
      <c r="Q224" s="1093"/>
      <c r="R224" s="1093"/>
      <c r="S224" s="1093"/>
      <c r="T224" s="1093"/>
    </row>
    <row r="225" spans="1:20" s="31" customFormat="1" ht="15" customHeight="1">
      <c r="B225" s="32"/>
      <c r="C225" s="1093"/>
      <c r="D225" s="1093"/>
      <c r="E225" s="1093"/>
      <c r="F225" s="1093"/>
      <c r="G225" s="1093"/>
      <c r="H225" s="1093"/>
      <c r="I225" s="1093"/>
      <c r="J225" s="1093"/>
      <c r="K225" s="1093"/>
      <c r="L225" s="1093"/>
      <c r="M225" s="1093"/>
      <c r="N225" s="1093"/>
      <c r="O225" s="1093"/>
      <c r="P225" s="1093"/>
      <c r="Q225" s="1093"/>
      <c r="R225" s="1093"/>
      <c r="S225" s="1093"/>
      <c r="T225" s="1093"/>
    </row>
    <row r="226" spans="1:20" s="31" customFormat="1" ht="15" customHeight="1">
      <c r="B226" s="32" t="s">
        <v>725</v>
      </c>
      <c r="C226" s="1093" t="s">
        <v>820</v>
      </c>
      <c r="D226" s="1093"/>
      <c r="E226" s="1093"/>
      <c r="F226" s="1093"/>
      <c r="G226" s="1093"/>
      <c r="H226" s="1093"/>
      <c r="I226" s="1093"/>
      <c r="J226" s="1093"/>
      <c r="K226" s="1093"/>
      <c r="L226" s="1093"/>
      <c r="M226" s="1093"/>
      <c r="N226" s="1093"/>
      <c r="O226" s="1093"/>
      <c r="P226" s="1093"/>
      <c r="Q226" s="1093"/>
      <c r="R226" s="1093"/>
      <c r="S226" s="1093"/>
      <c r="T226" s="1093"/>
    </row>
    <row r="227" spans="1:20" s="31" customFormat="1" ht="15" customHeight="1">
      <c r="B227" s="32"/>
      <c r="C227" s="1093"/>
      <c r="D227" s="1093"/>
      <c r="E227" s="1093"/>
      <c r="F227" s="1093"/>
      <c r="G227" s="1093"/>
      <c r="H227" s="1093"/>
      <c r="I227" s="1093"/>
      <c r="J227" s="1093"/>
      <c r="K227" s="1093"/>
      <c r="L227" s="1093"/>
      <c r="M227" s="1093"/>
      <c r="N227" s="1093"/>
      <c r="O227" s="1093"/>
      <c r="P227" s="1093"/>
      <c r="Q227" s="1093"/>
      <c r="R227" s="1093"/>
      <c r="S227" s="1093"/>
      <c r="T227" s="1093"/>
    </row>
    <row r="228" spans="1:20" s="31" customFormat="1" ht="15" customHeight="1">
      <c r="B228" s="32"/>
      <c r="C228" s="32"/>
    </row>
    <row r="229" spans="1:20" s="31" customFormat="1" ht="15" customHeight="1">
      <c r="A229" s="31" t="s">
        <v>821</v>
      </c>
      <c r="B229" s="32"/>
      <c r="C229" s="32"/>
    </row>
    <row r="230" spans="1:20" s="31" customFormat="1" ht="15" customHeight="1">
      <c r="A230" s="31" t="s">
        <v>834</v>
      </c>
      <c r="B230" s="32"/>
      <c r="C230" s="1093" t="s">
        <v>823</v>
      </c>
      <c r="D230" s="1093"/>
      <c r="E230" s="1093"/>
      <c r="F230" s="1093"/>
      <c r="G230" s="1093"/>
      <c r="H230" s="1093"/>
      <c r="I230" s="1093"/>
      <c r="J230" s="1093"/>
      <c r="K230" s="1093"/>
      <c r="L230" s="1093"/>
      <c r="M230" s="1093"/>
      <c r="N230" s="1093"/>
      <c r="O230" s="1093"/>
      <c r="P230" s="1093"/>
      <c r="Q230" s="1093"/>
      <c r="R230" s="1093"/>
      <c r="S230" s="1093"/>
      <c r="T230" s="1093"/>
    </row>
    <row r="231" spans="1:20" s="31" customFormat="1" ht="15" customHeight="1">
      <c r="B231" s="32"/>
      <c r="C231" s="1093"/>
      <c r="D231" s="1093"/>
      <c r="E231" s="1093"/>
      <c r="F231" s="1093"/>
      <c r="G231" s="1093"/>
      <c r="H231" s="1093"/>
      <c r="I231" s="1093"/>
      <c r="J231" s="1093"/>
      <c r="K231" s="1093"/>
      <c r="L231" s="1093"/>
      <c r="M231" s="1093"/>
      <c r="N231" s="1093"/>
      <c r="O231" s="1093"/>
      <c r="P231" s="1093"/>
      <c r="Q231" s="1093"/>
      <c r="R231" s="1093"/>
      <c r="S231" s="1093"/>
      <c r="T231" s="1093"/>
    </row>
    <row r="232" spans="1:20" s="31" customFormat="1" ht="15" customHeight="1">
      <c r="B232" s="1227" t="s">
        <v>745</v>
      </c>
      <c r="C232" s="1227"/>
      <c r="D232" s="31" t="s">
        <v>824</v>
      </c>
    </row>
    <row r="233" spans="1:20" s="31" customFormat="1" ht="15" customHeight="1">
      <c r="B233" s="1227" t="s">
        <v>747</v>
      </c>
      <c r="C233" s="1227"/>
      <c r="D233" s="1013" t="s">
        <v>825</v>
      </c>
      <c r="E233" s="1013"/>
      <c r="F233" s="1013"/>
      <c r="G233" s="1013"/>
      <c r="H233" s="1013"/>
      <c r="I233" s="1013"/>
      <c r="J233" s="1013"/>
      <c r="K233" s="1013"/>
      <c r="L233" s="1013"/>
      <c r="M233" s="1013"/>
      <c r="N233" s="1013"/>
      <c r="O233" s="1013"/>
      <c r="P233" s="1013"/>
      <c r="Q233" s="1013"/>
      <c r="R233" s="1013"/>
      <c r="S233" s="1013"/>
      <c r="T233" s="1013"/>
    </row>
    <row r="234" spans="1:20" s="31" customFormat="1" ht="15" customHeight="1">
      <c r="B234" s="32"/>
      <c r="C234" s="32"/>
      <c r="D234" s="1013"/>
      <c r="E234" s="1013"/>
      <c r="F234" s="1013"/>
      <c r="G234" s="1013"/>
      <c r="H234" s="1013"/>
      <c r="I234" s="1013"/>
      <c r="J234" s="1013"/>
      <c r="K234" s="1013"/>
      <c r="L234" s="1013"/>
      <c r="M234" s="1013"/>
      <c r="N234" s="1013"/>
      <c r="O234" s="1013"/>
      <c r="P234" s="1013"/>
      <c r="Q234" s="1013"/>
      <c r="R234" s="1013"/>
      <c r="S234" s="1013"/>
      <c r="T234" s="1013"/>
    </row>
    <row r="235" spans="1:20" s="31" customFormat="1" ht="15" customHeight="1">
      <c r="B235" s="1227" t="s">
        <v>775</v>
      </c>
      <c r="C235" s="1227"/>
      <c r="D235" s="31" t="s">
        <v>1784</v>
      </c>
    </row>
    <row r="236" spans="1:20" s="31" customFormat="1" ht="15" customHeight="1">
      <c r="B236" s="1227" t="s">
        <v>792</v>
      </c>
      <c r="C236" s="1227"/>
      <c r="D236" s="31" t="s">
        <v>1785</v>
      </c>
    </row>
    <row r="237" spans="1:20" s="31" customFormat="1" ht="15" customHeight="1">
      <c r="B237" s="1227" t="s">
        <v>826</v>
      </c>
      <c r="C237" s="1227"/>
      <c r="D237" s="31" t="s">
        <v>827</v>
      </c>
    </row>
    <row r="238" spans="1:20" s="31" customFormat="1" ht="15" customHeight="1">
      <c r="B238" s="162"/>
      <c r="C238" s="162"/>
      <c r="D238" s="31" t="s">
        <v>945</v>
      </c>
    </row>
    <row r="239" spans="1:20" s="31" customFormat="1" ht="15" customHeight="1">
      <c r="B239" s="1227" t="s">
        <v>829</v>
      </c>
      <c r="C239" s="1227"/>
      <c r="D239" s="31" t="s">
        <v>830</v>
      </c>
    </row>
    <row r="240" spans="1:20" s="31" customFormat="1" ht="15" customHeight="1">
      <c r="B240" s="1015" t="s">
        <v>831</v>
      </c>
      <c r="C240" s="1014"/>
      <c r="D240" s="31" t="s">
        <v>832</v>
      </c>
    </row>
    <row r="241" spans="1:20" s="31" customFormat="1" ht="15" customHeight="1">
      <c r="B241" s="162"/>
      <c r="C241" s="162"/>
    </row>
    <row r="242" spans="1:20" s="31" customFormat="1" ht="15" customHeight="1">
      <c r="A242" s="31" t="s">
        <v>833</v>
      </c>
      <c r="B242" s="32"/>
      <c r="C242" s="32"/>
    </row>
    <row r="243" spans="1:20" s="31" customFormat="1" ht="15" customHeight="1">
      <c r="A243" s="31" t="s">
        <v>841</v>
      </c>
      <c r="B243" s="32"/>
      <c r="C243" s="1093" t="s">
        <v>946</v>
      </c>
      <c r="D243" s="1093"/>
      <c r="E243" s="1093"/>
      <c r="F243" s="1093"/>
      <c r="G243" s="1093"/>
      <c r="H243" s="1093"/>
      <c r="I243" s="1093"/>
      <c r="J243" s="1093"/>
      <c r="K243" s="1093"/>
      <c r="L243" s="1093"/>
      <c r="M243" s="1093"/>
      <c r="N243" s="1093"/>
      <c r="O243" s="1093"/>
      <c r="P243" s="1093"/>
      <c r="Q243" s="1093"/>
      <c r="R243" s="1093"/>
      <c r="S243" s="1093"/>
      <c r="T243" s="1093"/>
    </row>
    <row r="244" spans="1:20" s="31" customFormat="1" ht="15" customHeight="1">
      <c r="B244" s="32"/>
      <c r="C244" s="1093"/>
      <c r="D244" s="1093"/>
      <c r="E244" s="1093"/>
      <c r="F244" s="1093"/>
      <c r="G244" s="1093"/>
      <c r="H244" s="1093"/>
      <c r="I244" s="1093"/>
      <c r="J244" s="1093"/>
      <c r="K244" s="1093"/>
      <c r="L244" s="1093"/>
      <c r="M244" s="1093"/>
      <c r="N244" s="1093"/>
      <c r="O244" s="1093"/>
      <c r="P244" s="1093"/>
      <c r="Q244" s="1093"/>
      <c r="R244" s="1093"/>
      <c r="S244" s="1093"/>
      <c r="T244" s="1093"/>
    </row>
    <row r="245" spans="1:20" s="31" customFormat="1" ht="15" customHeight="1">
      <c r="B245" s="32" t="s">
        <v>725</v>
      </c>
      <c r="C245" s="1093" t="s">
        <v>947</v>
      </c>
      <c r="D245" s="1093"/>
      <c r="E245" s="1093"/>
      <c r="F245" s="1093"/>
      <c r="G245" s="1093"/>
      <c r="H245" s="1093"/>
      <c r="I245" s="1093"/>
      <c r="J245" s="1093"/>
      <c r="K245" s="1093"/>
      <c r="L245" s="1093"/>
      <c r="M245" s="1093"/>
      <c r="N245" s="1093"/>
      <c r="O245" s="1093"/>
      <c r="P245" s="1093"/>
      <c r="Q245" s="1093"/>
      <c r="R245" s="1093"/>
      <c r="S245" s="1093"/>
      <c r="T245" s="1093"/>
    </row>
    <row r="246" spans="1:20" s="31" customFormat="1" ht="15" customHeight="1">
      <c r="B246" s="32"/>
      <c r="C246" s="1093"/>
      <c r="D246" s="1093"/>
      <c r="E246" s="1093"/>
      <c r="F246" s="1093"/>
      <c r="G246" s="1093"/>
      <c r="H246" s="1093"/>
      <c r="I246" s="1093"/>
      <c r="J246" s="1093"/>
      <c r="K246" s="1093"/>
      <c r="L246" s="1093"/>
      <c r="M246" s="1093"/>
      <c r="N246" s="1093"/>
      <c r="O246" s="1093"/>
      <c r="P246" s="1093"/>
      <c r="Q246" s="1093"/>
      <c r="R246" s="1093"/>
      <c r="S246" s="1093"/>
      <c r="T246" s="1093"/>
    </row>
    <row r="247" spans="1:20" s="31" customFormat="1" ht="15" customHeight="1">
      <c r="B247" s="32"/>
      <c r="C247" s="1093"/>
      <c r="D247" s="1093"/>
      <c r="E247" s="1093"/>
      <c r="F247" s="1093"/>
      <c r="G247" s="1093"/>
      <c r="H247" s="1093"/>
      <c r="I247" s="1093"/>
      <c r="J247" s="1093"/>
      <c r="K247" s="1093"/>
      <c r="L247" s="1093"/>
      <c r="M247" s="1093"/>
      <c r="N247" s="1093"/>
      <c r="O247" s="1093"/>
      <c r="P247" s="1093"/>
      <c r="Q247" s="1093"/>
      <c r="R247" s="1093"/>
      <c r="S247" s="1093"/>
      <c r="T247" s="1093"/>
    </row>
    <row r="248" spans="1:20" s="31" customFormat="1" ht="15" customHeight="1">
      <c r="B248" s="32" t="s">
        <v>741</v>
      </c>
      <c r="C248" s="1093" t="s">
        <v>948</v>
      </c>
      <c r="D248" s="1093"/>
      <c r="E248" s="1093"/>
      <c r="F248" s="1093"/>
      <c r="G248" s="1093"/>
      <c r="H248" s="1093"/>
      <c r="I248" s="1093"/>
      <c r="J248" s="1093"/>
      <c r="K248" s="1093"/>
      <c r="L248" s="1093"/>
      <c r="M248" s="1093"/>
      <c r="N248" s="1093"/>
      <c r="O248" s="1093"/>
      <c r="P248" s="1093"/>
      <c r="Q248" s="1093"/>
      <c r="R248" s="1093"/>
      <c r="S248" s="1093"/>
      <c r="T248" s="1093"/>
    </row>
    <row r="249" spans="1:20" s="31" customFormat="1" ht="15" customHeight="1">
      <c r="B249" s="32"/>
      <c r="C249" s="1093"/>
      <c r="D249" s="1093"/>
      <c r="E249" s="1093"/>
      <c r="F249" s="1093"/>
      <c r="G249" s="1093"/>
      <c r="H249" s="1093"/>
      <c r="I249" s="1093"/>
      <c r="J249" s="1093"/>
      <c r="K249" s="1093"/>
      <c r="L249" s="1093"/>
      <c r="M249" s="1093"/>
      <c r="N249" s="1093"/>
      <c r="O249" s="1093"/>
      <c r="P249" s="1093"/>
      <c r="Q249" s="1093"/>
      <c r="R249" s="1093"/>
      <c r="S249" s="1093"/>
      <c r="T249" s="1093"/>
    </row>
    <row r="250" spans="1:20" s="31" customFormat="1" ht="15" customHeight="1">
      <c r="B250" s="32" t="s">
        <v>743</v>
      </c>
      <c r="C250" s="1093" t="s">
        <v>838</v>
      </c>
      <c r="D250" s="1093"/>
      <c r="E250" s="1093"/>
      <c r="F250" s="1093"/>
      <c r="G250" s="1093"/>
      <c r="H250" s="1093"/>
      <c r="I250" s="1093"/>
      <c r="J250" s="1093"/>
      <c r="K250" s="1093"/>
      <c r="L250" s="1093"/>
      <c r="M250" s="1093"/>
      <c r="N250" s="1093"/>
      <c r="O250" s="1093"/>
      <c r="P250" s="1093"/>
      <c r="Q250" s="1093"/>
      <c r="R250" s="1093"/>
      <c r="S250" s="1093"/>
      <c r="T250" s="1093"/>
    </row>
    <row r="251" spans="1:20" s="31" customFormat="1" ht="15" customHeight="1">
      <c r="B251" s="32"/>
      <c r="C251" s="1093"/>
      <c r="D251" s="1093"/>
      <c r="E251" s="1093"/>
      <c r="F251" s="1093"/>
      <c r="G251" s="1093"/>
      <c r="H251" s="1093"/>
      <c r="I251" s="1093"/>
      <c r="J251" s="1093"/>
      <c r="K251" s="1093"/>
      <c r="L251" s="1093"/>
      <c r="M251" s="1093"/>
      <c r="N251" s="1093"/>
      <c r="O251" s="1093"/>
      <c r="P251" s="1093"/>
      <c r="Q251" s="1093"/>
      <c r="R251" s="1093"/>
      <c r="S251" s="1093"/>
      <c r="T251" s="1093"/>
    </row>
    <row r="252" spans="1:20" s="31" customFormat="1" ht="15" customHeight="1">
      <c r="B252" s="32"/>
      <c r="C252" s="1093"/>
      <c r="D252" s="1093"/>
      <c r="E252" s="1093"/>
      <c r="F252" s="1093"/>
      <c r="G252" s="1093"/>
      <c r="H252" s="1093"/>
      <c r="I252" s="1093"/>
      <c r="J252" s="1093"/>
      <c r="K252" s="1093"/>
      <c r="L252" s="1093"/>
      <c r="M252" s="1093"/>
      <c r="N252" s="1093"/>
      <c r="O252" s="1093"/>
      <c r="P252" s="1093"/>
      <c r="Q252" s="1093"/>
      <c r="R252" s="1093"/>
      <c r="S252" s="1093"/>
      <c r="T252" s="1093"/>
    </row>
    <row r="253" spans="1:20" s="31" customFormat="1" ht="15" customHeight="1">
      <c r="B253" s="198" t="s">
        <v>749</v>
      </c>
      <c r="C253" s="1013" t="s">
        <v>839</v>
      </c>
      <c r="D253" s="1013"/>
      <c r="E253" s="1013"/>
      <c r="F253" s="1013"/>
      <c r="G253" s="1013"/>
      <c r="H253" s="1013"/>
      <c r="I253" s="1013"/>
      <c r="J253" s="1013"/>
      <c r="K253" s="1013"/>
      <c r="L253" s="1013"/>
      <c r="M253" s="1013"/>
      <c r="N253" s="1013"/>
      <c r="O253" s="1013"/>
      <c r="P253" s="1013"/>
      <c r="Q253" s="1013"/>
      <c r="R253" s="1013"/>
      <c r="S253" s="1013"/>
      <c r="T253" s="1013"/>
    </row>
    <row r="254" spans="1:20" s="31" customFormat="1" ht="15" customHeight="1">
      <c r="B254" s="32"/>
      <c r="C254" s="32"/>
    </row>
    <row r="255" spans="1:20" s="31" customFormat="1" ht="15" customHeight="1">
      <c r="A255" s="31" t="s">
        <v>840</v>
      </c>
      <c r="B255" s="32"/>
      <c r="C255" s="32"/>
    </row>
    <row r="256" spans="1:20" s="31" customFormat="1" ht="15" customHeight="1">
      <c r="A256" s="31" t="s">
        <v>845</v>
      </c>
      <c r="B256" s="32"/>
      <c r="C256" s="1093" t="s">
        <v>949</v>
      </c>
      <c r="D256" s="1093"/>
      <c r="E256" s="1093"/>
      <c r="F256" s="1093"/>
      <c r="G256" s="1093"/>
      <c r="H256" s="1093"/>
      <c r="I256" s="1093"/>
      <c r="J256" s="1093"/>
      <c r="K256" s="1093"/>
      <c r="L256" s="1093"/>
      <c r="M256" s="1093"/>
      <c r="N256" s="1093"/>
      <c r="O256" s="1093"/>
      <c r="P256" s="1093"/>
      <c r="Q256" s="1093"/>
      <c r="R256" s="1093"/>
      <c r="S256" s="1093"/>
      <c r="T256" s="1093"/>
    </row>
    <row r="257" spans="1:24" s="31" customFormat="1" ht="15" customHeight="1">
      <c r="B257" s="32"/>
      <c r="C257" s="1093"/>
      <c r="D257" s="1093"/>
      <c r="E257" s="1093"/>
      <c r="F257" s="1093"/>
      <c r="G257" s="1093"/>
      <c r="H257" s="1093"/>
      <c r="I257" s="1093"/>
      <c r="J257" s="1093"/>
      <c r="K257" s="1093"/>
      <c r="L257" s="1093"/>
      <c r="M257" s="1093"/>
      <c r="N257" s="1093"/>
      <c r="O257" s="1093"/>
      <c r="P257" s="1093"/>
      <c r="Q257" s="1093"/>
      <c r="R257" s="1093"/>
      <c r="S257" s="1093"/>
      <c r="T257" s="1093"/>
    </row>
    <row r="258" spans="1:24" s="31" customFormat="1" ht="15" customHeight="1">
      <c r="B258" s="32" t="s">
        <v>725</v>
      </c>
      <c r="C258" s="1093" t="s">
        <v>843</v>
      </c>
      <c r="D258" s="1093"/>
      <c r="E258" s="1093"/>
      <c r="F258" s="1093"/>
      <c r="G258" s="1093"/>
      <c r="H258" s="1093"/>
      <c r="I258" s="1093"/>
      <c r="J258" s="1093"/>
      <c r="K258" s="1093"/>
      <c r="L258" s="1093"/>
      <c r="M258" s="1093"/>
      <c r="N258" s="1093"/>
      <c r="O258" s="1093"/>
      <c r="P258" s="1093"/>
      <c r="Q258" s="1093"/>
      <c r="R258" s="1093"/>
      <c r="S258" s="1093"/>
      <c r="T258" s="1093"/>
    </row>
    <row r="259" spans="1:24" s="31" customFormat="1" ht="15" customHeight="1">
      <c r="B259" s="32"/>
      <c r="C259" s="1093"/>
      <c r="D259" s="1093"/>
      <c r="E259" s="1093"/>
      <c r="F259" s="1093"/>
      <c r="G259" s="1093"/>
      <c r="H259" s="1093"/>
      <c r="I259" s="1093"/>
      <c r="J259" s="1093"/>
      <c r="K259" s="1093"/>
      <c r="L259" s="1093"/>
      <c r="M259" s="1093"/>
      <c r="N259" s="1093"/>
      <c r="O259" s="1093"/>
      <c r="P259" s="1093"/>
      <c r="Q259" s="1093"/>
      <c r="R259" s="1093"/>
      <c r="S259" s="1093"/>
      <c r="T259" s="1093"/>
    </row>
    <row r="260" spans="1:24" s="31" customFormat="1" ht="15" customHeight="1">
      <c r="B260" s="32"/>
      <c r="C260" s="32"/>
    </row>
    <row r="261" spans="1:24" s="31" customFormat="1" ht="15" customHeight="1">
      <c r="A261" s="31" t="s">
        <v>844</v>
      </c>
      <c r="B261" s="32"/>
      <c r="C261" s="32"/>
    </row>
    <row r="262" spans="1:24" s="31" customFormat="1" ht="15" customHeight="1">
      <c r="A262" s="31" t="s">
        <v>848</v>
      </c>
      <c r="B262" s="32"/>
      <c r="C262" s="1093" t="s">
        <v>950</v>
      </c>
      <c r="D262" s="1093"/>
      <c r="E262" s="1093"/>
      <c r="F262" s="1093"/>
      <c r="G262" s="1093"/>
      <c r="H262" s="1093"/>
      <c r="I262" s="1093"/>
      <c r="J262" s="1093"/>
      <c r="K262" s="1093"/>
      <c r="L262" s="1093"/>
      <c r="M262" s="1093"/>
      <c r="N262" s="1093"/>
      <c r="O262" s="1093"/>
      <c r="P262" s="1093"/>
      <c r="Q262" s="1093"/>
      <c r="R262" s="1093"/>
      <c r="S262" s="1093"/>
      <c r="T262" s="1093"/>
    </row>
    <row r="263" spans="1:24" s="31" customFormat="1" ht="15" customHeight="1">
      <c r="B263" s="32"/>
      <c r="C263" s="1093"/>
      <c r="D263" s="1093"/>
      <c r="E263" s="1093"/>
      <c r="F263" s="1093"/>
      <c r="G263" s="1093"/>
      <c r="H263" s="1093"/>
      <c r="I263" s="1093"/>
      <c r="J263" s="1093"/>
      <c r="K263" s="1093"/>
      <c r="L263" s="1093"/>
      <c r="M263" s="1093"/>
      <c r="N263" s="1093"/>
      <c r="O263" s="1093"/>
      <c r="P263" s="1093"/>
      <c r="Q263" s="1093"/>
      <c r="R263" s="1093"/>
      <c r="S263" s="1093"/>
      <c r="T263" s="1093"/>
    </row>
    <row r="264" spans="1:24" s="31" customFormat="1" ht="15" customHeight="1">
      <c r="B264" s="32"/>
      <c r="C264" s="32"/>
    </row>
    <row r="265" spans="1:24" s="31" customFormat="1" ht="15" customHeight="1">
      <c r="A265" s="31" t="s">
        <v>847</v>
      </c>
      <c r="B265" s="32"/>
      <c r="C265" s="32"/>
    </row>
    <row r="266" spans="1:24" s="31" customFormat="1" ht="15" customHeight="1">
      <c r="A266" s="31" t="s">
        <v>851</v>
      </c>
      <c r="B266" s="32"/>
      <c r="C266" s="1093" t="s">
        <v>951</v>
      </c>
      <c r="D266" s="1093"/>
      <c r="E266" s="1093"/>
      <c r="F266" s="1093"/>
      <c r="G266" s="1093"/>
      <c r="H266" s="1093"/>
      <c r="I266" s="1093"/>
      <c r="J266" s="1093"/>
      <c r="K266" s="1093"/>
      <c r="L266" s="1093"/>
      <c r="M266" s="1093"/>
      <c r="N266" s="1093"/>
      <c r="O266" s="1093"/>
      <c r="P266" s="1093"/>
      <c r="Q266" s="1093"/>
      <c r="R266" s="1093"/>
      <c r="S266" s="1093"/>
      <c r="T266" s="1093"/>
    </row>
    <row r="267" spans="1:24" s="31" customFormat="1" ht="15" customHeight="1">
      <c r="B267" s="32"/>
      <c r="C267" s="1093"/>
      <c r="D267" s="1093"/>
      <c r="E267" s="1093"/>
      <c r="F267" s="1093"/>
      <c r="G267" s="1093"/>
      <c r="H267" s="1093"/>
      <c r="I267" s="1093"/>
      <c r="J267" s="1093"/>
      <c r="K267" s="1093"/>
      <c r="L267" s="1093"/>
      <c r="M267" s="1093"/>
      <c r="N267" s="1093"/>
      <c r="O267" s="1093"/>
      <c r="P267" s="1093"/>
      <c r="Q267" s="1093"/>
      <c r="R267" s="1093"/>
      <c r="S267" s="1093"/>
      <c r="T267" s="1093"/>
    </row>
    <row r="268" spans="1:24" s="31" customFormat="1" ht="15" customHeight="1">
      <c r="X268" s="196"/>
    </row>
    <row r="269" spans="1:24" s="196" customFormat="1" ht="15" customHeight="1">
      <c r="A269" s="31" t="s">
        <v>850</v>
      </c>
      <c r="B269" s="31"/>
      <c r="C269" s="31"/>
      <c r="D269" s="31"/>
      <c r="E269" s="31"/>
      <c r="F269" s="31"/>
      <c r="G269" s="31"/>
      <c r="H269" s="31"/>
      <c r="I269" s="31"/>
      <c r="J269" s="31"/>
      <c r="K269" s="31"/>
      <c r="L269" s="31"/>
      <c r="M269" s="31"/>
      <c r="N269" s="31"/>
      <c r="O269" s="31"/>
      <c r="P269" s="31"/>
      <c r="Q269" s="31"/>
      <c r="R269" s="31"/>
      <c r="S269" s="31"/>
      <c r="T269" s="31"/>
    </row>
    <row r="270" spans="1:24" s="196" customFormat="1" ht="50.1" customHeight="1">
      <c r="A270" s="31" t="s">
        <v>1605</v>
      </c>
      <c r="B270" s="31"/>
      <c r="C270" s="1013" t="s">
        <v>852</v>
      </c>
      <c r="D270" s="1013"/>
      <c r="E270" s="1013"/>
      <c r="F270" s="1013"/>
      <c r="G270" s="1013"/>
      <c r="H270" s="1013"/>
      <c r="I270" s="1013"/>
      <c r="J270" s="1013"/>
      <c r="K270" s="1013"/>
      <c r="L270" s="1013"/>
      <c r="M270" s="1013"/>
      <c r="N270" s="1013"/>
      <c r="O270" s="1013"/>
      <c r="P270" s="1013"/>
      <c r="Q270" s="1013"/>
      <c r="R270" s="1013"/>
      <c r="S270" s="1013"/>
      <c r="T270" s="1013"/>
    </row>
    <row r="271" spans="1:24" s="196" customFormat="1" ht="60" customHeight="1">
      <c r="A271" s="31"/>
      <c r="B271" s="31" t="s">
        <v>725</v>
      </c>
      <c r="C271" s="1013" t="s">
        <v>853</v>
      </c>
      <c r="D271" s="1013"/>
      <c r="E271" s="1013"/>
      <c r="F271" s="1013"/>
      <c r="G271" s="1013"/>
      <c r="H271" s="1013"/>
      <c r="I271" s="1013"/>
      <c r="J271" s="1013"/>
      <c r="K271" s="1013"/>
      <c r="L271" s="1013"/>
      <c r="M271" s="1013"/>
      <c r="N271" s="1013"/>
      <c r="O271" s="1013"/>
      <c r="P271" s="1013"/>
      <c r="Q271" s="1013"/>
      <c r="R271" s="1013"/>
      <c r="S271" s="1013"/>
      <c r="T271" s="1013"/>
    </row>
    <row r="272" spans="1:24" s="196" customFormat="1" ht="40.35" customHeight="1">
      <c r="A272" s="31"/>
      <c r="B272" s="31" t="s">
        <v>1440</v>
      </c>
      <c r="C272" s="1013" t="s">
        <v>1885</v>
      </c>
      <c r="D272" s="1013"/>
      <c r="E272" s="1013"/>
      <c r="F272" s="1013"/>
      <c r="G272" s="1013"/>
      <c r="H272" s="1013"/>
      <c r="I272" s="1013"/>
      <c r="J272" s="1013"/>
      <c r="K272" s="1013"/>
      <c r="L272" s="1013"/>
      <c r="M272" s="1013"/>
      <c r="N272" s="1013"/>
      <c r="O272" s="1013"/>
      <c r="P272" s="1013"/>
      <c r="Q272" s="1013"/>
      <c r="R272" s="1013"/>
      <c r="S272" s="1013"/>
      <c r="T272" s="1013"/>
    </row>
    <row r="273" spans="1:25" s="31" customFormat="1" ht="15" customHeight="1">
      <c r="B273" s="32"/>
      <c r="C273" s="513"/>
      <c r="D273" s="513"/>
      <c r="E273" s="513"/>
      <c r="F273" s="513"/>
      <c r="G273" s="513"/>
      <c r="H273" s="513"/>
      <c r="I273" s="513"/>
      <c r="J273" s="513"/>
      <c r="K273" s="513"/>
      <c r="L273" s="513"/>
      <c r="M273" s="513"/>
      <c r="N273" s="513"/>
      <c r="O273" s="513"/>
      <c r="P273" s="513"/>
      <c r="Q273" s="513"/>
      <c r="R273" s="513"/>
      <c r="S273" s="513"/>
      <c r="T273" s="513"/>
    </row>
    <row r="274" spans="1:25" s="31" customFormat="1" ht="15" customHeight="1">
      <c r="B274" s="32"/>
      <c r="C274" s="513"/>
      <c r="D274" s="513"/>
      <c r="E274" s="513"/>
      <c r="F274" s="513"/>
      <c r="G274" s="513"/>
      <c r="H274" s="513"/>
      <c r="I274" s="513"/>
      <c r="J274" s="513"/>
      <c r="K274" s="513"/>
      <c r="L274" s="513"/>
      <c r="M274" s="513"/>
      <c r="N274" s="513"/>
      <c r="O274" s="513"/>
      <c r="P274" s="513"/>
      <c r="Q274" s="513"/>
      <c r="R274" s="513"/>
      <c r="S274" s="513"/>
      <c r="T274" s="162" t="s">
        <v>854</v>
      </c>
    </row>
    <row r="275" spans="1:25" s="31" customFormat="1" ht="15" customHeight="1">
      <c r="B275" s="32"/>
      <c r="C275" s="513"/>
      <c r="D275" s="513"/>
      <c r="E275" s="513"/>
      <c r="F275" s="513"/>
      <c r="G275" s="513"/>
      <c r="H275" s="513"/>
      <c r="I275" s="513"/>
      <c r="J275" s="513"/>
      <c r="K275" s="513"/>
      <c r="L275" s="513"/>
      <c r="M275" s="513"/>
      <c r="N275" s="513"/>
      <c r="O275" s="513"/>
      <c r="P275" s="513"/>
      <c r="Q275" s="513"/>
      <c r="R275" s="513"/>
      <c r="S275" s="513"/>
      <c r="T275" s="513"/>
    </row>
    <row r="276" spans="1:25" s="31" customFormat="1" ht="15" hidden="1" customHeight="1">
      <c r="A276" s="298"/>
      <c r="B276" s="298"/>
      <c r="C276" s="298"/>
      <c r="D276" s="298"/>
      <c r="E276" s="298"/>
      <c r="F276" s="298"/>
      <c r="G276" s="298"/>
      <c r="H276" s="298"/>
      <c r="I276" s="298"/>
      <c r="J276" s="298"/>
      <c r="K276" s="298"/>
      <c r="L276" s="298"/>
      <c r="M276" s="298"/>
      <c r="N276" s="298"/>
      <c r="O276" s="298"/>
      <c r="P276" s="298"/>
      <c r="Q276" s="298"/>
      <c r="R276" s="298"/>
      <c r="S276" s="298"/>
      <c r="T276" s="298"/>
      <c r="X276" s="196"/>
    </row>
    <row r="277" spans="1:25" s="31" customFormat="1" ht="15" hidden="1" customHeight="1">
      <c r="A277" s="298"/>
      <c r="B277" s="298"/>
      <c r="C277" s="298"/>
      <c r="D277" s="298"/>
      <c r="E277" s="298"/>
      <c r="F277" s="298"/>
      <c r="G277" s="298"/>
      <c r="H277" s="298"/>
      <c r="I277" s="298"/>
      <c r="J277" s="298"/>
      <c r="K277" s="298"/>
      <c r="L277" s="298"/>
      <c r="M277" s="298"/>
      <c r="N277" s="298"/>
      <c r="O277" s="298"/>
      <c r="P277" s="298"/>
      <c r="Q277" s="298"/>
      <c r="R277" s="298"/>
      <c r="S277" s="298"/>
      <c r="T277" s="298"/>
      <c r="X277" s="196"/>
    </row>
    <row r="278" spans="1:25" s="31" customFormat="1" ht="15" hidden="1" customHeight="1">
      <c r="A278" s="298"/>
      <c r="B278" s="298"/>
      <c r="C278" s="298"/>
      <c r="D278" s="298"/>
      <c r="E278" s="298"/>
      <c r="F278" s="298"/>
      <c r="G278" s="298"/>
      <c r="H278" s="298"/>
      <c r="I278" s="298"/>
      <c r="J278" s="298"/>
      <c r="K278" s="298"/>
      <c r="L278" s="298"/>
      <c r="M278" s="298"/>
      <c r="N278" s="298"/>
      <c r="O278" s="298"/>
      <c r="P278" s="298"/>
      <c r="Q278" s="298"/>
      <c r="R278" s="298"/>
      <c r="S278" s="298"/>
      <c r="T278" s="298"/>
      <c r="X278" s="196"/>
    </row>
    <row r="279" spans="1:25" s="31" customFormat="1" ht="15" hidden="1" customHeight="1">
      <c r="A279" s="298"/>
      <c r="B279" s="298"/>
      <c r="C279" s="298"/>
      <c r="D279" s="298"/>
      <c r="E279" s="298"/>
      <c r="F279" s="298"/>
      <c r="G279" s="298"/>
      <c r="H279" s="298"/>
      <c r="I279" s="298"/>
      <c r="J279" s="298"/>
      <c r="K279" s="298"/>
      <c r="L279" s="298"/>
      <c r="M279" s="298"/>
      <c r="N279" s="298"/>
      <c r="O279" s="298"/>
      <c r="P279" s="298"/>
      <c r="Q279" s="298"/>
      <c r="R279" s="298"/>
      <c r="S279" s="298"/>
      <c r="T279" s="298"/>
      <c r="X279" s="196"/>
    </row>
    <row r="280" spans="1:25" s="31" customFormat="1" ht="15" hidden="1" customHeight="1">
      <c r="A280" s="298"/>
      <c r="B280" s="298"/>
      <c r="C280" s="298"/>
      <c r="D280" s="298"/>
      <c r="E280" s="298"/>
      <c r="F280" s="298"/>
      <c r="G280" s="298"/>
      <c r="H280" s="298"/>
      <c r="I280" s="298"/>
      <c r="J280" s="298"/>
      <c r="K280" s="298"/>
      <c r="L280" s="298"/>
      <c r="M280" s="298"/>
      <c r="N280" s="298"/>
      <c r="O280" s="298"/>
      <c r="P280" s="298"/>
      <c r="Q280" s="298"/>
      <c r="R280" s="298"/>
      <c r="S280" s="298"/>
      <c r="T280" s="298"/>
      <c r="X280" s="196"/>
    </row>
    <row r="281" spans="1:25" s="31" customFormat="1" ht="15" hidden="1" customHeight="1">
      <c r="B281" s="1013" t="s">
        <v>855</v>
      </c>
      <c r="C281" s="1013"/>
      <c r="D281" s="1013"/>
      <c r="E281" s="1013"/>
      <c r="F281" s="1013"/>
      <c r="G281" s="1013"/>
      <c r="H281" s="1013"/>
      <c r="I281" s="1013"/>
      <c r="J281" s="1013"/>
      <c r="K281" s="1013"/>
      <c r="L281" s="1013"/>
      <c r="M281" s="1013"/>
      <c r="N281" s="1013"/>
      <c r="O281" s="1013"/>
      <c r="P281" s="1013"/>
      <c r="Q281" s="1013"/>
      <c r="R281" s="1013"/>
      <c r="S281" s="1013"/>
      <c r="T281" s="1013"/>
      <c r="V281" s="196"/>
      <c r="X281" s="196"/>
    </row>
    <row r="282" spans="1:25" s="31" customFormat="1" ht="15" hidden="1" customHeight="1">
      <c r="X282" s="196"/>
    </row>
    <row r="283" spans="1:25" s="31" customFormat="1" ht="15" hidden="1" customHeight="1">
      <c r="X283" s="196"/>
    </row>
    <row r="284" spans="1:25" s="31" customFormat="1" ht="15" hidden="1" customHeight="1">
      <c r="D284" s="31" t="s">
        <v>856</v>
      </c>
      <c r="X284" s="196"/>
      <c r="Y284" s="196"/>
    </row>
    <row r="285" spans="1:25" s="31" customFormat="1" ht="15" hidden="1" customHeight="1">
      <c r="X285" s="196"/>
    </row>
    <row r="286" spans="1:25" s="31" customFormat="1" ht="15" hidden="1" customHeight="1">
      <c r="B286" s="31" t="s">
        <v>857</v>
      </c>
      <c r="H286" s="31" t="s">
        <v>858</v>
      </c>
      <c r="K286" s="1028" t="str">
        <f>DBCS(IF(【マスター】!B157="","",【マスター】!B157))</f>
        <v/>
      </c>
      <c r="L286" s="1028"/>
      <c r="M286" s="1028"/>
      <c r="N286" s="1028"/>
      <c r="O286" s="1028"/>
      <c r="P286" s="1028"/>
      <c r="Q286" s="1028"/>
      <c r="R286" s="1028"/>
      <c r="S286" s="1028"/>
      <c r="T286" s="1028"/>
      <c r="X286" s="196"/>
    </row>
    <row r="287" spans="1:25" s="31" customFormat="1" ht="15" hidden="1" customHeight="1">
      <c r="K287" s="1028" t="str">
        <f>DBCS(IF(【マスター】!B158="","",【マスター】!B158))</f>
        <v/>
      </c>
      <c r="L287" s="1028"/>
      <c r="M287" s="1028"/>
      <c r="N287" s="1028"/>
      <c r="O287" s="1028"/>
      <c r="P287" s="1028"/>
      <c r="Q287" s="1028"/>
      <c r="R287" s="1028"/>
      <c r="S287" s="1028"/>
      <c r="T287" s="1028"/>
      <c r="X287" s="196"/>
    </row>
    <row r="288" spans="1:25" s="31" customFormat="1" ht="15" hidden="1" customHeight="1">
      <c r="K288" s="545"/>
      <c r="L288" s="545"/>
      <c r="M288" s="545"/>
      <c r="N288" s="545"/>
      <c r="O288" s="545"/>
      <c r="P288" s="545"/>
      <c r="Q288" s="545"/>
      <c r="R288" s="545"/>
      <c r="S288" s="545"/>
      <c r="T288" s="545"/>
      <c r="X288" s="196"/>
    </row>
    <row r="289" spans="2:24" s="31" customFormat="1" ht="15" hidden="1" customHeight="1">
      <c r="H289" s="31" t="s">
        <v>859</v>
      </c>
      <c r="K289" s="244"/>
      <c r="L289" s="244"/>
      <c r="M289" s="244"/>
      <c r="N289" s="244"/>
      <c r="O289" s="244"/>
      <c r="P289" s="244"/>
      <c r="Q289" s="244"/>
      <c r="R289" s="244"/>
      <c r="S289" s="244"/>
      <c r="T289" s="245" t="s">
        <v>506</v>
      </c>
      <c r="X289" s="196"/>
    </row>
    <row r="290" spans="2:24" s="31" customFormat="1" ht="15" hidden="1" customHeight="1">
      <c r="X290" s="196"/>
    </row>
    <row r="291" spans="2:24" s="31" customFormat="1" ht="15" hidden="1" customHeight="1">
      <c r="B291" s="31" t="s">
        <v>860</v>
      </c>
      <c r="H291" s="31" t="s">
        <v>858</v>
      </c>
      <c r="K291" s="1028" t="str">
        <f>DBCS(IF(【マスター】!B159="","",【マスター】!B159))</f>
        <v/>
      </c>
      <c r="L291" s="1028"/>
      <c r="M291" s="1028"/>
      <c r="N291" s="1028"/>
      <c r="O291" s="1028"/>
      <c r="P291" s="1028"/>
      <c r="Q291" s="1028"/>
      <c r="R291" s="1028"/>
      <c r="S291" s="1028"/>
      <c r="T291" s="1028"/>
      <c r="V291" s="196"/>
      <c r="X291" s="196"/>
    </row>
    <row r="292" spans="2:24" s="31" customFormat="1" ht="15" hidden="1" customHeight="1">
      <c r="B292" s="31" t="s">
        <v>861</v>
      </c>
      <c r="K292" s="1028" t="str">
        <f>DBCS(IF(【マスター】!B160="","",【マスター】!B160))</f>
        <v/>
      </c>
      <c r="L292" s="1028"/>
      <c r="M292" s="1028"/>
      <c r="N292" s="1028"/>
      <c r="O292" s="1028"/>
      <c r="P292" s="1028"/>
      <c r="Q292" s="1028"/>
      <c r="R292" s="1028"/>
      <c r="S292" s="1028"/>
      <c r="T292" s="1028"/>
      <c r="X292" s="196"/>
    </row>
    <row r="293" spans="2:24" s="31" customFormat="1" ht="15" hidden="1" customHeight="1">
      <c r="K293" s="545"/>
      <c r="L293" s="545"/>
      <c r="M293" s="545"/>
      <c r="N293" s="545"/>
      <c r="O293" s="545"/>
      <c r="P293" s="545"/>
      <c r="Q293" s="545"/>
      <c r="R293" s="545"/>
      <c r="S293" s="545"/>
      <c r="T293" s="545"/>
      <c r="X293" s="196"/>
    </row>
    <row r="294" spans="2:24" s="31" customFormat="1" ht="15" hidden="1" customHeight="1">
      <c r="H294" s="31" t="s">
        <v>859</v>
      </c>
      <c r="K294" s="244"/>
      <c r="L294" s="244"/>
      <c r="M294" s="244"/>
      <c r="N294" s="244"/>
      <c r="O294" s="244"/>
      <c r="P294" s="244"/>
      <c r="Q294" s="244"/>
      <c r="R294" s="244"/>
      <c r="S294" s="244"/>
      <c r="T294" s="246" t="s">
        <v>506</v>
      </c>
      <c r="X294" s="196"/>
    </row>
    <row r="295" spans="2:24" s="31" customFormat="1" ht="15" hidden="1" customHeight="1">
      <c r="N295" s="161" t="s">
        <v>513</v>
      </c>
      <c r="O295" s="513"/>
      <c r="P295" s="513"/>
      <c r="Q295" s="513"/>
      <c r="R295" s="513"/>
      <c r="S295" s="513"/>
      <c r="T295" s="34" t="s">
        <v>514</v>
      </c>
      <c r="U295" s="34"/>
      <c r="X295" s="196"/>
    </row>
    <row r="296" spans="2:24" s="31" customFormat="1" ht="15" hidden="1" customHeight="1">
      <c r="X296" s="196"/>
    </row>
    <row r="297" spans="2:24" s="196" customFormat="1" ht="15" hidden="1" customHeight="1">
      <c r="B297" s="31" t="s">
        <v>862</v>
      </c>
      <c r="C297" s="31"/>
      <c r="D297" s="31"/>
      <c r="E297" s="31"/>
      <c r="F297" s="31"/>
      <c r="G297" s="31"/>
      <c r="H297" s="31" t="s">
        <v>858</v>
      </c>
      <c r="I297" s="31"/>
      <c r="J297" s="31"/>
      <c r="K297" s="1028" t="str">
        <f>DBCS(IF(【マスター】!B161="","",【マスター】!B161))</f>
        <v/>
      </c>
      <c r="L297" s="1028"/>
      <c r="M297" s="1028"/>
      <c r="N297" s="1028"/>
      <c r="O297" s="1028"/>
      <c r="P297" s="1028"/>
      <c r="Q297" s="1028"/>
      <c r="R297" s="1028"/>
      <c r="S297" s="1028"/>
      <c r="T297" s="1028"/>
    </row>
    <row r="298" spans="2:24" s="196" customFormat="1" ht="15" hidden="1" customHeight="1">
      <c r="B298" s="31"/>
      <c r="C298" s="31"/>
      <c r="D298" s="31"/>
      <c r="E298" s="31"/>
      <c r="F298" s="31"/>
      <c r="G298" s="31"/>
      <c r="H298" s="31"/>
      <c r="I298" s="31"/>
      <c r="J298" s="31"/>
      <c r="K298" s="1028" t="str">
        <f>DBCS(IF(【マスター】!B162="","",【マスター】!B162))</f>
        <v/>
      </c>
      <c r="L298" s="1028"/>
      <c r="M298" s="1028"/>
      <c r="N298" s="1028"/>
      <c r="O298" s="1028"/>
      <c r="P298" s="1028"/>
      <c r="Q298" s="1028"/>
      <c r="R298" s="1028"/>
      <c r="S298" s="1028"/>
      <c r="T298" s="1028"/>
    </row>
    <row r="299" spans="2:24" s="196" customFormat="1" ht="15" hidden="1" customHeight="1">
      <c r="B299" s="31"/>
      <c r="C299" s="31"/>
      <c r="D299" s="31"/>
      <c r="E299" s="31"/>
      <c r="F299" s="31"/>
      <c r="G299" s="31"/>
      <c r="H299" s="31"/>
      <c r="I299" s="31"/>
      <c r="J299" s="31"/>
      <c r="K299" s="545"/>
      <c r="L299" s="545"/>
      <c r="M299" s="545"/>
      <c r="N299" s="545"/>
      <c r="O299" s="545"/>
      <c r="P299" s="545"/>
      <c r="Q299" s="545"/>
      <c r="R299" s="545"/>
      <c r="S299" s="545"/>
      <c r="T299" s="545"/>
    </row>
    <row r="300" spans="2:24" s="196" customFormat="1" ht="15" hidden="1" customHeight="1">
      <c r="B300" s="31"/>
      <c r="C300" s="31"/>
      <c r="D300" s="31"/>
      <c r="E300" s="31"/>
      <c r="F300" s="31"/>
      <c r="G300" s="31"/>
      <c r="H300" s="31" t="s">
        <v>859</v>
      </c>
      <c r="I300" s="31"/>
      <c r="J300" s="31"/>
      <c r="K300" s="244"/>
      <c r="L300" s="244"/>
      <c r="M300" s="244"/>
      <c r="N300" s="244"/>
      <c r="O300" s="244"/>
      <c r="P300" s="244"/>
      <c r="Q300" s="244"/>
      <c r="R300" s="244"/>
      <c r="S300" s="244"/>
      <c r="T300" s="245" t="s">
        <v>506</v>
      </c>
    </row>
    <row r="301" spans="2:24" s="196" customFormat="1" ht="15" hidden="1" customHeight="1">
      <c r="B301" s="31"/>
      <c r="C301" s="31"/>
      <c r="D301" s="31"/>
      <c r="E301" s="31"/>
      <c r="F301" s="31"/>
      <c r="G301" s="31"/>
      <c r="H301" s="31"/>
      <c r="I301" s="31"/>
      <c r="J301" s="31"/>
      <c r="K301" s="31"/>
      <c r="L301" s="31"/>
      <c r="M301" s="31"/>
      <c r="N301" s="161" t="s">
        <v>513</v>
      </c>
      <c r="O301" s="513"/>
      <c r="P301" s="513"/>
      <c r="Q301" s="513"/>
      <c r="R301" s="513"/>
      <c r="S301" s="513"/>
      <c r="T301" s="34" t="s">
        <v>514</v>
      </c>
      <c r="U301" s="482"/>
    </row>
    <row r="302" spans="2:24" s="31" customFormat="1" ht="15" hidden="1" customHeight="1">
      <c r="N302" s="161"/>
      <c r="O302" s="513"/>
      <c r="P302" s="513"/>
      <c r="Q302" s="513"/>
      <c r="R302" s="513"/>
      <c r="S302" s="513"/>
      <c r="T302" s="34"/>
      <c r="U302" s="34"/>
      <c r="X302" s="196"/>
    </row>
    <row r="303" spans="2:24" s="31" customFormat="1" ht="15" hidden="1" customHeight="1">
      <c r="N303" s="161"/>
      <c r="O303" s="513"/>
      <c r="P303" s="513"/>
      <c r="Q303" s="513"/>
      <c r="R303" s="513"/>
      <c r="S303" s="513"/>
      <c r="T303" s="34"/>
      <c r="U303" s="34"/>
      <c r="X303" s="196"/>
    </row>
    <row r="304" spans="2:24" s="31" customFormat="1" ht="15" hidden="1" customHeight="1">
      <c r="B304" s="31" t="s">
        <v>863</v>
      </c>
      <c r="H304" s="31" t="s">
        <v>858</v>
      </c>
      <c r="K304" s="1028" t="str">
        <f>DBCS(【マスター】!F23&amp;【マスター】!C24)</f>
        <v>愛知県豊川市大堀町２９３番地</v>
      </c>
      <c r="L304" s="1028"/>
      <c r="M304" s="1028"/>
      <c r="N304" s="1028"/>
      <c r="O304" s="1028"/>
      <c r="P304" s="1028"/>
      <c r="Q304" s="1028"/>
      <c r="R304" s="1028"/>
      <c r="S304" s="1028"/>
      <c r="T304" s="1028"/>
      <c r="X304" s="196"/>
    </row>
    <row r="305" spans="8:24" s="31" customFormat="1" ht="15" hidden="1" customHeight="1">
      <c r="H305" s="31" t="s">
        <v>864</v>
      </c>
      <c r="K305" s="1028" t="str">
        <f>IF(【マスター】!C22="","",【マスター】!C22)</f>
        <v>株式会社ケアサポート</v>
      </c>
      <c r="L305" s="1028"/>
      <c r="M305" s="1028"/>
      <c r="N305" s="1028"/>
      <c r="O305" s="1028"/>
      <c r="P305" s="1028"/>
      <c r="Q305" s="1028"/>
      <c r="R305" s="1028"/>
      <c r="S305" s="1028"/>
      <c r="T305" s="1028"/>
      <c r="X305" s="196"/>
    </row>
    <row r="306" spans="8:24" s="31" customFormat="1" ht="15" hidden="1" customHeight="1">
      <c r="H306" s="31" t="s">
        <v>865</v>
      </c>
      <c r="K306" s="1028" t="str">
        <f>【マスター】!C26&amp;"　"&amp;【マスター】!I26</f>
        <v>代表取締役　本多 康夫</v>
      </c>
      <c r="L306" s="1028"/>
      <c r="M306" s="1028"/>
      <c r="N306" s="1028"/>
      <c r="O306" s="1028"/>
      <c r="P306" s="1028"/>
      <c r="Q306" s="1028"/>
      <c r="R306" s="1028"/>
      <c r="S306" s="1028"/>
      <c r="T306" s="180" t="s">
        <v>506</v>
      </c>
      <c r="X306" s="196"/>
    </row>
    <row r="307" spans="8:24" s="31" customFormat="1" ht="15" hidden="1" customHeight="1">
      <c r="L307" s="545"/>
      <c r="M307" s="545"/>
      <c r="N307" s="545"/>
      <c r="O307" s="545"/>
      <c r="P307" s="545"/>
      <c r="Q307" s="545"/>
      <c r="R307" s="545"/>
      <c r="S307" s="545"/>
      <c r="T307" s="180"/>
      <c r="X307" s="196"/>
    </row>
    <row r="308" spans="8:24" s="31" customFormat="1" ht="15" hidden="1" customHeight="1">
      <c r="L308" s="545"/>
      <c r="M308" s="545"/>
      <c r="N308" s="545"/>
      <c r="O308" s="545"/>
      <c r="P308" s="545"/>
      <c r="Q308" s="545"/>
      <c r="R308" s="545"/>
      <c r="S308" s="545"/>
      <c r="T308" s="180"/>
      <c r="X308" s="196"/>
    </row>
    <row r="309" spans="8:24" s="31" customFormat="1" ht="15" hidden="1" customHeight="1">
      <c r="L309" s="545"/>
      <c r="M309" s="545"/>
      <c r="N309" s="545"/>
      <c r="O309" s="545"/>
      <c r="P309" s="545"/>
      <c r="Q309" s="545"/>
      <c r="R309" s="545"/>
      <c r="S309" s="545"/>
      <c r="T309" s="180"/>
      <c r="X309" s="196"/>
    </row>
    <row r="310" spans="8:24" s="31" customFormat="1" ht="15" hidden="1" customHeight="1">
      <c r="L310" s="545"/>
      <c r="M310" s="545"/>
      <c r="N310" s="545"/>
      <c r="O310" s="545"/>
      <c r="P310" s="545"/>
      <c r="Q310" s="545"/>
      <c r="R310" s="545"/>
      <c r="S310" s="545"/>
      <c r="T310" s="180"/>
      <c r="X310" s="196"/>
    </row>
    <row r="311" spans="8:24" s="31" customFormat="1" ht="15" hidden="1" customHeight="1">
      <c r="L311" s="545"/>
      <c r="M311" s="545"/>
      <c r="N311" s="545"/>
      <c r="O311" s="545"/>
      <c r="P311" s="545"/>
      <c r="Q311" s="545"/>
      <c r="R311" s="545"/>
      <c r="S311" s="545"/>
      <c r="T311" s="180"/>
      <c r="X311" s="196"/>
    </row>
    <row r="312" spans="8:24" s="31" customFormat="1" ht="15" hidden="1" customHeight="1">
      <c r="L312" s="545"/>
      <c r="M312" s="545"/>
      <c r="N312" s="545"/>
      <c r="O312" s="545"/>
      <c r="P312" s="545"/>
      <c r="Q312" s="545"/>
      <c r="R312" s="545"/>
      <c r="S312" s="545"/>
      <c r="T312" s="180"/>
      <c r="X312" s="196"/>
    </row>
    <row r="313" spans="8:24" s="31" customFormat="1" ht="15" hidden="1" customHeight="1">
      <c r="L313" s="545"/>
      <c r="M313" s="545"/>
      <c r="N313" s="545"/>
      <c r="O313" s="545"/>
      <c r="P313" s="545"/>
      <c r="Q313" s="545"/>
      <c r="R313" s="545"/>
      <c r="S313" s="545"/>
      <c r="T313" s="180"/>
      <c r="X313" s="196"/>
    </row>
    <row r="314" spans="8:24" s="31" customFormat="1" ht="15" hidden="1" customHeight="1">
      <c r="L314" s="545"/>
      <c r="M314" s="545"/>
      <c r="N314" s="545"/>
      <c r="O314" s="545"/>
      <c r="P314" s="545"/>
      <c r="Q314" s="545"/>
      <c r="R314" s="545"/>
      <c r="S314" s="545"/>
      <c r="T314" s="180"/>
      <c r="X314" s="196"/>
    </row>
    <row r="315" spans="8:24" s="31" customFormat="1" ht="15" hidden="1" customHeight="1">
      <c r="L315" s="545"/>
      <c r="M315" s="545"/>
      <c r="N315" s="545"/>
      <c r="O315" s="545"/>
      <c r="P315" s="545"/>
      <c r="Q315" s="545"/>
      <c r="R315" s="545"/>
      <c r="S315" s="545"/>
      <c r="T315" s="180"/>
      <c r="X315" s="196"/>
    </row>
    <row r="316" spans="8:24" s="31" customFormat="1" ht="15" hidden="1" customHeight="1">
      <c r="L316" s="545"/>
      <c r="M316" s="545"/>
      <c r="N316" s="545"/>
      <c r="O316" s="545"/>
      <c r="P316" s="545"/>
      <c r="Q316" s="545"/>
      <c r="R316" s="545"/>
      <c r="S316" s="545"/>
      <c r="T316" s="180"/>
      <c r="X316" s="196"/>
    </row>
    <row r="317" spans="8:24" s="31" customFormat="1" ht="15" hidden="1" customHeight="1">
      <c r="L317" s="545"/>
      <c r="M317" s="545"/>
      <c r="N317" s="545"/>
      <c r="O317" s="545"/>
      <c r="P317" s="545"/>
      <c r="Q317" s="545"/>
      <c r="R317" s="545"/>
      <c r="S317" s="545"/>
      <c r="T317" s="180"/>
      <c r="X317" s="196"/>
    </row>
    <row r="318" spans="8:24" s="31" customFormat="1" ht="15" hidden="1" customHeight="1">
      <c r="L318" s="545"/>
      <c r="M318" s="545"/>
      <c r="N318" s="545"/>
      <c r="O318" s="545"/>
      <c r="P318" s="545"/>
      <c r="Q318" s="545"/>
      <c r="R318" s="545"/>
      <c r="S318" s="545"/>
      <c r="T318" s="180"/>
      <c r="X318" s="196"/>
    </row>
    <row r="319" spans="8:24" s="31" customFormat="1" ht="15" hidden="1" customHeight="1">
      <c r="L319" s="545"/>
      <c r="M319" s="545"/>
      <c r="N319" s="545"/>
      <c r="O319" s="545"/>
      <c r="P319" s="545"/>
      <c r="Q319" s="545"/>
      <c r="R319" s="545"/>
      <c r="S319" s="545"/>
      <c r="T319" s="180"/>
      <c r="X319" s="196"/>
    </row>
    <row r="320" spans="8:24" s="31" customFormat="1" ht="15" hidden="1" customHeight="1">
      <c r="L320" s="545"/>
      <c r="M320" s="545"/>
      <c r="N320" s="545"/>
      <c r="O320" s="545"/>
      <c r="P320" s="545"/>
      <c r="Q320" s="545"/>
      <c r="R320" s="545"/>
      <c r="S320" s="545"/>
      <c r="T320" s="180"/>
      <c r="X320" s="196"/>
    </row>
    <row r="321" spans="2:24" s="31" customFormat="1" ht="15" hidden="1" customHeight="1">
      <c r="L321" s="545"/>
      <c r="M321" s="545"/>
      <c r="N321" s="545"/>
      <c r="O321" s="545"/>
      <c r="P321" s="545"/>
      <c r="Q321" s="545"/>
      <c r="R321" s="545"/>
      <c r="S321" s="545"/>
      <c r="T321" s="180"/>
      <c r="X321" s="196"/>
    </row>
    <row r="322" spans="2:24" s="31" customFormat="1" ht="15" hidden="1" customHeight="1">
      <c r="L322" s="545"/>
      <c r="M322" s="545"/>
      <c r="N322" s="545"/>
      <c r="O322" s="545"/>
      <c r="P322" s="545"/>
      <c r="Q322" s="545"/>
      <c r="R322" s="545"/>
      <c r="S322" s="545"/>
      <c r="T322" s="180"/>
      <c r="X322" s="196"/>
    </row>
    <row r="323" spans="2:24" s="31" customFormat="1" ht="15" hidden="1" customHeight="1">
      <c r="L323" s="545"/>
      <c r="M323" s="545"/>
      <c r="N323" s="545"/>
      <c r="O323" s="545"/>
      <c r="P323" s="545"/>
      <c r="Q323" s="545"/>
      <c r="R323" s="545"/>
      <c r="S323" s="545"/>
      <c r="T323" s="180"/>
      <c r="X323" s="196"/>
    </row>
    <row r="324" spans="2:24" s="31" customFormat="1" ht="15" hidden="1" customHeight="1">
      <c r="L324" s="545"/>
      <c r="M324" s="545"/>
      <c r="N324" s="545"/>
      <c r="O324" s="545"/>
      <c r="P324" s="545"/>
      <c r="Q324" s="545"/>
      <c r="R324" s="545"/>
      <c r="S324" s="545"/>
      <c r="T324" s="180"/>
      <c r="X324" s="196"/>
    </row>
    <row r="325" spans="2:24" s="31" customFormat="1" ht="15" hidden="1" customHeight="1">
      <c r="L325" s="545"/>
      <c r="M325" s="545"/>
      <c r="N325" s="545"/>
      <c r="O325" s="545"/>
      <c r="P325" s="545"/>
      <c r="Q325" s="545"/>
      <c r="R325" s="545"/>
      <c r="S325" s="545"/>
      <c r="T325" s="180"/>
      <c r="X325" s="196"/>
    </row>
    <row r="326" spans="2:24" s="31" customFormat="1" ht="15" hidden="1" customHeight="1">
      <c r="L326" s="545"/>
      <c r="M326" s="545"/>
      <c r="N326" s="545"/>
      <c r="O326" s="545"/>
      <c r="P326" s="545"/>
      <c r="Q326" s="545"/>
      <c r="R326" s="545"/>
      <c r="S326" s="545"/>
      <c r="T326" s="180"/>
      <c r="X326" s="196"/>
    </row>
    <row r="327" spans="2:24" s="31" customFormat="1" ht="15" hidden="1" customHeight="1">
      <c r="L327" s="545"/>
      <c r="M327" s="545"/>
      <c r="N327" s="545"/>
      <c r="O327" s="545"/>
      <c r="P327" s="545"/>
      <c r="Q327" s="545"/>
      <c r="R327" s="545"/>
      <c r="S327" s="545"/>
      <c r="T327" s="180"/>
      <c r="X327" s="196"/>
    </row>
    <row r="328" spans="2:24" s="31" customFormat="1" ht="15" hidden="1" customHeight="1">
      <c r="L328" s="545"/>
      <c r="M328" s="545"/>
      <c r="N328" s="545"/>
      <c r="O328" s="545"/>
      <c r="P328" s="545"/>
      <c r="Q328" s="545"/>
      <c r="R328" s="545"/>
      <c r="S328" s="545"/>
      <c r="T328" s="180"/>
      <c r="X328" s="196"/>
    </row>
    <row r="329" spans="2:24" s="31" customFormat="1" ht="15" hidden="1" customHeight="1">
      <c r="L329" s="545"/>
      <c r="M329" s="545"/>
      <c r="N329" s="545"/>
      <c r="O329" s="545"/>
      <c r="P329" s="545"/>
      <c r="Q329" s="545"/>
      <c r="R329" s="545"/>
      <c r="S329" s="545"/>
      <c r="T329" s="180"/>
      <c r="X329" s="196"/>
    </row>
    <row r="330" spans="2:24" s="31" customFormat="1" ht="15" hidden="1" customHeight="1">
      <c r="L330" s="545"/>
      <c r="M330" s="545"/>
      <c r="N330" s="545"/>
      <c r="O330" s="545"/>
      <c r="P330" s="545"/>
      <c r="Q330" s="545"/>
      <c r="R330" s="545"/>
      <c r="S330" s="545"/>
      <c r="T330" s="180"/>
      <c r="X330" s="196"/>
    </row>
    <row r="331" spans="2:24" s="31" customFormat="1" ht="15" customHeight="1">
      <c r="L331" s="545"/>
      <c r="M331" s="545"/>
      <c r="N331" s="545"/>
      <c r="O331" s="545"/>
      <c r="P331" s="545"/>
      <c r="Q331" s="545"/>
      <c r="R331" s="545"/>
      <c r="S331" s="545"/>
      <c r="T331" s="180"/>
      <c r="X331" s="196"/>
    </row>
    <row r="332" spans="2:24" s="31" customFormat="1" ht="15" customHeight="1">
      <c r="B332" s="32"/>
      <c r="C332" s="513"/>
      <c r="D332" s="513"/>
      <c r="E332" s="513"/>
      <c r="F332" s="513"/>
      <c r="G332" s="513"/>
      <c r="H332" s="513"/>
      <c r="I332" s="513"/>
      <c r="J332" s="513"/>
      <c r="K332" s="513"/>
      <c r="L332" s="513"/>
      <c r="M332" s="513"/>
      <c r="N332" s="513"/>
      <c r="O332" s="513"/>
      <c r="P332" s="513"/>
      <c r="Q332" s="513"/>
      <c r="R332" s="513"/>
      <c r="S332" s="513"/>
      <c r="T332" s="513"/>
    </row>
    <row r="333" spans="2:24" s="31" customFormat="1" ht="15" customHeight="1">
      <c r="B333" s="32"/>
      <c r="C333" s="513"/>
      <c r="D333" s="513"/>
      <c r="E333" s="513"/>
      <c r="F333" s="513"/>
      <c r="G333" s="513"/>
      <c r="H333" s="513"/>
      <c r="I333" s="513"/>
      <c r="J333" s="513"/>
      <c r="K333" s="513"/>
      <c r="L333" s="513"/>
      <c r="M333" s="513"/>
      <c r="N333" s="513"/>
      <c r="O333" s="513"/>
      <c r="P333" s="513"/>
      <c r="Q333" s="513"/>
      <c r="R333" s="513"/>
      <c r="S333" s="513"/>
      <c r="T333" s="513"/>
    </row>
    <row r="334" spans="2:24" s="31" customFormat="1" ht="15" customHeight="1">
      <c r="B334" s="32"/>
      <c r="C334" s="513"/>
      <c r="D334" s="513"/>
      <c r="E334" s="513"/>
      <c r="F334" s="513"/>
      <c r="G334" s="513"/>
      <c r="H334" s="513"/>
      <c r="I334" s="513"/>
      <c r="J334" s="513"/>
      <c r="K334" s="513"/>
      <c r="L334" s="513"/>
      <c r="M334" s="513"/>
      <c r="N334" s="513"/>
      <c r="O334" s="513"/>
      <c r="P334" s="513"/>
      <c r="Q334" s="513"/>
      <c r="R334" s="513"/>
      <c r="S334" s="513"/>
      <c r="T334" s="513"/>
    </row>
    <row r="335" spans="2:24" s="31" customFormat="1" ht="15" customHeight="1">
      <c r="B335" s="32"/>
      <c r="C335" s="513"/>
      <c r="D335" s="513"/>
      <c r="E335" s="513"/>
      <c r="F335" s="513"/>
      <c r="G335" s="513"/>
      <c r="H335" s="513"/>
      <c r="I335" s="513"/>
      <c r="J335" s="513"/>
      <c r="K335" s="513"/>
      <c r="L335" s="513"/>
      <c r="M335" s="513"/>
      <c r="N335" s="513"/>
      <c r="O335" s="513"/>
      <c r="P335" s="513"/>
      <c r="Q335" s="513"/>
      <c r="R335" s="513"/>
      <c r="S335" s="513"/>
      <c r="T335" s="513"/>
    </row>
    <row r="336" spans="2:24" s="31" customFormat="1" ht="15" customHeight="1">
      <c r="B336" s="32"/>
      <c r="C336" s="513"/>
      <c r="D336" s="513"/>
      <c r="E336" s="513"/>
      <c r="F336" s="513"/>
      <c r="G336" s="513"/>
      <c r="H336" s="513"/>
      <c r="I336" s="513"/>
      <c r="J336" s="513"/>
      <c r="K336" s="513"/>
      <c r="L336" s="513"/>
      <c r="M336" s="513"/>
      <c r="N336" s="513"/>
      <c r="O336" s="513"/>
      <c r="P336" s="513"/>
      <c r="Q336" s="513"/>
      <c r="R336" s="513"/>
      <c r="S336" s="513"/>
      <c r="T336" s="513"/>
    </row>
    <row r="337" spans="2:20" s="31" customFormat="1" ht="15" customHeight="1">
      <c r="B337" s="32"/>
      <c r="C337" s="513"/>
      <c r="D337" s="513"/>
      <c r="E337" s="513"/>
      <c r="F337" s="513"/>
      <c r="G337" s="513"/>
      <c r="H337" s="513"/>
      <c r="I337" s="513"/>
      <c r="J337" s="513"/>
      <c r="K337" s="513"/>
      <c r="L337" s="513"/>
      <c r="M337" s="513"/>
      <c r="N337" s="513"/>
      <c r="O337" s="513"/>
      <c r="P337" s="513"/>
      <c r="Q337" s="513"/>
      <c r="R337" s="513"/>
      <c r="S337" s="513"/>
      <c r="T337" s="513"/>
    </row>
    <row r="338" spans="2:20" s="31" customFormat="1" ht="15" customHeight="1">
      <c r="B338" s="32"/>
      <c r="C338" s="513"/>
      <c r="D338" s="513"/>
      <c r="E338" s="513"/>
      <c r="F338" s="513"/>
      <c r="G338" s="513"/>
      <c r="H338" s="513"/>
      <c r="I338" s="513"/>
      <c r="J338" s="513"/>
      <c r="K338" s="513"/>
      <c r="L338" s="513"/>
      <c r="M338" s="513"/>
      <c r="N338" s="513"/>
      <c r="O338" s="513"/>
      <c r="P338" s="513"/>
      <c r="Q338" s="513"/>
      <c r="R338" s="513"/>
      <c r="S338" s="513"/>
      <c r="T338" s="513"/>
    </row>
    <row r="339" spans="2:20" s="31" customFormat="1" ht="15" customHeight="1">
      <c r="B339" s="32"/>
      <c r="C339" s="513"/>
      <c r="D339" s="513"/>
      <c r="E339" s="513"/>
      <c r="F339" s="513"/>
      <c r="G339" s="513"/>
      <c r="H339" s="513"/>
      <c r="I339" s="513"/>
      <c r="J339" s="513"/>
      <c r="K339" s="513"/>
      <c r="L339" s="513"/>
      <c r="M339" s="513"/>
      <c r="N339" s="513"/>
      <c r="O339" s="513"/>
      <c r="P339" s="513"/>
      <c r="Q339" s="513"/>
      <c r="R339" s="513"/>
      <c r="S339" s="513"/>
      <c r="T339" s="513"/>
    </row>
    <row r="340" spans="2:20" s="31" customFormat="1" ht="15" customHeight="1">
      <c r="B340" s="32"/>
      <c r="C340" s="513"/>
      <c r="D340" s="513"/>
      <c r="E340" s="513"/>
      <c r="F340" s="513"/>
      <c r="G340" s="513"/>
      <c r="H340" s="513"/>
      <c r="I340" s="513"/>
      <c r="J340" s="513"/>
      <c r="K340" s="513"/>
      <c r="L340" s="513"/>
      <c r="M340" s="513"/>
      <c r="N340" s="513"/>
      <c r="O340" s="513"/>
      <c r="P340" s="513"/>
      <c r="Q340" s="513"/>
      <c r="R340" s="513"/>
      <c r="S340" s="513"/>
      <c r="T340" s="513"/>
    </row>
    <row r="341" spans="2:20" s="31" customFormat="1" ht="15" customHeight="1">
      <c r="B341" s="32"/>
      <c r="C341" s="513"/>
      <c r="D341" s="513"/>
      <c r="E341" s="513"/>
      <c r="F341" s="513"/>
      <c r="G341" s="513"/>
      <c r="H341" s="513"/>
      <c r="I341" s="513"/>
      <c r="J341" s="513"/>
      <c r="K341" s="513"/>
      <c r="L341" s="513"/>
      <c r="M341" s="513"/>
      <c r="N341" s="513"/>
      <c r="O341" s="513"/>
      <c r="P341" s="513"/>
      <c r="Q341" s="513"/>
      <c r="R341" s="513"/>
      <c r="S341" s="513"/>
      <c r="T341" s="513"/>
    </row>
    <row r="342" spans="2:20" s="31" customFormat="1" ht="15" customHeight="1"/>
  </sheetData>
  <sheetProtection selectLockedCells="1"/>
  <mergeCells count="100">
    <mergeCell ref="A15:T17"/>
    <mergeCell ref="C272:T272"/>
    <mergeCell ref="K298:T298"/>
    <mergeCell ref="K304:T304"/>
    <mergeCell ref="K305:T305"/>
    <mergeCell ref="C81:T83"/>
    <mergeCell ref="C84:T85"/>
    <mergeCell ref="C86:T87"/>
    <mergeCell ref="C88:T89"/>
    <mergeCell ref="B90:C90"/>
    <mergeCell ref="D90:T91"/>
    <mergeCell ref="B92:C92"/>
    <mergeCell ref="C93:T94"/>
    <mergeCell ref="C95:T96"/>
    <mergeCell ref="C100:T101"/>
    <mergeCell ref="C102:T104"/>
    <mergeCell ref="K306:S306"/>
    <mergeCell ref="K286:T286"/>
    <mergeCell ref="K287:T287"/>
    <mergeCell ref="K291:T291"/>
    <mergeCell ref="K292:T292"/>
    <mergeCell ref="K297:T297"/>
    <mergeCell ref="A9:T11"/>
    <mergeCell ref="A12:T14"/>
    <mergeCell ref="B20:S22"/>
    <mergeCell ref="A53:T53"/>
    <mergeCell ref="B281:T281"/>
    <mergeCell ref="C270:T270"/>
    <mergeCell ref="C271:T271"/>
    <mergeCell ref="C71:T73"/>
    <mergeCell ref="A56:T57"/>
    <mergeCell ref="A58:T58"/>
    <mergeCell ref="C61:T64"/>
    <mergeCell ref="C65:T66"/>
    <mergeCell ref="C69:H69"/>
    <mergeCell ref="C70:M70"/>
    <mergeCell ref="N70:T70"/>
    <mergeCell ref="C76:T78"/>
    <mergeCell ref="C163:T165"/>
    <mergeCell ref="C105:T106"/>
    <mergeCell ref="C109:T111"/>
    <mergeCell ref="C115:T116"/>
    <mergeCell ref="C119:T121"/>
    <mergeCell ref="C122:T123"/>
    <mergeCell ref="B127:C127"/>
    <mergeCell ref="B128:C128"/>
    <mergeCell ref="B129:C129"/>
    <mergeCell ref="C130:T132"/>
    <mergeCell ref="C135:T137"/>
    <mergeCell ref="C138:T141"/>
    <mergeCell ref="C112:T112"/>
    <mergeCell ref="C154:T155"/>
    <mergeCell ref="C156:T158"/>
    <mergeCell ref="C159:T160"/>
    <mergeCell ref="C185:T186"/>
    <mergeCell ref="C168:T169"/>
    <mergeCell ref="C170:T171"/>
    <mergeCell ref="C172:T173"/>
    <mergeCell ref="C174:T175"/>
    <mergeCell ref="B176:C176"/>
    <mergeCell ref="B177:C177"/>
    <mergeCell ref="B178:C178"/>
    <mergeCell ref="D179:T181"/>
    <mergeCell ref="C182:T184"/>
    <mergeCell ref="C266:T267"/>
    <mergeCell ref="C258:T259"/>
    <mergeCell ref="B235:C235"/>
    <mergeCell ref="B236:C236"/>
    <mergeCell ref="B237:C237"/>
    <mergeCell ref="B239:C239"/>
    <mergeCell ref="B240:C240"/>
    <mergeCell ref="C243:T244"/>
    <mergeCell ref="C245:T247"/>
    <mergeCell ref="C248:T249"/>
    <mergeCell ref="C250:T252"/>
    <mergeCell ref="C253:T253"/>
    <mergeCell ref="C256:T257"/>
    <mergeCell ref="C262:T263"/>
    <mergeCell ref="C221:T225"/>
    <mergeCell ref="C187:T188"/>
    <mergeCell ref="C189:T190"/>
    <mergeCell ref="C191:T192"/>
    <mergeCell ref="C195:T197"/>
    <mergeCell ref="C198:T200"/>
    <mergeCell ref="C217:T218"/>
    <mergeCell ref="C201:T202"/>
    <mergeCell ref="C203:T204"/>
    <mergeCell ref="C207:T208"/>
    <mergeCell ref="C209:T211"/>
    <mergeCell ref="C212:T214"/>
    <mergeCell ref="C226:T227"/>
    <mergeCell ref="C230:T231"/>
    <mergeCell ref="B232:C232"/>
    <mergeCell ref="B233:C233"/>
    <mergeCell ref="D233:T234"/>
    <mergeCell ref="C144:T144"/>
    <mergeCell ref="C145:T146"/>
    <mergeCell ref="C148:T149"/>
    <mergeCell ref="C150:T151"/>
    <mergeCell ref="C152:T153"/>
  </mergeCells>
  <phoneticPr fontId="16"/>
  <printOptions horizontalCentered="1"/>
  <pageMargins left="0.59055118110236227" right="0.59055118110236227" top="0.59055118110236227" bottom="0.39370078740157483" header="0.31496062992125984" footer="0.19685039370078741"/>
  <pageSetup paperSize="9" scale="99" fitToHeight="0" orientation="portrait" r:id="rId1"/>
  <rowBreaks count="7" manualBreakCount="7">
    <brk id="54" max="19" man="1"/>
    <brk id="55" max="19" man="1"/>
    <brk id="107" max="19" man="1"/>
    <brk id="158" max="19" man="1"/>
    <brk id="205" max="19" man="1"/>
    <brk id="254" max="19" man="1"/>
    <brk id="275"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8">
    <tabColor rgb="FFFF0000"/>
    <pageSetUpPr fitToPage="1"/>
  </sheetPr>
  <dimension ref="A1:AO223"/>
  <sheetViews>
    <sheetView view="pageBreakPreview" topLeftCell="A28" zoomScaleNormal="100" zoomScaleSheetLayoutView="100" workbookViewId="0">
      <selection activeCell="A191" sqref="A191:T192"/>
    </sheetView>
  </sheetViews>
  <sheetFormatPr defaultColWidth="9" defaultRowHeight="15" customHeight="1"/>
  <cols>
    <col min="1" max="1" width="4.625" style="1" customWidth="1"/>
    <col min="2" max="3" width="4.625" style="37" customWidth="1"/>
    <col min="4" max="35" width="4.625" style="1" customWidth="1"/>
    <col min="36" max="16384" width="9" style="1"/>
  </cols>
  <sheetData>
    <row r="1" spans="1:20" ht="15" customHeight="1">
      <c r="A1" s="1024" t="s">
        <v>871</v>
      </c>
      <c r="B1" s="1024"/>
      <c r="C1" s="1024"/>
      <c r="D1" s="1024"/>
      <c r="E1" s="1024"/>
      <c r="F1" s="1024"/>
      <c r="G1" s="1024"/>
      <c r="H1" s="1024"/>
      <c r="I1" s="1024"/>
      <c r="J1" s="1024"/>
      <c r="K1" s="1024"/>
      <c r="L1" s="1024"/>
      <c r="M1" s="1024"/>
      <c r="N1" s="1024"/>
      <c r="O1" s="1024"/>
      <c r="P1" s="1024"/>
      <c r="Q1" s="1024"/>
      <c r="R1" s="1024"/>
      <c r="S1" s="1024"/>
      <c r="T1" s="1024"/>
    </row>
    <row r="2" spans="1:20" ht="15" customHeight="1">
      <c r="A2" s="1024"/>
      <c r="B2" s="1024"/>
      <c r="C2" s="1024"/>
      <c r="D2" s="1024"/>
      <c r="E2" s="1024"/>
      <c r="F2" s="1024"/>
      <c r="G2" s="1024"/>
      <c r="H2" s="1024"/>
      <c r="I2" s="1024"/>
      <c r="J2" s="1024"/>
      <c r="K2" s="1024"/>
      <c r="L2" s="1024"/>
      <c r="M2" s="1024"/>
      <c r="N2" s="1024"/>
      <c r="O2" s="1024"/>
      <c r="P2" s="1024"/>
      <c r="Q2" s="1024"/>
      <c r="R2" s="1024"/>
      <c r="S2" s="1024"/>
      <c r="T2" s="1024"/>
    </row>
    <row r="3" spans="1:20" s="31" customFormat="1" ht="15" customHeight="1">
      <c r="A3" s="1201" t="str">
        <f>DBCS("＜　"&amp;【マスター】!C4&amp;【マスター】!D4&amp;"年　"&amp;【マスター】!F4&amp;"月　"&amp;【マスター】!H4&amp;"日現在　＞")</f>
        <v>＜　令和７年　４月　１日現在　＞</v>
      </c>
      <c r="B3" s="1201"/>
      <c r="C3" s="1201"/>
      <c r="D3" s="1201"/>
      <c r="E3" s="1201"/>
      <c r="F3" s="1201"/>
      <c r="G3" s="1201"/>
      <c r="H3" s="1201"/>
      <c r="I3" s="1201"/>
      <c r="J3" s="1201"/>
      <c r="K3" s="1201"/>
      <c r="L3" s="1201"/>
      <c r="M3" s="1201"/>
      <c r="N3" s="1201"/>
      <c r="O3" s="1201"/>
      <c r="P3" s="1201"/>
      <c r="Q3" s="1201"/>
      <c r="R3" s="1201"/>
      <c r="S3" s="1201"/>
      <c r="T3" s="1201"/>
    </row>
    <row r="4" spans="1:20" s="31" customFormat="1" ht="15" customHeight="1">
      <c r="B4" s="33"/>
      <c r="C4" s="33"/>
      <c r="D4" s="33"/>
      <c r="E4" s="33"/>
      <c r="F4" s="33"/>
      <c r="G4" s="33"/>
      <c r="H4" s="33"/>
      <c r="I4" s="33"/>
      <c r="J4" s="33"/>
      <c r="K4" s="33"/>
      <c r="L4" s="33"/>
      <c r="M4" s="33"/>
      <c r="N4" s="33"/>
      <c r="O4" s="33"/>
      <c r="P4" s="33"/>
      <c r="Q4" s="33"/>
      <c r="R4" s="33"/>
      <c r="S4" s="33"/>
      <c r="T4" s="33"/>
    </row>
    <row r="5" spans="1:20" s="31" customFormat="1" ht="15" customHeight="1">
      <c r="A5" s="31" t="s">
        <v>872</v>
      </c>
      <c r="B5" s="32"/>
      <c r="C5" s="32"/>
    </row>
    <row r="6" spans="1:20" s="31" customFormat="1" ht="15" customHeight="1">
      <c r="A6" s="42"/>
      <c r="B6" s="1161" t="s">
        <v>312</v>
      </c>
      <c r="C6" s="1161"/>
      <c r="D6" s="1161"/>
      <c r="E6" s="1161"/>
      <c r="F6" s="1161"/>
      <c r="G6" s="43"/>
      <c r="H6" s="1206" t="str">
        <f>IF(【マスター】!C22="","",【マスター】!C22)</f>
        <v>株式会社ケアサポート</v>
      </c>
      <c r="I6" s="1207"/>
      <c r="J6" s="1207"/>
      <c r="K6" s="1207"/>
      <c r="L6" s="1207"/>
      <c r="M6" s="1207"/>
      <c r="N6" s="1207"/>
      <c r="O6" s="1207"/>
      <c r="P6" s="1207"/>
      <c r="Q6" s="1208" t="s">
        <v>313</v>
      </c>
      <c r="R6" s="1208"/>
      <c r="S6" s="1208"/>
      <c r="T6" s="1209"/>
    </row>
    <row r="7" spans="1:20" s="31" customFormat="1" ht="15" customHeight="1">
      <c r="A7" s="42"/>
      <c r="B7" s="1161" t="s">
        <v>314</v>
      </c>
      <c r="C7" s="1161"/>
      <c r="D7" s="1161"/>
      <c r="E7" s="1161"/>
      <c r="F7" s="1161"/>
      <c r="G7" s="44"/>
      <c r="H7" s="1210" t="str">
        <f>""&amp;【マスター】!C26&amp;"  "&amp;【マスター】!I26&amp;""</f>
        <v>代表取締役  本多 康夫</v>
      </c>
      <c r="I7" s="1211"/>
      <c r="J7" s="1211"/>
      <c r="K7" s="1211"/>
      <c r="L7" s="1211"/>
      <c r="M7" s="1211"/>
      <c r="N7" s="1211"/>
      <c r="O7" s="1211"/>
      <c r="P7" s="1211"/>
      <c r="Q7" s="1211"/>
      <c r="R7" s="1211"/>
      <c r="S7" s="1211"/>
      <c r="T7" s="1212"/>
    </row>
    <row r="8" spans="1:20" s="31" customFormat="1" ht="15" customHeight="1">
      <c r="A8" s="459"/>
      <c r="B8" s="1213" t="s">
        <v>315</v>
      </c>
      <c r="C8" s="1213"/>
      <c r="D8" s="1213"/>
      <c r="E8" s="1213"/>
      <c r="F8" s="1213"/>
      <c r="G8" s="160"/>
      <c r="H8" s="1156" t="s">
        <v>316</v>
      </c>
      <c r="I8" s="1157"/>
      <c r="J8" s="1157"/>
      <c r="K8" s="1172" t="str">
        <f>DBCS(【マスター】!F23&amp;" "&amp;【マスター】!C24)</f>
        <v>愛知県豊川市大堀町２９３番地　</v>
      </c>
      <c r="L8" s="1172"/>
      <c r="M8" s="1172"/>
      <c r="N8" s="1172"/>
      <c r="O8" s="1172"/>
      <c r="P8" s="1172"/>
      <c r="Q8" s="1172"/>
      <c r="R8" s="1172"/>
      <c r="S8" s="1172"/>
      <c r="T8" s="1173"/>
    </row>
    <row r="9" spans="1:20" s="31" customFormat="1" ht="15" customHeight="1">
      <c r="A9" s="45"/>
      <c r="B9" s="1214"/>
      <c r="C9" s="1214"/>
      <c r="D9" s="1214"/>
      <c r="E9" s="1214"/>
      <c r="F9" s="1214"/>
      <c r="G9" s="46"/>
      <c r="H9" s="1200" t="s">
        <v>317</v>
      </c>
      <c r="I9" s="1201"/>
      <c r="J9" s="1201"/>
      <c r="K9" s="1074" t="str">
        <f>DBCS(【マスター】!C25)</f>
        <v>０５３３－６５－８７０２</v>
      </c>
      <c r="L9" s="1074"/>
      <c r="M9" s="1074"/>
      <c r="N9" s="1074"/>
      <c r="O9" s="1074"/>
      <c r="P9" s="1074"/>
      <c r="Q9" s="1074"/>
      <c r="R9" s="1074"/>
      <c r="S9" s="1074"/>
      <c r="T9" s="1075"/>
    </row>
    <row r="10" spans="1:20" s="31" customFormat="1" ht="15" customHeight="1">
      <c r="A10" s="47"/>
      <c r="B10" s="1215"/>
      <c r="C10" s="1215"/>
      <c r="D10" s="1215"/>
      <c r="E10" s="1215"/>
      <c r="F10" s="1215"/>
      <c r="G10" s="48"/>
      <c r="H10" s="1202" t="s">
        <v>318</v>
      </c>
      <c r="I10" s="1203"/>
      <c r="J10" s="1203"/>
      <c r="K10" s="1076" t="str">
        <f>DBCS(【マスター】!I25)</f>
        <v>０５３３－６５－８７０３</v>
      </c>
      <c r="L10" s="1076"/>
      <c r="M10" s="1076"/>
      <c r="N10" s="1076"/>
      <c r="O10" s="1076"/>
      <c r="P10" s="1076"/>
      <c r="Q10" s="1076"/>
      <c r="R10" s="1076"/>
      <c r="S10" s="1076"/>
      <c r="T10" s="1077"/>
    </row>
    <row r="11" spans="1:20" s="31" customFormat="1" ht="15" customHeight="1">
      <c r="G11" s="33"/>
    </row>
    <row r="12" spans="1:20" s="31" customFormat="1" ht="15" customHeight="1">
      <c r="A12" s="31" t="s">
        <v>319</v>
      </c>
      <c r="B12" s="32"/>
      <c r="C12" s="33"/>
      <c r="D12" s="33"/>
      <c r="E12" s="33"/>
      <c r="F12" s="33"/>
      <c r="G12" s="33"/>
    </row>
    <row r="13" spans="1:20" s="31" customFormat="1" ht="15" customHeight="1">
      <c r="A13" s="32" t="s">
        <v>873</v>
      </c>
      <c r="C13" s="32"/>
    </row>
    <row r="14" spans="1:20" s="31" customFormat="1" ht="15" customHeight="1">
      <c r="A14" s="42"/>
      <c r="B14" s="1161" t="s">
        <v>78</v>
      </c>
      <c r="C14" s="1161"/>
      <c r="D14" s="1161"/>
      <c r="E14" s="1161"/>
      <c r="F14" s="1161"/>
      <c r="G14" s="43"/>
      <c r="H14" s="1216" t="str">
        <f>IF(【マスター】!C7="","",【マスター】!C7)</f>
        <v>デイサービスさくら亭</v>
      </c>
      <c r="I14" s="1216"/>
      <c r="J14" s="1216"/>
      <c r="K14" s="1216"/>
      <c r="L14" s="1216"/>
      <c r="M14" s="1216"/>
      <c r="N14" s="1216"/>
      <c r="O14" s="1216"/>
      <c r="P14" s="1216"/>
      <c r="Q14" s="1216"/>
      <c r="R14" s="1216"/>
      <c r="S14" s="1216"/>
      <c r="T14" s="1216"/>
    </row>
    <row r="15" spans="1:20" s="31" customFormat="1" ht="15" customHeight="1">
      <c r="A15" s="459"/>
      <c r="B15" s="1213" t="s">
        <v>315</v>
      </c>
      <c r="C15" s="1213"/>
      <c r="D15" s="1213"/>
      <c r="E15" s="1213"/>
      <c r="F15" s="1213"/>
      <c r="G15" s="160"/>
      <c r="H15" s="1156" t="s">
        <v>316</v>
      </c>
      <c r="I15" s="1157"/>
      <c r="J15" s="1157"/>
      <c r="K15" s="1172" t="str">
        <f>DBCS(【マスター】!F8)</f>
        <v>愛知県豊橋市東田中郷町１１番</v>
      </c>
      <c r="L15" s="1172"/>
      <c r="M15" s="1172"/>
      <c r="N15" s="1172"/>
      <c r="O15" s="1172"/>
      <c r="P15" s="1172"/>
      <c r="Q15" s="1172"/>
      <c r="R15" s="1172"/>
      <c r="S15" s="1172"/>
      <c r="T15" s="1173"/>
    </row>
    <row r="16" spans="1:20" s="31" customFormat="1" ht="15" customHeight="1">
      <c r="A16" s="45"/>
      <c r="B16" s="1214"/>
      <c r="C16" s="1214"/>
      <c r="D16" s="1214"/>
      <c r="E16" s="1214"/>
      <c r="F16" s="1214"/>
      <c r="G16" s="46"/>
      <c r="H16" s="1200" t="s">
        <v>317</v>
      </c>
      <c r="I16" s="1201"/>
      <c r="J16" s="1201"/>
      <c r="K16" s="1074" t="str">
        <f>DBCS(【マスター】!C10)</f>
        <v>０５３２－３９－７８５５</v>
      </c>
      <c r="L16" s="1074"/>
      <c r="M16" s="1074"/>
      <c r="N16" s="1074"/>
      <c r="O16" s="1074"/>
      <c r="P16" s="1074"/>
      <c r="Q16" s="1074"/>
      <c r="R16" s="1074"/>
      <c r="S16" s="1074"/>
      <c r="T16" s="1075"/>
    </row>
    <row r="17" spans="1:20" s="31" customFormat="1" ht="15" customHeight="1">
      <c r="A17" s="45"/>
      <c r="B17" s="1214"/>
      <c r="C17" s="1214"/>
      <c r="D17" s="1214"/>
      <c r="E17" s="1214"/>
      <c r="F17" s="1214"/>
      <c r="G17" s="46"/>
      <c r="H17" s="1202" t="s">
        <v>318</v>
      </c>
      <c r="I17" s="1203"/>
      <c r="J17" s="1203"/>
      <c r="K17" s="1076" t="str">
        <f>DBCS(【マスター】!I10)</f>
        <v>０５３２－３９－７８５６</v>
      </c>
      <c r="L17" s="1076"/>
      <c r="M17" s="1076"/>
      <c r="N17" s="1076"/>
      <c r="O17" s="1076"/>
      <c r="P17" s="1076"/>
      <c r="Q17" s="1076"/>
      <c r="R17" s="1076"/>
      <c r="S17" s="1076"/>
      <c r="T17" s="1077"/>
    </row>
    <row r="18" spans="1:20" s="31" customFormat="1" ht="15" customHeight="1">
      <c r="A18" s="42"/>
      <c r="B18" s="1161" t="s">
        <v>322</v>
      </c>
      <c r="C18" s="1161"/>
      <c r="D18" s="1161"/>
      <c r="E18" s="1161"/>
      <c r="F18" s="1161"/>
      <c r="G18" s="44"/>
      <c r="H18" s="1204" t="str">
        <f>IF(【マスター】!C21="","",【マスター】!C21)</f>
        <v>小久保　幾生</v>
      </c>
      <c r="I18" s="1204"/>
      <c r="J18" s="1204"/>
      <c r="K18" s="1204"/>
      <c r="L18" s="1204"/>
      <c r="M18" s="1204"/>
      <c r="N18" s="1204"/>
      <c r="O18" s="1204"/>
      <c r="P18" s="1204"/>
      <c r="Q18" s="1204"/>
      <c r="R18" s="1204"/>
      <c r="S18" s="1204"/>
      <c r="T18" s="1204"/>
    </row>
    <row r="19" spans="1:20" s="31" customFormat="1" ht="15" customHeight="1">
      <c r="A19" s="32" t="s">
        <v>874</v>
      </c>
      <c r="C19" s="33"/>
      <c r="D19" s="33"/>
      <c r="E19" s="33"/>
      <c r="F19" s="33"/>
      <c r="G19" s="33"/>
      <c r="H19" s="33"/>
      <c r="I19" s="33"/>
      <c r="J19" s="33"/>
      <c r="K19" s="33"/>
      <c r="L19" s="33"/>
      <c r="M19" s="33"/>
      <c r="N19" s="33"/>
      <c r="O19" s="33"/>
      <c r="P19" s="33"/>
      <c r="Q19" s="33"/>
      <c r="R19" s="33"/>
      <c r="S19" s="33"/>
      <c r="T19" s="33"/>
    </row>
    <row r="20" spans="1:20" s="31" customFormat="1" ht="15" customHeight="1">
      <c r="A20" s="459"/>
      <c r="B20" s="1177" t="s">
        <v>355</v>
      </c>
      <c r="C20" s="1177"/>
      <c r="D20" s="1177"/>
      <c r="E20" s="1177"/>
      <c r="F20" s="1177"/>
      <c r="G20" s="160"/>
      <c r="H20" s="1149" t="str">
        <f>【マスター】!K16</f>
        <v>月曜日～日曜日（祝日を含む）</v>
      </c>
      <c r="I20" s="1134"/>
      <c r="J20" s="1134"/>
      <c r="K20" s="1134"/>
      <c r="L20" s="1134"/>
      <c r="M20" s="1134"/>
      <c r="N20" s="1134"/>
      <c r="O20" s="33"/>
      <c r="P20" s="33"/>
      <c r="Q20" s="33"/>
      <c r="R20" s="33"/>
      <c r="S20" s="33"/>
      <c r="T20" s="33"/>
    </row>
    <row r="21" spans="1:20" s="31" customFormat="1" ht="15" customHeight="1">
      <c r="A21" s="42"/>
      <c r="B21" s="1161" t="s">
        <v>357</v>
      </c>
      <c r="C21" s="1161"/>
      <c r="D21" s="1161"/>
      <c r="E21" s="1161"/>
      <c r="F21" s="1161"/>
      <c r="G21" s="43"/>
      <c r="H21" s="1178" t="s">
        <v>875</v>
      </c>
      <c r="I21" s="1179"/>
      <c r="J21" s="1179"/>
      <c r="K21" s="1179"/>
      <c r="L21" s="1179"/>
      <c r="M21" s="1179"/>
      <c r="N21" s="1180"/>
      <c r="O21" s="33"/>
      <c r="P21" s="33"/>
      <c r="Q21" s="33"/>
      <c r="R21" s="33"/>
      <c r="S21" s="33"/>
      <c r="T21" s="33"/>
    </row>
    <row r="22" spans="1:20" s="31" customFormat="1" ht="15" customHeight="1">
      <c r="B22" s="32"/>
      <c r="C22" s="33"/>
      <c r="D22" s="33"/>
      <c r="E22" s="33"/>
      <c r="F22" s="33"/>
      <c r="G22" s="33"/>
      <c r="H22" s="33"/>
      <c r="I22" s="33"/>
      <c r="J22" s="33"/>
      <c r="K22" s="33"/>
      <c r="L22" s="33"/>
      <c r="M22" s="33"/>
      <c r="N22" s="33"/>
      <c r="O22" s="33"/>
      <c r="P22" s="33"/>
      <c r="Q22" s="33"/>
      <c r="R22" s="33"/>
      <c r="S22" s="33"/>
      <c r="T22" s="33"/>
    </row>
    <row r="23" spans="1:20" s="31" customFormat="1" ht="15" customHeight="1">
      <c r="A23" s="31" t="s">
        <v>358</v>
      </c>
      <c r="B23" s="32"/>
      <c r="C23" s="32"/>
    </row>
    <row r="24" spans="1:20" s="31" customFormat="1" ht="15" customHeight="1">
      <c r="A24" s="32" t="s">
        <v>876</v>
      </c>
      <c r="C24" s="33"/>
      <c r="D24" s="33"/>
      <c r="E24" s="33"/>
      <c r="F24" s="33"/>
      <c r="G24" s="33"/>
      <c r="H24" s="33"/>
      <c r="I24" s="33"/>
      <c r="J24" s="33"/>
      <c r="K24" s="33"/>
      <c r="L24" s="33"/>
      <c r="M24" s="33"/>
      <c r="N24" s="33"/>
      <c r="O24" s="33"/>
      <c r="P24" s="33"/>
      <c r="Q24" s="33"/>
      <c r="R24" s="33"/>
      <c r="S24" s="33"/>
      <c r="T24" s="33"/>
    </row>
    <row r="25" spans="1:20" s="31" customFormat="1" ht="15" customHeight="1">
      <c r="B25" s="31" t="s">
        <v>360</v>
      </c>
      <c r="D25" s="33"/>
      <c r="E25" s="33"/>
      <c r="F25" s="33"/>
      <c r="G25" s="33"/>
      <c r="H25" s="33"/>
      <c r="I25" s="33"/>
      <c r="J25" s="33"/>
      <c r="K25" s="33"/>
      <c r="L25" s="33"/>
      <c r="M25" s="33"/>
      <c r="N25" s="33"/>
      <c r="O25" s="33"/>
      <c r="P25" s="33"/>
      <c r="Q25" s="33"/>
      <c r="R25" s="33"/>
      <c r="S25" s="33"/>
      <c r="T25" s="33"/>
    </row>
    <row r="26" spans="1:20" s="31" customFormat="1" ht="15" customHeight="1">
      <c r="A26" s="1308" t="s">
        <v>361</v>
      </c>
      <c r="B26" s="1309"/>
      <c r="C26" s="1310"/>
      <c r="D26" s="1165" t="s">
        <v>877</v>
      </c>
      <c r="E26" s="1166"/>
      <c r="F26" s="1166"/>
      <c r="G26" s="1166"/>
      <c r="H26" s="1166"/>
      <c r="I26" s="1166"/>
      <c r="J26" s="1166"/>
      <c r="K26" s="1166"/>
      <c r="L26" s="1167"/>
      <c r="M26" s="1166" t="s">
        <v>362</v>
      </c>
      <c r="N26" s="1166"/>
      <c r="O26" s="1166"/>
      <c r="P26" s="1166"/>
      <c r="Q26" s="1166"/>
      <c r="R26" s="1166"/>
      <c r="S26" s="1166"/>
      <c r="T26" s="1167"/>
    </row>
    <row r="27" spans="1:20" s="31" customFormat="1" ht="15" customHeight="1">
      <c r="A27" s="1113"/>
      <c r="B27" s="1114"/>
      <c r="C27" s="1311"/>
      <c r="D27" s="1168"/>
      <c r="E27" s="1169"/>
      <c r="F27" s="1169"/>
      <c r="G27" s="1169"/>
      <c r="H27" s="1169"/>
      <c r="I27" s="1169"/>
      <c r="J27" s="1169"/>
      <c r="K27" s="1169"/>
      <c r="L27" s="1170"/>
      <c r="M27" s="1169"/>
      <c r="N27" s="1169"/>
      <c r="O27" s="1169"/>
      <c r="P27" s="1169"/>
      <c r="Q27" s="1169"/>
      <c r="R27" s="1169"/>
      <c r="S27" s="1169"/>
      <c r="T27" s="1170"/>
    </row>
    <row r="28" spans="1:20" s="31" customFormat="1" ht="15" customHeight="1">
      <c r="A28" s="1266" t="s">
        <v>878</v>
      </c>
      <c r="B28" s="1241"/>
      <c r="C28" s="1242"/>
      <c r="D28" s="1281" t="str">
        <f>DBCS(""&amp;【マスター】!K43&amp;"円/時間")</f>
        <v>２００円／時間</v>
      </c>
      <c r="E28" s="1282"/>
      <c r="F28" s="1282"/>
      <c r="G28" s="1282"/>
      <c r="H28" s="1282"/>
      <c r="I28" s="1282"/>
      <c r="J28" s="1282"/>
      <c r="K28" s="1282"/>
      <c r="L28" s="1283"/>
      <c r="M28" s="1246" t="str">
        <f>DBCS("保険外通所介護サービス提供時間（"&amp;【マスター】!I13&amp;【マスター】!J13&amp;【マスター】!K13&amp;"）前後の時間帯、及び、通所介護契約書に基づく通所介護サービス提供時間（"&amp;【マスター】!I13&amp;【マスター】!J13&amp;【マスター】!K13&amp;"）前後の時間帯にサービスを提供させていただきます。")</f>
        <v>保険外通所介護サービス提供時間（９：３０～１７：３０）前後の時間帯、及び、通所介護契約書に基づく通所介護サービス提供時間（９：３０～１７：３０）前後の時間帯にサービスを提供させていただきます。</v>
      </c>
      <c r="N28" s="1246"/>
      <c r="O28" s="1246"/>
      <c r="P28" s="1246"/>
      <c r="Q28" s="1246"/>
      <c r="R28" s="1246"/>
      <c r="S28" s="1246"/>
      <c r="T28" s="1247"/>
    </row>
    <row r="29" spans="1:20" s="31" customFormat="1" ht="15" customHeight="1">
      <c r="A29" s="1267"/>
      <c r="B29" s="1268"/>
      <c r="C29" s="1269"/>
      <c r="D29" s="1284"/>
      <c r="E29" s="1285"/>
      <c r="F29" s="1285"/>
      <c r="G29" s="1285"/>
      <c r="H29" s="1285"/>
      <c r="I29" s="1285"/>
      <c r="J29" s="1285"/>
      <c r="K29" s="1285"/>
      <c r="L29" s="1286"/>
      <c r="M29" s="1248"/>
      <c r="N29" s="1248"/>
      <c r="O29" s="1248"/>
      <c r="P29" s="1248"/>
      <c r="Q29" s="1248"/>
      <c r="R29" s="1248"/>
      <c r="S29" s="1248"/>
      <c r="T29" s="1249"/>
    </row>
    <row r="30" spans="1:20" s="31" customFormat="1" ht="15" customHeight="1">
      <c r="A30" s="1267"/>
      <c r="B30" s="1268"/>
      <c r="C30" s="1269"/>
      <c r="D30" s="1234" t="s">
        <v>1706</v>
      </c>
      <c r="E30" s="1235"/>
      <c r="F30" s="1235"/>
      <c r="G30" s="1235"/>
      <c r="H30" s="1235"/>
      <c r="I30" s="1235"/>
      <c r="J30" s="1235"/>
      <c r="K30" s="1235"/>
      <c r="L30" s="1236"/>
      <c r="M30" s="1248"/>
      <c r="N30" s="1248"/>
      <c r="O30" s="1248"/>
      <c r="P30" s="1248"/>
      <c r="Q30" s="1248"/>
      <c r="R30" s="1248"/>
      <c r="S30" s="1248"/>
      <c r="T30" s="1249"/>
    </row>
    <row r="31" spans="1:20" s="31" customFormat="1" ht="15" customHeight="1">
      <c r="A31" s="1267"/>
      <c r="B31" s="1268"/>
      <c r="C31" s="1269"/>
      <c r="D31" s="1234"/>
      <c r="E31" s="1235"/>
      <c r="F31" s="1235"/>
      <c r="G31" s="1235"/>
      <c r="H31" s="1235"/>
      <c r="I31" s="1235"/>
      <c r="J31" s="1235"/>
      <c r="K31" s="1235"/>
      <c r="L31" s="1236"/>
      <c r="M31" s="1248"/>
      <c r="N31" s="1248"/>
      <c r="O31" s="1248"/>
      <c r="P31" s="1248"/>
      <c r="Q31" s="1248"/>
      <c r="R31" s="1248"/>
      <c r="S31" s="1248"/>
      <c r="T31" s="1249"/>
    </row>
    <row r="32" spans="1:20" s="31" customFormat="1" ht="15" customHeight="1">
      <c r="A32" s="1243"/>
      <c r="B32" s="1244"/>
      <c r="C32" s="1245"/>
      <c r="D32" s="1237"/>
      <c r="E32" s="1238"/>
      <c r="F32" s="1238"/>
      <c r="G32" s="1238"/>
      <c r="H32" s="1238"/>
      <c r="I32" s="1238"/>
      <c r="J32" s="1238"/>
      <c r="K32" s="1238"/>
      <c r="L32" s="1239"/>
      <c r="M32" s="1250"/>
      <c r="N32" s="1250"/>
      <c r="O32" s="1250"/>
      <c r="P32" s="1250"/>
      <c r="Q32" s="1250"/>
      <c r="R32" s="1250"/>
      <c r="S32" s="1250"/>
      <c r="T32" s="1251"/>
    </row>
    <row r="33" spans="1:24" s="31" customFormat="1" ht="15" customHeight="1">
      <c r="A33" s="1266" t="s">
        <v>879</v>
      </c>
      <c r="B33" s="1241"/>
      <c r="C33" s="1242"/>
      <c r="D33" s="1193" t="str">
        <f>DBCS(""&amp;【マスター】!K44&amp;"円/食")</f>
        <v>５００円／食</v>
      </c>
      <c r="E33" s="1194"/>
      <c r="F33" s="1194"/>
      <c r="G33" s="1194"/>
      <c r="H33" s="1194"/>
      <c r="I33" s="1194"/>
      <c r="J33" s="1194"/>
      <c r="K33" s="1194"/>
      <c r="L33" s="1197"/>
      <c r="M33" s="1246" t="s">
        <v>880</v>
      </c>
      <c r="N33" s="1246"/>
      <c r="O33" s="1246"/>
      <c r="P33" s="1246"/>
      <c r="Q33" s="1246"/>
      <c r="R33" s="1246"/>
      <c r="S33" s="1246"/>
      <c r="T33" s="1247"/>
    </row>
    <row r="34" spans="1:24" s="31" customFormat="1" ht="15" customHeight="1">
      <c r="A34" s="1267"/>
      <c r="B34" s="1268"/>
      <c r="C34" s="1269"/>
      <c r="D34" s="1195"/>
      <c r="E34" s="1196"/>
      <c r="F34" s="1196"/>
      <c r="G34" s="1196"/>
      <c r="H34" s="1196"/>
      <c r="I34" s="1196"/>
      <c r="J34" s="1196"/>
      <c r="K34" s="1196"/>
      <c r="L34" s="1198"/>
      <c r="M34" s="1248"/>
      <c r="N34" s="1248"/>
      <c r="O34" s="1248"/>
      <c r="P34" s="1248"/>
      <c r="Q34" s="1248"/>
      <c r="R34" s="1248"/>
      <c r="S34" s="1248"/>
      <c r="T34" s="1249"/>
    </row>
    <row r="35" spans="1:24" s="31" customFormat="1" ht="15" customHeight="1">
      <c r="A35" s="1243"/>
      <c r="B35" s="1244"/>
      <c r="C35" s="1245"/>
      <c r="D35" s="1189"/>
      <c r="E35" s="1199"/>
      <c r="F35" s="1199"/>
      <c r="G35" s="1199"/>
      <c r="H35" s="1199"/>
      <c r="I35" s="1199"/>
      <c r="J35" s="1199"/>
      <c r="K35" s="1199"/>
      <c r="L35" s="1190"/>
      <c r="M35" s="1250"/>
      <c r="N35" s="1250"/>
      <c r="O35" s="1250"/>
      <c r="P35" s="1250"/>
      <c r="Q35" s="1250"/>
      <c r="R35" s="1250"/>
      <c r="S35" s="1250"/>
      <c r="T35" s="1251"/>
    </row>
    <row r="36" spans="1:24" s="31" customFormat="1" ht="15" customHeight="1">
      <c r="A36" s="1266" t="s">
        <v>881</v>
      </c>
      <c r="B36" s="1241"/>
      <c r="C36" s="1242"/>
      <c r="D36" s="1193" t="str">
        <f>DBCS(""&amp;【マスター】!K45&amp;"円/食")</f>
        <v>５７０円／食</v>
      </c>
      <c r="E36" s="1194"/>
      <c r="F36" s="1194"/>
      <c r="G36" s="1194"/>
      <c r="H36" s="1194"/>
      <c r="I36" s="1194"/>
      <c r="J36" s="1194"/>
      <c r="K36" s="1194"/>
      <c r="L36" s="1197"/>
      <c r="M36" s="1246" t="s">
        <v>882</v>
      </c>
      <c r="N36" s="1246"/>
      <c r="O36" s="1246"/>
      <c r="P36" s="1246"/>
      <c r="Q36" s="1246"/>
      <c r="R36" s="1246"/>
      <c r="S36" s="1246"/>
      <c r="T36" s="1247"/>
    </row>
    <row r="37" spans="1:24" s="31" customFormat="1" ht="15" customHeight="1">
      <c r="A37" s="1270"/>
      <c r="B37" s="1268"/>
      <c r="C37" s="1269"/>
      <c r="D37" s="1195"/>
      <c r="E37" s="1196"/>
      <c r="F37" s="1196"/>
      <c r="G37" s="1196"/>
      <c r="H37" s="1196"/>
      <c r="I37" s="1196"/>
      <c r="J37" s="1196"/>
      <c r="K37" s="1196"/>
      <c r="L37" s="1198"/>
      <c r="M37" s="1248"/>
      <c r="N37" s="1248"/>
      <c r="O37" s="1248"/>
      <c r="P37" s="1248"/>
      <c r="Q37" s="1248"/>
      <c r="R37" s="1248"/>
      <c r="S37" s="1248"/>
      <c r="T37" s="1249"/>
    </row>
    <row r="38" spans="1:24" s="31" customFormat="1" ht="15" customHeight="1">
      <c r="A38" s="1243"/>
      <c r="B38" s="1244"/>
      <c r="C38" s="1245"/>
      <c r="D38" s="1189"/>
      <c r="E38" s="1199"/>
      <c r="F38" s="1199"/>
      <c r="G38" s="1199"/>
      <c r="H38" s="1199"/>
      <c r="I38" s="1199"/>
      <c r="J38" s="1199"/>
      <c r="K38" s="1199"/>
      <c r="L38" s="1190"/>
      <c r="M38" s="1250"/>
      <c r="N38" s="1250"/>
      <c r="O38" s="1250"/>
      <c r="P38" s="1250"/>
      <c r="Q38" s="1250"/>
      <c r="R38" s="1250"/>
      <c r="S38" s="1250"/>
      <c r="T38" s="1251"/>
    </row>
    <row r="39" spans="1:24" s="31" customFormat="1" ht="15" customHeight="1">
      <c r="A39" s="1266" t="s">
        <v>883</v>
      </c>
      <c r="B39" s="1241"/>
      <c r="C39" s="1242"/>
      <c r="D39" s="1193" t="str">
        <f>DBCS(""&amp;【マスター】!K46&amp;"円/食")</f>
        <v>６３０円／食</v>
      </c>
      <c r="E39" s="1194"/>
      <c r="F39" s="1194"/>
      <c r="G39" s="1194"/>
      <c r="H39" s="1194"/>
      <c r="I39" s="1194"/>
      <c r="J39" s="1194"/>
      <c r="K39" s="1194"/>
      <c r="L39" s="1197"/>
      <c r="M39" s="1263" t="s">
        <v>884</v>
      </c>
      <c r="N39" s="1246"/>
      <c r="O39" s="1246"/>
      <c r="P39" s="1246"/>
      <c r="Q39" s="1246"/>
      <c r="R39" s="1246"/>
      <c r="S39" s="1246"/>
      <c r="T39" s="1247"/>
    </row>
    <row r="40" spans="1:24" s="31" customFormat="1" ht="15" customHeight="1">
      <c r="A40" s="1270"/>
      <c r="B40" s="1268"/>
      <c r="C40" s="1269"/>
      <c r="D40" s="1195"/>
      <c r="E40" s="1196"/>
      <c r="F40" s="1196"/>
      <c r="G40" s="1196"/>
      <c r="H40" s="1196"/>
      <c r="I40" s="1196"/>
      <c r="J40" s="1196"/>
      <c r="K40" s="1196"/>
      <c r="L40" s="1198"/>
      <c r="M40" s="1264"/>
      <c r="N40" s="1248"/>
      <c r="O40" s="1248"/>
      <c r="P40" s="1248"/>
      <c r="Q40" s="1248"/>
      <c r="R40" s="1248"/>
      <c r="S40" s="1248"/>
      <c r="T40" s="1249"/>
      <c r="U40" s="33"/>
      <c r="V40" s="33"/>
      <c r="W40" s="33"/>
      <c r="X40" s="33"/>
    </row>
    <row r="41" spans="1:24" s="31" customFormat="1" ht="15" customHeight="1">
      <c r="A41" s="1243"/>
      <c r="B41" s="1244"/>
      <c r="C41" s="1245"/>
      <c r="D41" s="1189"/>
      <c r="E41" s="1199"/>
      <c r="F41" s="1199"/>
      <c r="G41" s="1199"/>
      <c r="H41" s="1199"/>
      <c r="I41" s="1199"/>
      <c r="J41" s="1199"/>
      <c r="K41" s="1199"/>
      <c r="L41" s="1190"/>
      <c r="M41" s="1265"/>
      <c r="N41" s="1250"/>
      <c r="O41" s="1250"/>
      <c r="P41" s="1250"/>
      <c r="Q41" s="1250"/>
      <c r="R41" s="1250"/>
      <c r="S41" s="1250"/>
      <c r="T41" s="1251"/>
      <c r="U41" s="33"/>
      <c r="V41" s="33"/>
      <c r="W41" s="33"/>
      <c r="X41" s="33"/>
    </row>
    <row r="42" spans="1:24" s="31" customFormat="1" ht="15" customHeight="1">
      <c r="A42" s="1266" t="s">
        <v>885</v>
      </c>
      <c r="B42" s="1241"/>
      <c r="C42" s="1242"/>
      <c r="D42" s="569"/>
      <c r="E42" s="570" t="s">
        <v>268</v>
      </c>
      <c r="F42" s="571"/>
      <c r="G42" s="572"/>
      <c r="H42" s="571"/>
      <c r="I42" s="571"/>
      <c r="J42" s="571"/>
      <c r="K42" s="571"/>
      <c r="L42" s="573"/>
      <c r="M42" s="1246" t="str">
        <f>DBCS(IF(【マスター】!C74="有","保険外通所介護サービス提供時間（"&amp;【マスター】!I13&amp;【マスター】!J13&amp;【マスター】!K13&amp;"）前後の時間帯、及び地域密着型通所介護契約書に基づく地域密着型通所介護サービス利用時（"&amp;【マスター】!I13&amp;【マスター】!J13&amp;"延長加算算定時間終了）前後の時間帯に事業所のおむつを使用した場合に算定されます。","保険外通所介護サービス提供時間（"&amp;【マスター】!I13&amp;【マスター】!J13&amp;【マスター】!K13&amp;"）前後の時間帯、及び地域密着型通所介護契約書に基づく地域密着型通所介護サービス利用時（"&amp;【マスター】!I13&amp;【マスター】!J13&amp;【マスター】!K13&amp;"）前後の時間帯に事業所のおむつを使用した場合に算定されます。"))</f>
        <v>保険外通所介護サービス提供時間（９：３０～１７：３０）前後の時間帯、及び地域密着型通所介護契約書に基づく地域密着型通所介護サービス利用時（９：３０～１７：３０）前後の時間帯に事業所のおむつを使用した場合に算定されます。</v>
      </c>
      <c r="N42" s="1246"/>
      <c r="O42" s="1246"/>
      <c r="P42" s="1246"/>
      <c r="Q42" s="1246"/>
      <c r="R42" s="1246"/>
      <c r="S42" s="1246"/>
      <c r="T42" s="1247"/>
    </row>
    <row r="43" spans="1:24" s="31" customFormat="1" ht="15" customHeight="1">
      <c r="A43" s="1267"/>
      <c r="B43" s="1268"/>
      <c r="C43" s="1269"/>
      <c r="D43" s="574"/>
      <c r="E43" s="575" t="s">
        <v>886</v>
      </c>
      <c r="F43" s="576"/>
      <c r="G43" s="577"/>
      <c r="H43" s="576"/>
      <c r="I43" s="576"/>
      <c r="J43" s="576"/>
      <c r="K43" s="576"/>
      <c r="L43" s="578"/>
      <c r="M43" s="1248"/>
      <c r="N43" s="1248"/>
      <c r="O43" s="1248"/>
      <c r="P43" s="1248"/>
      <c r="Q43" s="1248"/>
      <c r="R43" s="1248"/>
      <c r="S43" s="1248"/>
      <c r="T43" s="1249"/>
    </row>
    <row r="44" spans="1:24" s="31" customFormat="1" ht="15" customHeight="1">
      <c r="A44" s="1267"/>
      <c r="B44" s="1268"/>
      <c r="C44" s="1269"/>
      <c r="D44" s="574"/>
      <c r="E44" s="575"/>
      <c r="F44" s="576"/>
      <c r="G44" s="577"/>
      <c r="H44" s="576"/>
      <c r="I44" s="575"/>
      <c r="J44" s="575"/>
      <c r="K44" s="579" t="str">
        <f>DBCS(""&amp;【マスター】!K47&amp;"円/枚")</f>
        <v>１００円／枚</v>
      </c>
      <c r="L44" s="578"/>
      <c r="M44" s="1248"/>
      <c r="N44" s="1248"/>
      <c r="O44" s="1248"/>
      <c r="P44" s="1248"/>
      <c r="Q44" s="1248"/>
      <c r="R44" s="1248"/>
      <c r="S44" s="1248"/>
      <c r="T44" s="1249"/>
      <c r="W44" s="751" t="s">
        <v>1905</v>
      </c>
    </row>
    <row r="45" spans="1:24" s="31" customFormat="1" ht="15" customHeight="1">
      <c r="A45" s="1267"/>
      <c r="B45" s="1268"/>
      <c r="C45" s="1269"/>
      <c r="D45" s="574"/>
      <c r="E45" s="575" t="s">
        <v>195</v>
      </c>
      <c r="F45" s="576"/>
      <c r="G45" s="577"/>
      <c r="H45" s="576"/>
      <c r="I45" s="575"/>
      <c r="J45" s="575"/>
      <c r="K45" s="575"/>
      <c r="L45" s="578"/>
      <c r="M45" s="1248"/>
      <c r="N45" s="1248"/>
      <c r="O45" s="1248"/>
      <c r="P45" s="1248"/>
      <c r="Q45" s="1248"/>
      <c r="R45" s="1248"/>
      <c r="S45" s="1248"/>
      <c r="T45" s="1249"/>
    </row>
    <row r="46" spans="1:24" s="31" customFormat="1" ht="15" customHeight="1">
      <c r="A46" s="1267"/>
      <c r="B46" s="1268"/>
      <c r="C46" s="1269"/>
      <c r="D46" s="574"/>
      <c r="E46" s="580"/>
      <c r="F46" s="577"/>
      <c r="G46" s="577"/>
      <c r="H46" s="1261" t="str">
        <f>DBCS(""&amp;【マスター】!K48&amp;"円/枚")</f>
        <v>５０円／枚</v>
      </c>
      <c r="I46" s="1261"/>
      <c r="J46" s="1261"/>
      <c r="K46" s="1261"/>
      <c r="L46" s="578"/>
      <c r="M46" s="1248"/>
      <c r="N46" s="1248"/>
      <c r="O46" s="1248"/>
      <c r="P46" s="1248"/>
      <c r="Q46" s="1248"/>
      <c r="R46" s="1248"/>
      <c r="S46" s="1248"/>
      <c r="T46" s="1249"/>
      <c r="W46" s="751" t="s">
        <v>1905</v>
      </c>
    </row>
    <row r="47" spans="1:24" s="31" customFormat="1" ht="15" customHeight="1">
      <c r="A47" s="1243"/>
      <c r="B47" s="1244"/>
      <c r="C47" s="1245"/>
      <c r="D47" s="581"/>
      <c r="E47" s="582"/>
      <c r="F47" s="583"/>
      <c r="G47" s="583"/>
      <c r="H47" s="584"/>
      <c r="I47" s="584" t="s">
        <v>1333</v>
      </c>
      <c r="J47" s="584"/>
      <c r="K47" s="584"/>
      <c r="L47" s="585"/>
      <c r="M47" s="1250"/>
      <c r="N47" s="1250"/>
      <c r="O47" s="1250"/>
      <c r="P47" s="1250"/>
      <c r="Q47" s="1250"/>
      <c r="R47" s="1250"/>
      <c r="S47" s="1250"/>
      <c r="T47" s="1251"/>
    </row>
    <row r="48" spans="1:24" s="31" customFormat="1" ht="15" customHeight="1">
      <c r="A48" s="1240" t="s">
        <v>361</v>
      </c>
      <c r="B48" s="1241"/>
      <c r="C48" s="1242"/>
      <c r="D48" s="1255" t="s">
        <v>877</v>
      </c>
      <c r="E48" s="1256"/>
      <c r="F48" s="1256"/>
      <c r="G48" s="1256"/>
      <c r="H48" s="1256"/>
      <c r="I48" s="1256"/>
      <c r="J48" s="1256"/>
      <c r="K48" s="1256"/>
      <c r="L48" s="1257"/>
      <c r="M48" s="1166" t="s">
        <v>362</v>
      </c>
      <c r="N48" s="1166"/>
      <c r="O48" s="1166"/>
      <c r="P48" s="1166"/>
      <c r="Q48" s="1166"/>
      <c r="R48" s="1166"/>
      <c r="S48" s="1166"/>
      <c r="T48" s="1167"/>
    </row>
    <row r="49" spans="1:20" s="31" customFormat="1" ht="15" customHeight="1">
      <c r="A49" s="1243"/>
      <c r="B49" s="1244"/>
      <c r="C49" s="1245"/>
      <c r="D49" s="1258"/>
      <c r="E49" s="1259"/>
      <c r="F49" s="1259"/>
      <c r="G49" s="1259"/>
      <c r="H49" s="1259"/>
      <c r="I49" s="1259"/>
      <c r="J49" s="1259"/>
      <c r="K49" s="1259"/>
      <c r="L49" s="1260"/>
      <c r="M49" s="1169"/>
      <c r="N49" s="1169"/>
      <c r="O49" s="1169"/>
      <c r="P49" s="1169"/>
      <c r="Q49" s="1169"/>
      <c r="R49" s="1169"/>
      <c r="S49" s="1169"/>
      <c r="T49" s="1170"/>
    </row>
    <row r="50" spans="1:20" s="31" customFormat="1" ht="15" customHeight="1">
      <c r="A50" s="1266" t="s">
        <v>888</v>
      </c>
      <c r="B50" s="1241"/>
      <c r="C50" s="1242"/>
      <c r="D50" s="1262" t="s">
        <v>889</v>
      </c>
      <c r="E50" s="1262"/>
      <c r="F50" s="1262"/>
      <c r="G50" s="1262"/>
      <c r="H50" s="1262"/>
      <c r="I50" s="1262"/>
      <c r="J50" s="1262"/>
      <c r="K50" s="1262"/>
      <c r="L50" s="1262"/>
      <c r="M50" s="1263" t="str">
        <f>DBCS("介護保険外、実費での通所介護サービスです。１回あたり"&amp;【マスター】!I13&amp;【マスター】!J13&amp;【マスター】!K13&amp;"のご利用が可能です。
サービス提供時間（"&amp;【マスター】!I13&amp;【マスター】!J13&amp;【マスター】!K13&amp;"）前後の利用を希望される場合は、時間外サービス利用料が別途必要となります。")</f>
        <v>介護保険外、実費での通所介護サービスです。１回あたり９：３０～１７：３０のご利用が可能です。
サービス提供時間（９：３０～１７：３０）前後の利用を希望される場合は、時間外サービス利用料が別途必要となります。</v>
      </c>
      <c r="N50" s="1246"/>
      <c r="O50" s="1246"/>
      <c r="P50" s="1246"/>
      <c r="Q50" s="1246"/>
      <c r="R50" s="1246"/>
      <c r="S50" s="1246"/>
      <c r="T50" s="1247"/>
    </row>
    <row r="51" spans="1:20" s="31" customFormat="1" ht="15" customHeight="1">
      <c r="A51" s="1267"/>
      <c r="B51" s="1268"/>
      <c r="C51" s="1269"/>
      <c r="D51" s="1287" t="str">
        <f>DBCS(TEXT(【マスター】!K40,"＃＃＃,＃＃０"))&amp;"円/回"</f>
        <v>３，５００円/回</v>
      </c>
      <c r="E51" s="1288"/>
      <c r="F51" s="1288"/>
      <c r="G51" s="1288"/>
      <c r="H51" s="1288"/>
      <c r="I51" s="1288"/>
      <c r="J51" s="1288"/>
      <c r="K51" s="1288"/>
      <c r="L51" s="1289"/>
      <c r="M51" s="1264"/>
      <c r="N51" s="1248"/>
      <c r="O51" s="1248"/>
      <c r="P51" s="1248"/>
      <c r="Q51" s="1248"/>
      <c r="R51" s="1248"/>
      <c r="S51" s="1248"/>
      <c r="T51" s="1249"/>
    </row>
    <row r="52" spans="1:20" s="31" customFormat="1" ht="15" customHeight="1">
      <c r="A52" s="1267"/>
      <c r="B52" s="1268"/>
      <c r="C52" s="1269"/>
      <c r="D52" s="1243"/>
      <c r="E52" s="1244"/>
      <c r="F52" s="1244"/>
      <c r="G52" s="1244"/>
      <c r="H52" s="1244"/>
      <c r="I52" s="1244"/>
      <c r="J52" s="1244"/>
      <c r="K52" s="1244"/>
      <c r="L52" s="1245"/>
      <c r="M52" s="1264"/>
      <c r="N52" s="1248"/>
      <c r="O52" s="1248"/>
      <c r="P52" s="1248"/>
      <c r="Q52" s="1248"/>
      <c r="R52" s="1248"/>
      <c r="S52" s="1248"/>
      <c r="T52" s="1249"/>
    </row>
    <row r="53" spans="1:20" s="31" customFormat="1" ht="15" customHeight="1">
      <c r="A53" s="1270"/>
      <c r="B53" s="1268"/>
      <c r="C53" s="1269"/>
      <c r="D53" s="1252" t="s">
        <v>890</v>
      </c>
      <c r="E53" s="1253"/>
      <c r="F53" s="1253"/>
      <c r="G53" s="1253"/>
      <c r="H53" s="1253"/>
      <c r="I53" s="1253"/>
      <c r="J53" s="1253"/>
      <c r="K53" s="1253"/>
      <c r="L53" s="1254"/>
      <c r="M53" s="1264"/>
      <c r="N53" s="1248"/>
      <c r="O53" s="1248"/>
      <c r="P53" s="1248"/>
      <c r="Q53" s="1248"/>
      <c r="R53" s="1248"/>
      <c r="S53" s="1248"/>
      <c r="T53" s="1249"/>
    </row>
    <row r="54" spans="1:20" s="31" customFormat="1" ht="15" customHeight="1">
      <c r="A54" s="1270"/>
      <c r="B54" s="1268"/>
      <c r="C54" s="1269"/>
      <c r="D54" s="1287" t="str">
        <f>DBCS(TEXT(【マスター】!K41,"＃＃＃,＃０"))&amp;"円/回"</f>
        <v>３，５００円/回</v>
      </c>
      <c r="E54" s="1288"/>
      <c r="F54" s="1288"/>
      <c r="G54" s="1288"/>
      <c r="H54" s="1288"/>
      <c r="I54" s="1288"/>
      <c r="J54" s="1288"/>
      <c r="K54" s="1288"/>
      <c r="L54" s="1289"/>
      <c r="M54" s="1264"/>
      <c r="N54" s="1248"/>
      <c r="O54" s="1248"/>
      <c r="P54" s="1248"/>
      <c r="Q54" s="1248"/>
      <c r="R54" s="1248"/>
      <c r="S54" s="1248"/>
      <c r="T54" s="1249"/>
    </row>
    <row r="55" spans="1:20" s="31" customFormat="1" ht="15" customHeight="1">
      <c r="A55" s="1243"/>
      <c r="B55" s="1244"/>
      <c r="C55" s="1245"/>
      <c r="D55" s="1243"/>
      <c r="E55" s="1244"/>
      <c r="F55" s="1244"/>
      <c r="G55" s="1244"/>
      <c r="H55" s="1244"/>
      <c r="I55" s="1244"/>
      <c r="J55" s="1244"/>
      <c r="K55" s="1244"/>
      <c r="L55" s="1245"/>
      <c r="M55" s="1265"/>
      <c r="N55" s="1250"/>
      <c r="O55" s="1250"/>
      <c r="P55" s="1250"/>
      <c r="Q55" s="1250"/>
      <c r="R55" s="1250"/>
      <c r="S55" s="1250"/>
      <c r="T55" s="1251"/>
    </row>
    <row r="56" spans="1:20" s="31" customFormat="1" ht="15" customHeight="1">
      <c r="A56" s="1266" t="s">
        <v>891</v>
      </c>
      <c r="B56" s="1241"/>
      <c r="C56" s="1242"/>
      <c r="D56" s="1278" t="str">
        <f>DBCS(TEXT(【マスター】!K42,"＃＃＃,＃０"))&amp;"円/回"</f>
        <v>１，２００円/回</v>
      </c>
      <c r="E56" s="1279"/>
      <c r="F56" s="1279"/>
      <c r="G56" s="1279"/>
      <c r="H56" s="1279"/>
      <c r="I56" s="1279"/>
      <c r="J56" s="1279"/>
      <c r="K56" s="1279"/>
      <c r="L56" s="1280"/>
      <c r="M56" s="1246" t="str">
        <f>DBCS("お泊まりを利用される方の"&amp;【マスター】!I14&amp;【マスター】!J14&amp;【マスター】!K14
&amp;"までの夜間介護サービスを提供させていただきます。また原則、日中の通所介護サービスを利用した方のみ夜間サポートサービスは利用可能です。")</f>
        <v>お泊まりを利用される方の１７：３１～９：２９までの夜間介護サービスを提供させていただきます。また原則、日中の通所介護サービスを利用した方のみ夜間サポートサービスは利用可能です。</v>
      </c>
      <c r="N56" s="1246"/>
      <c r="O56" s="1246"/>
      <c r="P56" s="1246"/>
      <c r="Q56" s="1246"/>
      <c r="R56" s="1246"/>
      <c r="S56" s="1246"/>
      <c r="T56" s="1247"/>
    </row>
    <row r="57" spans="1:20" s="31" customFormat="1" ht="15" customHeight="1">
      <c r="A57" s="1267"/>
      <c r="B57" s="1268"/>
      <c r="C57" s="1269"/>
      <c r="D57" s="1234"/>
      <c r="E57" s="1235"/>
      <c r="F57" s="1235"/>
      <c r="G57" s="1235"/>
      <c r="H57" s="1235"/>
      <c r="I57" s="1235"/>
      <c r="J57" s="1235"/>
      <c r="K57" s="1235"/>
      <c r="L57" s="1236"/>
      <c r="M57" s="1248"/>
      <c r="N57" s="1248"/>
      <c r="O57" s="1248"/>
      <c r="P57" s="1248"/>
      <c r="Q57" s="1248"/>
      <c r="R57" s="1248"/>
      <c r="S57" s="1248"/>
      <c r="T57" s="1249"/>
    </row>
    <row r="58" spans="1:20" s="31" customFormat="1" ht="15" customHeight="1">
      <c r="A58" s="1267"/>
      <c r="B58" s="1268"/>
      <c r="C58" s="1269"/>
      <c r="D58" s="1234"/>
      <c r="E58" s="1235"/>
      <c r="F58" s="1235"/>
      <c r="G58" s="1235"/>
      <c r="H58" s="1235"/>
      <c r="I58" s="1235"/>
      <c r="J58" s="1235"/>
      <c r="K58" s="1235"/>
      <c r="L58" s="1236"/>
      <c r="M58" s="1248"/>
      <c r="N58" s="1248"/>
      <c r="O58" s="1248"/>
      <c r="P58" s="1248"/>
      <c r="Q58" s="1248"/>
      <c r="R58" s="1248"/>
      <c r="S58" s="1248"/>
      <c r="T58" s="1249"/>
    </row>
    <row r="59" spans="1:20" s="31" customFormat="1" ht="15" customHeight="1">
      <c r="A59" s="1267"/>
      <c r="B59" s="1268"/>
      <c r="C59" s="1269"/>
      <c r="D59" s="1234"/>
      <c r="E59" s="1235"/>
      <c r="F59" s="1235"/>
      <c r="G59" s="1235"/>
      <c r="H59" s="1235"/>
      <c r="I59" s="1235"/>
      <c r="J59" s="1235"/>
      <c r="K59" s="1235"/>
      <c r="L59" s="1236"/>
      <c r="M59" s="1248"/>
      <c r="N59" s="1248"/>
      <c r="O59" s="1248"/>
      <c r="P59" s="1248"/>
      <c r="Q59" s="1248"/>
      <c r="R59" s="1248"/>
      <c r="S59" s="1248"/>
      <c r="T59" s="1249"/>
    </row>
    <row r="60" spans="1:20" s="31" customFormat="1" ht="15" customHeight="1">
      <c r="A60" s="1274"/>
      <c r="B60" s="1244"/>
      <c r="C60" s="1245"/>
      <c r="D60" s="1237"/>
      <c r="E60" s="1238"/>
      <c r="F60" s="1238"/>
      <c r="G60" s="1238"/>
      <c r="H60" s="1238"/>
      <c r="I60" s="1238"/>
      <c r="J60" s="1238"/>
      <c r="K60" s="1238"/>
      <c r="L60" s="1239"/>
      <c r="M60" s="1250"/>
      <c r="N60" s="1250"/>
      <c r="O60" s="1250"/>
      <c r="P60" s="1250"/>
      <c r="Q60" s="1250"/>
      <c r="R60" s="1250"/>
      <c r="S60" s="1250"/>
      <c r="T60" s="1251"/>
    </row>
    <row r="61" spans="1:20" s="64" customFormat="1" ht="15" customHeight="1">
      <c r="A61" s="1290" t="s">
        <v>892</v>
      </c>
      <c r="B61" s="1291"/>
      <c r="C61" s="1292"/>
      <c r="D61" s="1281" t="str">
        <f>DBCS(TEXT(【マスター】!K49,"＃＃＃,＃０"))&amp;"円/時間"</f>
        <v>２００円/時間</v>
      </c>
      <c r="E61" s="1282"/>
      <c r="F61" s="1282"/>
      <c r="G61" s="1282"/>
      <c r="H61" s="1282"/>
      <c r="I61" s="1282"/>
      <c r="J61" s="1282"/>
      <c r="K61" s="1282"/>
      <c r="L61" s="1283"/>
      <c r="M61" s="1299" t="s">
        <v>1512</v>
      </c>
      <c r="N61" s="1300"/>
      <c r="O61" s="1300"/>
      <c r="P61" s="1300"/>
      <c r="Q61" s="1300"/>
      <c r="R61" s="1300"/>
      <c r="S61" s="1300"/>
      <c r="T61" s="1301"/>
    </row>
    <row r="62" spans="1:20" s="64" customFormat="1" ht="15" customHeight="1">
      <c r="A62" s="1293"/>
      <c r="B62" s="1294"/>
      <c r="C62" s="1295"/>
      <c r="D62" s="1284"/>
      <c r="E62" s="1285"/>
      <c r="F62" s="1285"/>
      <c r="G62" s="1285"/>
      <c r="H62" s="1285"/>
      <c r="I62" s="1285"/>
      <c r="J62" s="1285"/>
      <c r="K62" s="1285"/>
      <c r="L62" s="1286"/>
      <c r="M62" s="1302"/>
      <c r="N62" s="1303"/>
      <c r="O62" s="1303"/>
      <c r="P62" s="1303"/>
      <c r="Q62" s="1303"/>
      <c r="R62" s="1303"/>
      <c r="S62" s="1303"/>
      <c r="T62" s="1304"/>
    </row>
    <row r="63" spans="1:20" s="64" customFormat="1" ht="15" customHeight="1">
      <c r="A63" s="1293"/>
      <c r="B63" s="1294"/>
      <c r="C63" s="1295"/>
      <c r="D63" s="1234" t="s">
        <v>1709</v>
      </c>
      <c r="E63" s="1275"/>
      <c r="F63" s="1275"/>
      <c r="G63" s="1275"/>
      <c r="H63" s="1275"/>
      <c r="I63" s="1275"/>
      <c r="J63" s="1275"/>
      <c r="K63" s="1275"/>
      <c r="L63" s="1276"/>
      <c r="M63" s="1302"/>
      <c r="N63" s="1303"/>
      <c r="O63" s="1303"/>
      <c r="P63" s="1303"/>
      <c r="Q63" s="1303"/>
      <c r="R63" s="1303"/>
      <c r="S63" s="1303"/>
      <c r="T63" s="1304"/>
    </row>
    <row r="64" spans="1:20" s="64" customFormat="1" ht="15" customHeight="1">
      <c r="A64" s="1293"/>
      <c r="B64" s="1294"/>
      <c r="C64" s="1295"/>
      <c r="D64" s="1234"/>
      <c r="E64" s="1275"/>
      <c r="F64" s="1275"/>
      <c r="G64" s="1275"/>
      <c r="H64" s="1275"/>
      <c r="I64" s="1275"/>
      <c r="J64" s="1275"/>
      <c r="K64" s="1275"/>
      <c r="L64" s="1276"/>
      <c r="M64" s="1302"/>
      <c r="N64" s="1303"/>
      <c r="O64" s="1303"/>
      <c r="P64" s="1303"/>
      <c r="Q64" s="1303"/>
      <c r="R64" s="1303"/>
      <c r="S64" s="1303"/>
      <c r="T64" s="1304"/>
    </row>
    <row r="65" spans="1:20" s="64" customFormat="1" ht="15" customHeight="1">
      <c r="A65" s="1293"/>
      <c r="B65" s="1294"/>
      <c r="C65" s="1295"/>
      <c r="D65" s="1277"/>
      <c r="E65" s="1275"/>
      <c r="F65" s="1275"/>
      <c r="G65" s="1275"/>
      <c r="H65" s="1275"/>
      <c r="I65" s="1275"/>
      <c r="J65" s="1275"/>
      <c r="K65" s="1275"/>
      <c r="L65" s="1276"/>
      <c r="M65" s="1302"/>
      <c r="N65" s="1303"/>
      <c r="O65" s="1303"/>
      <c r="P65" s="1303"/>
      <c r="Q65" s="1303"/>
      <c r="R65" s="1303"/>
      <c r="S65" s="1303"/>
      <c r="T65" s="1304"/>
    </row>
    <row r="66" spans="1:20" s="64" customFormat="1" ht="15" customHeight="1">
      <c r="A66" s="1293"/>
      <c r="B66" s="1294"/>
      <c r="C66" s="1295"/>
      <c r="D66" s="1284"/>
      <c r="E66" s="1285"/>
      <c r="F66" s="1285"/>
      <c r="G66" s="1285"/>
      <c r="H66" s="1285"/>
      <c r="I66" s="1285"/>
      <c r="J66" s="1285"/>
      <c r="K66" s="1285"/>
      <c r="L66" s="1286"/>
      <c r="M66" s="1302"/>
      <c r="N66" s="1303"/>
      <c r="O66" s="1303"/>
      <c r="P66" s="1303"/>
      <c r="Q66" s="1303"/>
      <c r="R66" s="1303"/>
      <c r="S66" s="1303"/>
      <c r="T66" s="1304"/>
    </row>
    <row r="67" spans="1:20" s="64" customFormat="1" ht="15" customHeight="1">
      <c r="A67" s="1293"/>
      <c r="B67" s="1294"/>
      <c r="C67" s="1295"/>
      <c r="D67" s="1284"/>
      <c r="E67" s="1285"/>
      <c r="F67" s="1285"/>
      <c r="G67" s="1285"/>
      <c r="H67" s="1285"/>
      <c r="I67" s="1285"/>
      <c r="J67" s="1285"/>
      <c r="K67" s="1285"/>
      <c r="L67" s="1286"/>
      <c r="M67" s="1302"/>
      <c r="N67" s="1303"/>
      <c r="O67" s="1303"/>
      <c r="P67" s="1303"/>
      <c r="Q67" s="1303"/>
      <c r="R67" s="1303"/>
      <c r="S67" s="1303"/>
      <c r="T67" s="1304"/>
    </row>
    <row r="68" spans="1:20" s="64" customFormat="1" ht="15" customHeight="1">
      <c r="A68" s="1293"/>
      <c r="B68" s="1294"/>
      <c r="C68" s="1295"/>
      <c r="D68" s="1234"/>
      <c r="E68" s="1275"/>
      <c r="F68" s="1275"/>
      <c r="G68" s="1275"/>
      <c r="H68" s="1275"/>
      <c r="I68" s="1275"/>
      <c r="J68" s="1275"/>
      <c r="K68" s="1275"/>
      <c r="L68" s="1276"/>
      <c r="M68" s="1302"/>
      <c r="N68" s="1303"/>
      <c r="O68" s="1303"/>
      <c r="P68" s="1303"/>
      <c r="Q68" s="1303"/>
      <c r="R68" s="1303"/>
      <c r="S68" s="1303"/>
      <c r="T68" s="1304"/>
    </row>
    <row r="69" spans="1:20" s="64" customFormat="1" ht="15" customHeight="1">
      <c r="A69" s="1293"/>
      <c r="B69" s="1294"/>
      <c r="C69" s="1295"/>
      <c r="D69" s="1277"/>
      <c r="E69" s="1275"/>
      <c r="F69" s="1275"/>
      <c r="G69" s="1275"/>
      <c r="H69" s="1275"/>
      <c r="I69" s="1275"/>
      <c r="J69" s="1275"/>
      <c r="K69" s="1275"/>
      <c r="L69" s="1276"/>
      <c r="M69" s="1302"/>
      <c r="N69" s="1303"/>
      <c r="O69" s="1303"/>
      <c r="P69" s="1303"/>
      <c r="Q69" s="1303"/>
      <c r="R69" s="1303"/>
      <c r="S69" s="1303"/>
      <c r="T69" s="1304"/>
    </row>
    <row r="70" spans="1:20" s="64" customFormat="1" ht="15" customHeight="1">
      <c r="A70" s="1296"/>
      <c r="B70" s="1297"/>
      <c r="C70" s="1298"/>
      <c r="D70" s="1258"/>
      <c r="E70" s="1259"/>
      <c r="F70" s="1259"/>
      <c r="G70" s="1259"/>
      <c r="H70" s="1259"/>
      <c r="I70" s="1259"/>
      <c r="J70" s="1259"/>
      <c r="K70" s="1259"/>
      <c r="L70" s="1260"/>
      <c r="M70" s="1305"/>
      <c r="N70" s="1306"/>
      <c r="O70" s="1306"/>
      <c r="P70" s="1306"/>
      <c r="Q70" s="1306"/>
      <c r="R70" s="1306"/>
      <c r="S70" s="1306"/>
      <c r="T70" s="1307"/>
    </row>
    <row r="71" spans="1:20" s="31" customFormat="1" ht="15" customHeight="1">
      <c r="B71" s="32"/>
      <c r="C71" s="32"/>
    </row>
    <row r="72" spans="1:20" s="31" customFormat="1" ht="15" customHeight="1">
      <c r="A72" s="31" t="s">
        <v>893</v>
      </c>
      <c r="B72" s="32"/>
      <c r="C72" s="34"/>
      <c r="D72" s="34"/>
      <c r="E72" s="34"/>
      <c r="F72" s="34"/>
      <c r="G72" s="34"/>
      <c r="H72" s="34"/>
      <c r="I72" s="34"/>
      <c r="J72" s="34"/>
      <c r="K72" s="34"/>
      <c r="L72" s="34"/>
      <c r="M72" s="34"/>
      <c r="N72" s="34"/>
      <c r="O72" s="34"/>
      <c r="P72" s="34"/>
      <c r="Q72" s="34"/>
      <c r="R72" s="34"/>
      <c r="S72" s="34"/>
      <c r="T72" s="34"/>
    </row>
    <row r="73" spans="1:20" s="31" customFormat="1" ht="15" customHeight="1">
      <c r="B73" s="32" t="s">
        <v>386</v>
      </c>
      <c r="C73" s="32"/>
    </row>
    <row r="74" spans="1:20" s="31" customFormat="1" ht="15" customHeight="1">
      <c r="B74" s="32"/>
      <c r="C74" s="32"/>
      <c r="E74" s="1136" t="str">
        <f>【マスター】!C84</f>
        <v>口座振替・振込・現金支払</v>
      </c>
      <c r="F74" s="1136"/>
      <c r="G74" s="1136"/>
      <c r="H74" s="1136"/>
      <c r="I74" s="1136"/>
      <c r="J74" s="1136"/>
      <c r="K74" s="1136"/>
      <c r="L74" s="1136"/>
      <c r="M74" s="1136"/>
      <c r="N74" s="1136"/>
      <c r="O74" s="1136"/>
    </row>
    <row r="75" spans="1:20" s="31" customFormat="1" ht="15" customHeight="1">
      <c r="B75" s="32"/>
      <c r="C75" s="34"/>
      <c r="D75" s="34"/>
      <c r="E75" s="34"/>
      <c r="F75" s="34"/>
      <c r="G75" s="34"/>
      <c r="H75" s="34"/>
      <c r="I75" s="34"/>
      <c r="J75" s="34"/>
      <c r="K75" s="34"/>
      <c r="L75" s="34"/>
      <c r="M75" s="34"/>
      <c r="N75" s="34"/>
      <c r="O75" s="32" t="s">
        <v>387</v>
      </c>
      <c r="P75" s="34"/>
      <c r="Q75" s="34"/>
      <c r="R75" s="34"/>
      <c r="S75" s="34"/>
      <c r="T75" s="34"/>
    </row>
    <row r="76" spans="1:20" s="31" customFormat="1" ht="15" customHeight="1">
      <c r="B76" s="32" t="s">
        <v>388</v>
      </c>
      <c r="C76" s="34"/>
      <c r="D76" s="34"/>
      <c r="E76" s="34"/>
      <c r="F76" s="34"/>
      <c r="G76" s="34"/>
      <c r="H76" s="34"/>
      <c r="I76" s="34"/>
      <c r="J76" s="34"/>
      <c r="K76" s="34"/>
      <c r="L76" s="34"/>
      <c r="M76" s="34"/>
      <c r="N76" s="34"/>
      <c r="O76" s="34"/>
      <c r="P76" s="34"/>
      <c r="Q76" s="34"/>
      <c r="R76" s="34"/>
      <c r="S76" s="34"/>
      <c r="T76" s="34"/>
    </row>
    <row r="77" spans="1:20" s="31" customFormat="1" ht="15" customHeight="1">
      <c r="B77" s="32"/>
      <c r="C77" s="34"/>
      <c r="D77" s="34"/>
      <c r="E77" s="34"/>
      <c r="F77" s="34"/>
      <c r="G77" s="34"/>
      <c r="H77" s="34"/>
      <c r="I77" s="34"/>
      <c r="J77" s="34"/>
      <c r="K77" s="34"/>
      <c r="L77" s="34"/>
      <c r="M77" s="34"/>
      <c r="N77" s="34"/>
      <c r="O77" s="34"/>
      <c r="P77" s="34"/>
      <c r="Q77" s="34"/>
      <c r="R77" s="34"/>
      <c r="S77" s="34"/>
      <c r="T77" s="34"/>
    </row>
    <row r="78" spans="1:20" s="31" customFormat="1" ht="15" customHeight="1">
      <c r="A78" s="31" t="s">
        <v>894</v>
      </c>
      <c r="B78" s="32"/>
      <c r="C78" s="34"/>
      <c r="D78" s="34"/>
      <c r="E78" s="34"/>
      <c r="F78" s="34"/>
      <c r="G78" s="34"/>
      <c r="H78" s="34"/>
      <c r="I78" s="34"/>
      <c r="J78" s="34"/>
      <c r="K78" s="34"/>
      <c r="L78" s="34"/>
      <c r="M78" s="34"/>
      <c r="N78" s="34"/>
      <c r="O78" s="34"/>
      <c r="P78" s="34"/>
      <c r="Q78" s="34"/>
      <c r="R78" s="34"/>
      <c r="S78" s="34"/>
      <c r="T78" s="34"/>
    </row>
    <row r="79" spans="1:20" s="31" customFormat="1" ht="15" customHeight="1">
      <c r="A79" s="1271"/>
      <c r="B79" s="1072" t="s">
        <v>895</v>
      </c>
      <c r="C79" s="1072"/>
      <c r="D79" s="1072"/>
      <c r="E79" s="1073"/>
      <c r="F79" s="1078" t="s">
        <v>420</v>
      </c>
      <c r="G79" s="1078"/>
      <c r="H79" s="1078"/>
      <c r="I79" s="1078"/>
      <c r="J79" s="1078"/>
      <c r="K79" s="1109" t="str">
        <f>IF(【マスター】!C21="","",【マスター】!C21)</f>
        <v>小久保　幾生</v>
      </c>
      <c r="L79" s="1109"/>
      <c r="M79" s="1109"/>
      <c r="N79" s="1109"/>
      <c r="O79" s="1109"/>
      <c r="P79" s="1109"/>
      <c r="Q79" s="1109"/>
      <c r="R79" s="1109"/>
      <c r="S79" s="1109"/>
      <c r="T79" s="1109"/>
    </row>
    <row r="80" spans="1:20" s="31" customFormat="1" ht="15" customHeight="1">
      <c r="A80" s="1272"/>
      <c r="B80" s="1074"/>
      <c r="C80" s="1074"/>
      <c r="D80" s="1074"/>
      <c r="E80" s="1075"/>
      <c r="F80" s="1082" t="s">
        <v>421</v>
      </c>
      <c r="G80" s="1082"/>
      <c r="H80" s="1082"/>
      <c r="I80" s="1082"/>
      <c r="J80" s="1082"/>
      <c r="K80" s="1105" t="str">
        <f>DBCS(【マスター】!I13&amp;【マスター】!J13&amp;【マスター】!K13)</f>
        <v>９：３０～１７：３０</v>
      </c>
      <c r="L80" s="1105"/>
      <c r="M80" s="1105"/>
      <c r="N80" s="1105"/>
      <c r="O80" s="1105"/>
      <c r="P80" s="1105"/>
      <c r="Q80" s="1105"/>
      <c r="R80" s="1105"/>
      <c r="S80" s="1105"/>
      <c r="T80" s="1105"/>
    </row>
    <row r="81" spans="1:20" s="31" customFormat="1" ht="15" customHeight="1">
      <c r="A81" s="1272"/>
      <c r="B81" s="1074"/>
      <c r="C81" s="1074"/>
      <c r="D81" s="1074"/>
      <c r="E81" s="1075"/>
      <c r="F81" s="1110" t="s">
        <v>422</v>
      </c>
      <c r="G81" s="1111"/>
      <c r="H81" s="1111"/>
      <c r="I81" s="1103" t="s">
        <v>281</v>
      </c>
      <c r="J81" s="1104"/>
      <c r="K81" s="1105" t="str">
        <f>DBCS(【マスター】!C10)</f>
        <v>０５３２－３９－７８５５</v>
      </c>
      <c r="L81" s="1105"/>
      <c r="M81" s="1105"/>
      <c r="N81" s="1105"/>
      <c r="O81" s="1105"/>
      <c r="P81" s="1105"/>
      <c r="Q81" s="1105"/>
      <c r="R81" s="1105"/>
      <c r="S81" s="1105"/>
      <c r="T81" s="1105"/>
    </row>
    <row r="82" spans="1:20" s="31" customFormat="1" ht="15" customHeight="1">
      <c r="A82" s="1272"/>
      <c r="B82" s="1074"/>
      <c r="C82" s="1074"/>
      <c r="D82" s="1074"/>
      <c r="E82" s="1075"/>
      <c r="F82" s="1112"/>
      <c r="G82" s="1092"/>
      <c r="H82" s="1092"/>
      <c r="I82" s="1103" t="s">
        <v>423</v>
      </c>
      <c r="J82" s="1104"/>
      <c r="K82" s="1105" t="s">
        <v>424</v>
      </c>
      <c r="L82" s="1105"/>
      <c r="M82" s="1105"/>
      <c r="N82" s="1105"/>
      <c r="O82" s="1105"/>
      <c r="P82" s="1105"/>
      <c r="Q82" s="1105"/>
      <c r="R82" s="1105"/>
      <c r="S82" s="1105"/>
      <c r="T82" s="1105"/>
    </row>
    <row r="83" spans="1:20" s="31" customFormat="1" ht="15" customHeight="1">
      <c r="A83" s="1273"/>
      <c r="B83" s="1076"/>
      <c r="C83" s="1076"/>
      <c r="D83" s="1076"/>
      <c r="E83" s="1077"/>
      <c r="F83" s="1113"/>
      <c r="G83" s="1114"/>
      <c r="H83" s="1114"/>
      <c r="I83" s="1106" t="s">
        <v>425</v>
      </c>
      <c r="J83" s="1107"/>
      <c r="K83" s="1108" t="str">
        <f>"（"&amp;【マスター】!C82&amp;"に設置）"</f>
        <v>（玄関に設置）</v>
      </c>
      <c r="L83" s="1108"/>
      <c r="M83" s="1108"/>
      <c r="N83" s="1108"/>
      <c r="O83" s="1108"/>
      <c r="P83" s="1108"/>
      <c r="Q83" s="1108"/>
      <c r="R83" s="1108"/>
      <c r="S83" s="1108"/>
      <c r="T83" s="1108"/>
    </row>
    <row r="84" spans="1:20" s="31" customFormat="1" ht="15" customHeight="1">
      <c r="A84" s="298"/>
      <c r="B84" s="521"/>
      <c r="C84" s="521"/>
      <c r="D84" s="521"/>
      <c r="E84" s="521"/>
      <c r="F84" s="481"/>
      <c r="G84" s="481"/>
      <c r="H84" s="481"/>
      <c r="I84" s="379"/>
      <c r="J84" s="379"/>
      <c r="K84" s="49"/>
      <c r="L84" s="49"/>
      <c r="M84" s="49"/>
      <c r="N84" s="49"/>
      <c r="O84" s="49"/>
      <c r="P84" s="49"/>
      <c r="Q84" s="49"/>
      <c r="R84" s="49"/>
      <c r="S84" s="49"/>
      <c r="T84" s="49"/>
    </row>
    <row r="85" spans="1:20" s="31" customFormat="1" ht="15" customHeight="1">
      <c r="A85" s="31" t="s">
        <v>896</v>
      </c>
      <c r="B85" s="32"/>
      <c r="C85" s="32"/>
    </row>
    <row r="86" spans="1:20" s="31" customFormat="1" ht="60" customHeight="1">
      <c r="A86" s="1091" t="s">
        <v>897</v>
      </c>
      <c r="B86" s="1091"/>
      <c r="C86" s="1091"/>
      <c r="D86" s="1091"/>
      <c r="E86" s="1091"/>
      <c r="F86" s="1091"/>
      <c r="G86" s="1091"/>
      <c r="H86" s="1091"/>
      <c r="I86" s="1091"/>
      <c r="J86" s="1091"/>
      <c r="K86" s="1091"/>
      <c r="L86" s="1091"/>
      <c r="M86" s="1091"/>
      <c r="N86" s="1091"/>
      <c r="O86" s="1091"/>
      <c r="P86" s="1091"/>
      <c r="Q86" s="1091"/>
      <c r="R86" s="1091"/>
      <c r="S86" s="1091"/>
      <c r="T86" s="1091"/>
    </row>
    <row r="87" spans="1:20" s="31" customFormat="1" ht="45" customHeight="1">
      <c r="A87" s="1091" t="s">
        <v>433</v>
      </c>
      <c r="B87" s="1091"/>
      <c r="C87" s="1091"/>
      <c r="D87" s="1091"/>
      <c r="E87" s="1091"/>
      <c r="F87" s="1091"/>
      <c r="G87" s="1091"/>
      <c r="H87" s="1091"/>
      <c r="I87" s="1091"/>
      <c r="J87" s="1091"/>
      <c r="K87" s="1091"/>
      <c r="L87" s="1091"/>
      <c r="M87" s="1091"/>
      <c r="N87" s="1091"/>
      <c r="O87" s="1091"/>
      <c r="P87" s="1091"/>
      <c r="Q87" s="1091"/>
      <c r="R87" s="1091"/>
      <c r="S87" s="1091"/>
      <c r="T87" s="1091"/>
    </row>
    <row r="88" spans="1:20" s="31" customFormat="1" ht="15" customHeight="1">
      <c r="B88" s="1092" t="s">
        <v>434</v>
      </c>
      <c r="C88" s="1092"/>
      <c r="D88" s="1092"/>
      <c r="E88" s="1092"/>
      <c r="F88" s="1092"/>
      <c r="G88" s="1092"/>
      <c r="H88" s="1092"/>
      <c r="I88" s="1074" t="str">
        <f>IF(【マスター】!C99=0,"",【マスター】!C99)</f>
        <v>あいおいニッセイ同和損害保険株式会社</v>
      </c>
      <c r="J88" s="1074"/>
      <c r="K88" s="1074"/>
      <c r="L88" s="1074"/>
      <c r="M88" s="1074"/>
      <c r="N88" s="1074"/>
      <c r="O88" s="1074"/>
      <c r="P88" s="1074"/>
      <c r="Q88" s="1074"/>
      <c r="R88" s="1074"/>
      <c r="S88" s="1074"/>
      <c r="T88" s="1074"/>
    </row>
    <row r="89" spans="1:20" s="31" customFormat="1" ht="15" customHeight="1">
      <c r="B89" s="1092" t="s">
        <v>435</v>
      </c>
      <c r="C89" s="1092"/>
      <c r="D89" s="1092"/>
      <c r="E89" s="1092"/>
      <c r="F89" s="1092"/>
      <c r="G89" s="1092"/>
      <c r="H89" s="1092"/>
      <c r="I89" s="1074" t="str">
        <f>IF(【マスター】!C100=0,"",【マスター】!C100)</f>
        <v>介護保険・社会福祉事業者総合保険</v>
      </c>
      <c r="J89" s="1074"/>
      <c r="K89" s="1074"/>
      <c r="L89" s="1074"/>
      <c r="M89" s="1074"/>
      <c r="N89" s="1074"/>
      <c r="O89" s="1074"/>
      <c r="P89" s="1074"/>
      <c r="Q89" s="1074"/>
      <c r="R89" s="1074"/>
      <c r="S89" s="1074"/>
      <c r="T89" s="1074"/>
    </row>
    <row r="90" spans="1:20" s="31" customFormat="1" ht="15" customHeight="1">
      <c r="B90" s="32"/>
      <c r="C90" s="32"/>
    </row>
    <row r="91" spans="1:20" s="31" customFormat="1" ht="15" customHeight="1">
      <c r="A91" s="31" t="s">
        <v>898</v>
      </c>
      <c r="B91" s="32"/>
      <c r="C91" s="32"/>
    </row>
    <row r="92" spans="1:20" s="31" customFormat="1" ht="45" customHeight="1">
      <c r="A92" s="1091" t="s">
        <v>899</v>
      </c>
      <c r="B92" s="1091"/>
      <c r="C92" s="1091"/>
      <c r="D92" s="1091"/>
      <c r="E92" s="1091"/>
      <c r="F92" s="1091"/>
      <c r="G92" s="1091"/>
      <c r="H92" s="1091"/>
      <c r="I92" s="1091"/>
      <c r="J92" s="1091"/>
      <c r="K92" s="1091"/>
      <c r="L92" s="1091"/>
      <c r="M92" s="1091"/>
      <c r="N92" s="1091"/>
      <c r="O92" s="1091"/>
      <c r="P92" s="1091"/>
      <c r="Q92" s="1091"/>
      <c r="R92" s="1091"/>
      <c r="S92" s="1091"/>
      <c r="T92" s="1091"/>
    </row>
    <row r="93" spans="1:20" s="31" customFormat="1" ht="15" customHeight="1">
      <c r="A93" s="232"/>
      <c r="B93" s="232"/>
      <c r="C93" s="232"/>
      <c r="D93" s="232"/>
      <c r="E93" s="232"/>
      <c r="F93" s="298"/>
      <c r="G93" s="379"/>
      <c r="H93" s="379"/>
      <c r="I93" s="379"/>
      <c r="J93" s="481"/>
      <c r="K93" s="232"/>
      <c r="L93" s="232"/>
      <c r="M93" s="232"/>
      <c r="N93" s="232"/>
      <c r="O93" s="232"/>
      <c r="P93" s="232"/>
      <c r="Q93" s="232"/>
      <c r="R93" s="232"/>
      <c r="S93" s="232"/>
      <c r="T93" s="232"/>
    </row>
    <row r="94" spans="1:20" s="31" customFormat="1" ht="15" customHeight="1">
      <c r="A94" s="31" t="s">
        <v>900</v>
      </c>
      <c r="B94" s="481"/>
      <c r="C94" s="481"/>
      <c r="D94" s="481"/>
      <c r="E94" s="481"/>
      <c r="F94" s="298"/>
      <c r="G94" s="481"/>
      <c r="H94" s="481"/>
      <c r="I94" s="481"/>
      <c r="J94" s="481"/>
      <c r="K94" s="298"/>
      <c r="L94" s="298"/>
      <c r="M94" s="298"/>
      <c r="N94" s="298"/>
      <c r="O94" s="298"/>
      <c r="P94" s="298"/>
      <c r="Q94" s="298"/>
      <c r="R94" s="298"/>
      <c r="S94" s="298"/>
      <c r="T94" s="298"/>
    </row>
    <row r="95" spans="1:20" s="31" customFormat="1" ht="15" customHeight="1">
      <c r="A95" s="1090" t="s">
        <v>439</v>
      </c>
      <c r="B95" s="1090"/>
      <c r="C95" s="1090"/>
      <c r="D95" s="1090"/>
      <c r="E95" s="1090"/>
      <c r="F95" s="1090"/>
      <c r="G95" s="1208" t="s">
        <v>440</v>
      </c>
      <c r="H95" s="1208"/>
      <c r="I95" s="1208"/>
      <c r="J95" s="1208"/>
      <c r="K95" s="1208"/>
      <c r="L95" s="1208"/>
      <c r="M95" s="1208"/>
      <c r="N95" s="1208"/>
      <c r="O95" s="1208"/>
      <c r="P95" s="1208"/>
      <c r="Q95" s="1208"/>
      <c r="R95" s="1208"/>
      <c r="S95" s="1208"/>
      <c r="T95" s="1209"/>
    </row>
    <row r="96" spans="1:20" s="31" customFormat="1" ht="15" customHeight="1">
      <c r="A96" s="1071" t="s">
        <v>441</v>
      </c>
      <c r="B96" s="1071"/>
      <c r="C96" s="1071"/>
      <c r="D96" s="1071"/>
      <c r="E96" s="1071"/>
      <c r="F96" s="1071"/>
      <c r="G96" s="1225" t="s">
        <v>442</v>
      </c>
      <c r="H96" s="1225"/>
      <c r="I96" s="1225"/>
      <c r="J96" s="1225"/>
      <c r="K96" s="1225"/>
      <c r="L96" s="1225"/>
      <c r="M96" s="1225"/>
      <c r="N96" s="1225"/>
      <c r="O96" s="1225"/>
      <c r="P96" s="1225"/>
      <c r="Q96" s="1225"/>
      <c r="R96" s="1225"/>
      <c r="S96" s="1225"/>
      <c r="T96" s="1226"/>
    </row>
    <row r="97" spans="1:21" s="31" customFormat="1" ht="15" customHeight="1">
      <c r="A97" s="1071"/>
      <c r="B97" s="1071"/>
      <c r="C97" s="1071"/>
      <c r="D97" s="1071"/>
      <c r="E97" s="1071"/>
      <c r="F97" s="1071"/>
      <c r="G97" s="1130" t="s">
        <v>288</v>
      </c>
      <c r="H97" s="1071"/>
      <c r="I97" s="1071"/>
      <c r="J97" s="1071"/>
      <c r="K97" s="1071"/>
      <c r="L97" s="1071" t="s">
        <v>289</v>
      </c>
      <c r="M97" s="1071"/>
      <c r="N97" s="1071" t="s">
        <v>288</v>
      </c>
      <c r="O97" s="1071"/>
      <c r="P97" s="1071"/>
      <c r="Q97" s="1071"/>
      <c r="R97" s="1071"/>
      <c r="S97" s="1071" t="s">
        <v>289</v>
      </c>
      <c r="T97" s="1071"/>
    </row>
    <row r="98" spans="1:21" s="31" customFormat="1" ht="15" customHeight="1">
      <c r="A98" s="1071"/>
      <c r="B98" s="1071"/>
      <c r="C98" s="1071"/>
      <c r="D98" s="1071"/>
      <c r="E98" s="1071"/>
      <c r="F98" s="1071"/>
      <c r="G98" s="1130" t="s">
        <v>290</v>
      </c>
      <c r="H98" s="1071"/>
      <c r="I98" s="1071"/>
      <c r="J98" s="1071"/>
      <c r="K98" s="1071"/>
      <c r="L98" s="1071" t="str">
        <f>DBCS(【マスター】!B94)</f>
        <v>１</v>
      </c>
      <c r="M98" s="1071"/>
      <c r="N98" s="1090" t="s">
        <v>443</v>
      </c>
      <c r="O98" s="1090"/>
      <c r="P98" s="1090"/>
      <c r="Q98" s="1090"/>
      <c r="R98" s="1090"/>
      <c r="S98" s="1071" t="str">
        <f>DBCS(【マスター】!E94)</f>
        <v>０</v>
      </c>
      <c r="T98" s="1071"/>
    </row>
    <row r="99" spans="1:21" s="31" customFormat="1" ht="15" customHeight="1">
      <c r="A99" s="1071"/>
      <c r="B99" s="1071"/>
      <c r="C99" s="1071"/>
      <c r="D99" s="1071"/>
      <c r="E99" s="1071"/>
      <c r="F99" s="1071"/>
      <c r="G99" s="1130" t="s">
        <v>292</v>
      </c>
      <c r="H99" s="1071"/>
      <c r="I99" s="1071"/>
      <c r="J99" s="1071"/>
      <c r="K99" s="1071"/>
      <c r="L99" s="1071" t="str">
        <f>DBCS(【マスター】!B95)</f>
        <v>０</v>
      </c>
      <c r="M99" s="1071"/>
      <c r="N99" s="1071" t="s">
        <v>293</v>
      </c>
      <c r="O99" s="1071"/>
      <c r="P99" s="1071"/>
      <c r="Q99" s="1071"/>
      <c r="R99" s="1071"/>
      <c r="S99" s="1071" t="str">
        <f>DBCS(【マスター】!E95)</f>
        <v>１</v>
      </c>
      <c r="T99" s="1071"/>
    </row>
    <row r="100" spans="1:21" s="31" customFormat="1" ht="15" customHeight="1">
      <c r="A100" s="1071"/>
      <c r="B100" s="1071"/>
      <c r="C100" s="1071"/>
      <c r="D100" s="1071"/>
      <c r="E100" s="1071"/>
      <c r="F100" s="1071"/>
      <c r="G100" s="1130" t="s">
        <v>444</v>
      </c>
      <c r="H100" s="1071"/>
      <c r="I100" s="1071"/>
      <c r="J100" s="1071"/>
      <c r="K100" s="1071"/>
      <c r="L100" s="1071" t="str">
        <f>DBCS(【マスター】!B96)</f>
        <v>１</v>
      </c>
      <c r="M100" s="1071"/>
      <c r="N100" s="1071" t="s">
        <v>295</v>
      </c>
      <c r="O100" s="1071"/>
      <c r="P100" s="1071"/>
      <c r="Q100" s="1071"/>
      <c r="R100" s="1071"/>
      <c r="S100" s="1071" t="str">
        <f>DBCS(【マスター】!E96)</f>
        <v>１</v>
      </c>
      <c r="T100" s="1071"/>
    </row>
    <row r="101" spans="1:21" s="31" customFormat="1" ht="15" customHeight="1">
      <c r="A101" s="1071"/>
      <c r="B101" s="1071"/>
      <c r="C101" s="1071"/>
      <c r="D101" s="1071"/>
      <c r="E101" s="1071"/>
      <c r="F101" s="1071"/>
      <c r="G101" s="1130" t="s">
        <v>296</v>
      </c>
      <c r="H101" s="1071"/>
      <c r="I101" s="1071"/>
      <c r="J101" s="1071"/>
      <c r="K101" s="1071"/>
      <c r="L101" s="1071" t="str">
        <f>DBCS(【マスター】!B97)</f>
        <v>１</v>
      </c>
      <c r="M101" s="1071"/>
      <c r="N101" s="1071"/>
      <c r="O101" s="1071"/>
      <c r="P101" s="1071"/>
      <c r="Q101" s="1071"/>
      <c r="R101" s="1071"/>
      <c r="S101" s="1071"/>
      <c r="T101" s="1071"/>
    </row>
    <row r="102" spans="1:21" s="31" customFormat="1" ht="15" customHeight="1">
      <c r="A102" s="1071"/>
      <c r="B102" s="1071"/>
      <c r="C102" s="1071"/>
      <c r="D102" s="1071"/>
      <c r="E102" s="1071"/>
      <c r="F102" s="1071"/>
      <c r="G102" s="1095" t="s">
        <v>445</v>
      </c>
      <c r="H102" s="1095"/>
      <c r="I102" s="1095"/>
      <c r="J102" s="1095"/>
      <c r="K102" s="1095"/>
      <c r="L102" s="1095"/>
      <c r="M102" s="1095"/>
      <c r="N102" s="1095"/>
      <c r="O102" s="1095"/>
      <c r="P102" s="1095"/>
      <c r="Q102" s="1095"/>
      <c r="R102" s="1095"/>
      <c r="S102" s="1095"/>
      <c r="T102" s="1096"/>
    </row>
    <row r="103" spans="1:21" s="31" customFormat="1" ht="15" customHeight="1">
      <c r="A103" s="481"/>
      <c r="B103" s="481"/>
      <c r="C103" s="481"/>
      <c r="D103" s="481"/>
      <c r="E103" s="481"/>
      <c r="F103" s="298"/>
      <c r="G103" s="481"/>
      <c r="H103" s="481"/>
      <c r="I103" s="481"/>
      <c r="J103" s="481"/>
      <c r="K103" s="298"/>
      <c r="L103" s="298"/>
      <c r="M103" s="298"/>
      <c r="N103" s="298"/>
      <c r="O103" s="298"/>
      <c r="P103" s="298"/>
      <c r="Q103" s="298"/>
      <c r="R103" s="298"/>
      <c r="S103" s="298"/>
      <c r="T103" s="298"/>
    </row>
    <row r="104" spans="1:21" s="31" customFormat="1" ht="15" customHeight="1">
      <c r="A104" s="31" t="s">
        <v>901</v>
      </c>
      <c r="B104" s="32"/>
      <c r="C104" s="32"/>
    </row>
    <row r="105" spans="1:21" s="31" customFormat="1" ht="30" customHeight="1">
      <c r="A105" s="1091" t="s">
        <v>447</v>
      </c>
      <c r="B105" s="1091"/>
      <c r="C105" s="1091"/>
      <c r="D105" s="1091"/>
      <c r="E105" s="1091"/>
      <c r="F105" s="1091"/>
      <c r="G105" s="1091"/>
      <c r="H105" s="1091"/>
      <c r="I105" s="1091"/>
      <c r="J105" s="1091"/>
      <c r="K105" s="1091"/>
      <c r="L105" s="1091"/>
      <c r="M105" s="1091"/>
      <c r="N105" s="1091"/>
      <c r="O105" s="1091"/>
      <c r="P105" s="1091"/>
      <c r="Q105" s="1091"/>
      <c r="R105" s="1091"/>
      <c r="S105" s="1091"/>
      <c r="T105" s="1091"/>
    </row>
    <row r="106" spans="1:21" s="31" customFormat="1" ht="15" customHeight="1">
      <c r="A106" s="32" t="s">
        <v>448</v>
      </c>
      <c r="B106" s="32"/>
      <c r="C106" s="32" t="s">
        <v>449</v>
      </c>
    </row>
    <row r="107" spans="1:21" s="31" customFormat="1" ht="15" customHeight="1">
      <c r="A107" s="32" t="s">
        <v>450</v>
      </c>
      <c r="B107" s="32"/>
      <c r="C107" s="32" t="s">
        <v>451</v>
      </c>
    </row>
    <row r="108" spans="1:21" s="31" customFormat="1" ht="30" customHeight="1">
      <c r="A108" s="32" t="s">
        <v>452</v>
      </c>
      <c r="B108" s="33"/>
      <c r="C108" s="1013" t="s">
        <v>453</v>
      </c>
      <c r="D108" s="1013"/>
      <c r="E108" s="1013"/>
      <c r="F108" s="1013"/>
      <c r="G108" s="1013"/>
      <c r="H108" s="1013"/>
      <c r="I108" s="1013"/>
      <c r="J108" s="1013"/>
      <c r="K108" s="1013"/>
      <c r="L108" s="1013"/>
      <c r="M108" s="1013"/>
      <c r="N108" s="1013"/>
      <c r="O108" s="1013"/>
      <c r="P108" s="1013"/>
      <c r="Q108" s="1013"/>
      <c r="R108" s="1013"/>
      <c r="S108" s="1013"/>
      <c r="T108" s="1013"/>
    </row>
    <row r="109" spans="1:21" s="31" customFormat="1" ht="15" customHeight="1">
      <c r="A109" s="32"/>
      <c r="B109" s="32"/>
      <c r="C109" s="32"/>
    </row>
    <row r="110" spans="1:21" s="31" customFormat="1" ht="15" customHeight="1">
      <c r="A110" s="31" t="s">
        <v>902</v>
      </c>
      <c r="B110" s="32"/>
      <c r="C110" s="32"/>
      <c r="U110" s="196"/>
    </row>
    <row r="111" spans="1:21" s="31" customFormat="1" ht="45" customHeight="1">
      <c r="A111" s="32" t="s">
        <v>448</v>
      </c>
      <c r="B111" s="33"/>
      <c r="C111" s="1013" t="s">
        <v>455</v>
      </c>
      <c r="D111" s="1013"/>
      <c r="E111" s="1013"/>
      <c r="F111" s="1013"/>
      <c r="G111" s="1013"/>
      <c r="H111" s="1013"/>
      <c r="I111" s="1013"/>
      <c r="J111" s="1013"/>
      <c r="K111" s="1013"/>
      <c r="L111" s="1013"/>
      <c r="M111" s="1013"/>
      <c r="N111" s="1013"/>
      <c r="O111" s="1013"/>
      <c r="P111" s="1013"/>
      <c r="Q111" s="1013"/>
      <c r="R111" s="1013"/>
      <c r="S111" s="1013"/>
      <c r="T111" s="1013"/>
      <c r="U111" s="196"/>
    </row>
    <row r="112" spans="1:21" s="31" customFormat="1" ht="60" customHeight="1">
      <c r="A112" s="32" t="s">
        <v>450</v>
      </c>
      <c r="B112" s="33"/>
      <c r="C112" s="1013" t="s">
        <v>456</v>
      </c>
      <c r="D112" s="1013"/>
      <c r="E112" s="1013"/>
      <c r="F112" s="1013"/>
      <c r="G112" s="1013"/>
      <c r="H112" s="1013"/>
      <c r="I112" s="1013"/>
      <c r="J112" s="1013"/>
      <c r="K112" s="1013"/>
      <c r="L112" s="1013"/>
      <c r="M112" s="1013"/>
      <c r="N112" s="1013"/>
      <c r="O112" s="1013"/>
      <c r="P112" s="1013"/>
      <c r="Q112" s="1013"/>
      <c r="R112" s="1013"/>
      <c r="S112" s="1013"/>
      <c r="T112" s="1013"/>
    </row>
    <row r="113" spans="1:41" s="31" customFormat="1" ht="15" customHeight="1"/>
    <row r="114" spans="1:41" s="31" customFormat="1" ht="15" customHeight="1">
      <c r="A114" s="32" t="s">
        <v>1786</v>
      </c>
      <c r="B114" s="661"/>
      <c r="C114" s="661"/>
      <c r="D114" s="661"/>
      <c r="E114" s="661"/>
      <c r="F114" s="662"/>
      <c r="G114" s="662"/>
      <c r="H114" s="662"/>
      <c r="I114" s="662"/>
      <c r="J114" s="662"/>
      <c r="K114" s="662"/>
      <c r="L114" s="662"/>
      <c r="M114" s="662"/>
      <c r="N114" s="662"/>
      <c r="O114" s="662"/>
      <c r="P114" s="662"/>
      <c r="Q114" s="662"/>
      <c r="R114" s="662"/>
      <c r="S114" s="662"/>
      <c r="T114" s="73"/>
      <c r="U114" s="196"/>
      <c r="W114" s="196"/>
      <c r="X114" s="196"/>
      <c r="Y114" s="512"/>
      <c r="Z114" s="512"/>
      <c r="AM114" s="666" t="s">
        <v>1741</v>
      </c>
    </row>
    <row r="115" spans="1:41" s="31" customFormat="1" ht="30" customHeight="1">
      <c r="A115" s="663"/>
      <c r="B115" s="1018" t="s">
        <v>1828</v>
      </c>
      <c r="C115" s="1018"/>
      <c r="D115" s="1018"/>
      <c r="E115" s="1018"/>
      <c r="F115" s="1018"/>
      <c r="G115" s="1018"/>
      <c r="H115" s="1018"/>
      <c r="I115" s="1018"/>
      <c r="J115" s="1018"/>
      <c r="K115" s="1018"/>
      <c r="L115" s="1018"/>
      <c r="M115" s="1018"/>
      <c r="N115" s="1018"/>
      <c r="O115" s="1018"/>
      <c r="P115" s="1018"/>
      <c r="Q115" s="1018"/>
      <c r="R115" s="1018"/>
      <c r="S115" s="1018"/>
      <c r="T115" s="1018"/>
      <c r="V115" s="196"/>
      <c r="W115" s="33"/>
      <c r="X115" s="33"/>
      <c r="Y115" s="33"/>
      <c r="Z115" s="33"/>
      <c r="AA115" s="33"/>
      <c r="AB115" s="33"/>
      <c r="AC115" s="33"/>
      <c r="AD115" s="33"/>
      <c r="AE115" s="33"/>
      <c r="AF115" s="33"/>
      <c r="AG115" s="33"/>
      <c r="AH115" s="33"/>
      <c r="AI115" s="33"/>
      <c r="AJ115" s="33"/>
      <c r="AK115" s="33"/>
      <c r="AL115" s="33"/>
      <c r="AM115" s="33"/>
      <c r="AN115" s="33"/>
      <c r="AO115" s="33"/>
    </row>
    <row r="116" spans="1:41" s="31" customFormat="1" ht="15" customHeight="1">
      <c r="A116" s="32" t="s">
        <v>448</v>
      </c>
      <c r="B116" s="32"/>
      <c r="C116" s="1018" t="s">
        <v>1829</v>
      </c>
      <c r="D116" s="1018"/>
      <c r="E116" s="1018"/>
      <c r="F116" s="1018"/>
      <c r="G116" s="1018"/>
      <c r="H116" s="1018"/>
      <c r="I116" s="1018"/>
      <c r="J116" s="1018"/>
      <c r="K116" s="1018"/>
      <c r="L116" s="1018"/>
      <c r="M116" s="1018"/>
      <c r="N116" s="1018"/>
      <c r="O116" s="1018"/>
      <c r="P116" s="1018"/>
      <c r="Q116" s="1018"/>
      <c r="R116" s="1018"/>
      <c r="S116" s="1018"/>
      <c r="T116" s="1018"/>
      <c r="V116" s="196"/>
      <c r="W116" s="33"/>
      <c r="X116" s="33"/>
      <c r="Y116" s="33"/>
      <c r="Z116" s="33"/>
      <c r="AA116" s="33"/>
      <c r="AB116" s="33"/>
      <c r="AC116" s="33"/>
      <c r="AD116" s="33"/>
      <c r="AE116" s="33"/>
      <c r="AF116" s="33"/>
      <c r="AG116" s="33"/>
      <c r="AH116" s="33"/>
      <c r="AI116" s="33"/>
      <c r="AJ116" s="33"/>
      <c r="AK116" s="33"/>
      <c r="AL116" s="33"/>
      <c r="AM116" s="33"/>
      <c r="AN116" s="33"/>
      <c r="AO116" s="33"/>
    </row>
    <row r="117" spans="1:41" s="31" customFormat="1" ht="15" customHeight="1">
      <c r="A117" s="663"/>
      <c r="B117" s="717"/>
      <c r="C117" s="1018"/>
      <c r="D117" s="1018"/>
      <c r="E117" s="1018"/>
      <c r="F117" s="1018"/>
      <c r="G117" s="1018"/>
      <c r="H117" s="1018"/>
      <c r="I117" s="1018"/>
      <c r="J117" s="1018"/>
      <c r="K117" s="1018"/>
      <c r="L117" s="1018"/>
      <c r="M117" s="1018"/>
      <c r="N117" s="1018"/>
      <c r="O117" s="1018"/>
      <c r="P117" s="1018"/>
      <c r="Q117" s="1018"/>
      <c r="R117" s="1018"/>
      <c r="S117" s="1018"/>
      <c r="T117" s="1018"/>
      <c r="V117" s="196"/>
      <c r="W117" s="33"/>
      <c r="X117" s="33"/>
      <c r="Y117" s="33"/>
      <c r="Z117" s="33"/>
      <c r="AA117" s="33"/>
      <c r="AB117" s="33"/>
      <c r="AC117" s="33"/>
      <c r="AD117" s="33"/>
      <c r="AE117" s="33"/>
      <c r="AF117" s="33"/>
      <c r="AG117" s="33"/>
      <c r="AH117" s="33"/>
      <c r="AI117" s="33"/>
      <c r="AJ117" s="33"/>
      <c r="AK117" s="33"/>
      <c r="AL117" s="33"/>
      <c r="AM117" s="33"/>
      <c r="AN117" s="33"/>
      <c r="AO117" s="33"/>
    </row>
    <row r="118" spans="1:41" s="31" customFormat="1" ht="15" customHeight="1">
      <c r="A118" s="663"/>
      <c r="C118" s="718" t="s">
        <v>1892</v>
      </c>
      <c r="D118" s="718"/>
      <c r="E118" s="718"/>
      <c r="F118" s="718"/>
      <c r="G118" s="718"/>
      <c r="H118" s="718"/>
      <c r="I118" s="718"/>
      <c r="J118" s="718"/>
      <c r="K118" s="718"/>
      <c r="L118" s="718"/>
      <c r="M118" s="718"/>
      <c r="N118" s="718"/>
      <c r="O118" s="718"/>
      <c r="P118" s="718"/>
      <c r="Q118" s="718"/>
      <c r="R118" s="718"/>
      <c r="S118" s="718"/>
      <c r="T118" s="713"/>
      <c r="V118" s="196"/>
      <c r="W118" s="33"/>
      <c r="X118" s="33"/>
      <c r="Y118" s="33"/>
      <c r="Z118" s="33"/>
      <c r="AA118" s="33"/>
      <c r="AB118" s="33"/>
      <c r="AC118" s="33"/>
      <c r="AD118" s="33"/>
      <c r="AE118" s="33"/>
      <c r="AF118" s="33"/>
      <c r="AG118" s="33"/>
      <c r="AH118" s="33"/>
      <c r="AI118" s="33"/>
      <c r="AJ118" s="33"/>
      <c r="AK118" s="33"/>
      <c r="AL118" s="33"/>
      <c r="AM118" s="33"/>
      <c r="AN118" s="33"/>
      <c r="AO118" s="33"/>
    </row>
    <row r="119" spans="1:41" s="31" customFormat="1" ht="15" customHeight="1">
      <c r="A119" s="663"/>
      <c r="B119" s="719"/>
      <c r="C119" s="1018" t="s">
        <v>1893</v>
      </c>
      <c r="D119" s="1018"/>
      <c r="E119" s="1018"/>
      <c r="F119" s="1018"/>
      <c r="G119" s="1018"/>
      <c r="H119" s="1018"/>
      <c r="I119" s="1018"/>
      <c r="J119" s="1018"/>
      <c r="K119" s="1018"/>
      <c r="L119" s="1018"/>
      <c r="M119" s="1018"/>
      <c r="N119" s="1018"/>
      <c r="O119" s="1018"/>
      <c r="P119" s="1018"/>
      <c r="Q119" s="1018"/>
      <c r="R119" s="1018"/>
      <c r="S119" s="1018"/>
      <c r="T119" s="1018"/>
      <c r="V119" s="196"/>
      <c r="W119" s="33"/>
      <c r="X119" s="33"/>
      <c r="Y119" s="33"/>
      <c r="Z119" s="33"/>
      <c r="AA119" s="33"/>
      <c r="AB119" s="33"/>
      <c r="AC119" s="33"/>
      <c r="AD119" s="33"/>
      <c r="AE119" s="33"/>
      <c r="AF119" s="33"/>
      <c r="AG119" s="33"/>
      <c r="AH119" s="33"/>
      <c r="AI119" s="33"/>
      <c r="AJ119" s="33"/>
      <c r="AK119" s="33"/>
      <c r="AL119" s="33"/>
      <c r="AM119" s="33"/>
      <c r="AN119" s="33"/>
      <c r="AO119" s="33"/>
    </row>
    <row r="120" spans="1:41" s="31" customFormat="1" ht="15" customHeight="1">
      <c r="A120" s="663"/>
      <c r="B120" s="719"/>
      <c r="C120" s="1018"/>
      <c r="D120" s="1018"/>
      <c r="E120" s="1018"/>
      <c r="F120" s="1018"/>
      <c r="G120" s="1018"/>
      <c r="H120" s="1018"/>
      <c r="I120" s="1018"/>
      <c r="J120" s="1018"/>
      <c r="K120" s="1018"/>
      <c r="L120" s="1018"/>
      <c r="M120" s="1018"/>
      <c r="N120" s="1018"/>
      <c r="O120" s="1018"/>
      <c r="P120" s="1018"/>
      <c r="Q120" s="1018"/>
      <c r="R120" s="1018"/>
      <c r="S120" s="1018"/>
      <c r="T120" s="1018"/>
      <c r="V120" s="196"/>
      <c r="W120" s="33"/>
      <c r="X120" s="33"/>
      <c r="Y120" s="33"/>
      <c r="Z120" s="33"/>
      <c r="AA120" s="33"/>
      <c r="AB120" s="33"/>
      <c r="AC120" s="33"/>
      <c r="AD120" s="33"/>
      <c r="AE120" s="33"/>
      <c r="AF120" s="33"/>
      <c r="AG120" s="33"/>
      <c r="AH120" s="33"/>
      <c r="AI120" s="33"/>
      <c r="AJ120" s="33"/>
      <c r="AK120" s="33"/>
      <c r="AL120" s="33"/>
      <c r="AM120" s="33"/>
      <c r="AN120" s="33"/>
      <c r="AO120" s="33"/>
    </row>
    <row r="121" spans="1:41" s="31" customFormat="1" ht="15" customHeight="1">
      <c r="A121" s="663"/>
      <c r="B121" s="719"/>
      <c r="C121" s="1018" t="s">
        <v>1894</v>
      </c>
      <c r="D121" s="1019"/>
      <c r="E121" s="1019"/>
      <c r="F121" s="1019"/>
      <c r="G121" s="1019"/>
      <c r="H121" s="1019"/>
      <c r="I121" s="1019"/>
      <c r="J121" s="1019"/>
      <c r="K121" s="1019"/>
      <c r="L121" s="1019"/>
      <c r="M121" s="1019"/>
      <c r="N121" s="1019"/>
      <c r="O121" s="1019"/>
      <c r="P121" s="1019"/>
      <c r="Q121" s="1019"/>
      <c r="R121" s="1019"/>
      <c r="S121" s="1019"/>
      <c r="T121" s="1019"/>
      <c r="V121" s="196"/>
      <c r="W121" s="33"/>
      <c r="X121" s="33"/>
      <c r="Y121" s="33"/>
      <c r="Z121" s="33"/>
      <c r="AA121" s="33"/>
      <c r="AB121" s="33"/>
      <c r="AC121" s="33"/>
      <c r="AD121" s="33"/>
      <c r="AE121" s="33"/>
      <c r="AF121" s="33"/>
      <c r="AG121" s="33"/>
      <c r="AH121" s="33"/>
      <c r="AI121" s="33"/>
      <c r="AJ121" s="33"/>
      <c r="AK121" s="33"/>
      <c r="AL121" s="33"/>
      <c r="AM121" s="33"/>
      <c r="AN121" s="33"/>
      <c r="AO121" s="33"/>
    </row>
    <row r="122" spans="1:41" s="31" customFormat="1" ht="15" customHeight="1">
      <c r="A122" s="663"/>
      <c r="B122" s="719"/>
      <c r="C122" s="1019"/>
      <c r="D122" s="1019"/>
      <c r="E122" s="1019"/>
      <c r="F122" s="1019"/>
      <c r="G122" s="1019"/>
      <c r="H122" s="1019"/>
      <c r="I122" s="1019"/>
      <c r="J122" s="1019"/>
      <c r="K122" s="1019"/>
      <c r="L122" s="1019"/>
      <c r="M122" s="1019"/>
      <c r="N122" s="1019"/>
      <c r="O122" s="1019"/>
      <c r="P122" s="1019"/>
      <c r="Q122" s="1019"/>
      <c r="R122" s="1019"/>
      <c r="S122" s="1019"/>
      <c r="T122" s="1019"/>
      <c r="V122" s="196"/>
      <c r="W122" s="33"/>
      <c r="X122" s="33"/>
      <c r="Y122" s="33"/>
      <c r="Z122" s="33"/>
      <c r="AA122" s="33"/>
      <c r="AB122" s="33"/>
      <c r="AC122" s="33"/>
      <c r="AD122" s="33"/>
      <c r="AE122" s="33"/>
      <c r="AF122" s="33"/>
      <c r="AG122" s="33"/>
      <c r="AH122" s="33"/>
      <c r="AI122" s="33"/>
      <c r="AJ122" s="33"/>
      <c r="AK122" s="33"/>
      <c r="AL122" s="33"/>
      <c r="AM122" s="33"/>
      <c r="AN122" s="33"/>
      <c r="AO122" s="33"/>
    </row>
    <row r="123" spans="1:41" s="31" customFormat="1" ht="15" customHeight="1">
      <c r="A123" s="665"/>
      <c r="B123" s="718"/>
      <c r="C123" s="1018" t="s">
        <v>1773</v>
      </c>
      <c r="D123" s="1018"/>
      <c r="E123" s="1018"/>
      <c r="F123" s="1018"/>
      <c r="G123" s="1018"/>
      <c r="H123" s="1018"/>
      <c r="I123" s="1018"/>
      <c r="J123" s="1018"/>
      <c r="K123" s="1018"/>
      <c r="L123" s="1018"/>
      <c r="M123" s="1018"/>
      <c r="N123" s="1018"/>
      <c r="O123" s="1018"/>
      <c r="P123" s="1018"/>
      <c r="Q123" s="1018"/>
      <c r="R123" s="1018"/>
      <c r="S123" s="1018"/>
      <c r="T123" s="1018"/>
      <c r="V123" s="196"/>
      <c r="W123" s="33"/>
      <c r="X123" s="33"/>
      <c r="Y123" s="33"/>
      <c r="Z123" s="33"/>
      <c r="AA123" s="33"/>
      <c r="AB123" s="33"/>
      <c r="AC123" s="33"/>
      <c r="AD123" s="33"/>
      <c r="AE123" s="33"/>
      <c r="AF123" s="33"/>
      <c r="AG123" s="33"/>
      <c r="AH123" s="33"/>
      <c r="AI123" s="33"/>
      <c r="AJ123" s="33"/>
      <c r="AK123" s="33"/>
      <c r="AL123" s="33"/>
      <c r="AM123" s="33"/>
      <c r="AN123" s="33"/>
      <c r="AO123" s="33"/>
    </row>
    <row r="124" spans="1:41" s="31" customFormat="1" ht="15" customHeight="1">
      <c r="A124" s="665"/>
      <c r="B124" s="718"/>
      <c r="C124" s="1018"/>
      <c r="D124" s="1018"/>
      <c r="E124" s="1018"/>
      <c r="F124" s="1018"/>
      <c r="G124" s="1018"/>
      <c r="H124" s="1018"/>
      <c r="I124" s="1018"/>
      <c r="J124" s="1018"/>
      <c r="K124" s="1018"/>
      <c r="L124" s="1018"/>
      <c r="M124" s="1018"/>
      <c r="N124" s="1018"/>
      <c r="O124" s="1018"/>
      <c r="P124" s="1018"/>
      <c r="Q124" s="1018"/>
      <c r="R124" s="1018"/>
      <c r="S124" s="1018"/>
      <c r="T124" s="1018"/>
      <c r="V124" s="196"/>
      <c r="W124" s="33"/>
      <c r="X124" s="33"/>
      <c r="Y124" s="33"/>
      <c r="Z124" s="33"/>
      <c r="AA124" s="33"/>
      <c r="AB124" s="33"/>
      <c r="AC124" s="33"/>
      <c r="AD124" s="33"/>
      <c r="AE124" s="33"/>
      <c r="AF124" s="33"/>
      <c r="AG124" s="33"/>
      <c r="AH124" s="33"/>
      <c r="AI124" s="33"/>
      <c r="AJ124" s="33"/>
      <c r="AK124" s="33"/>
      <c r="AL124" s="33"/>
      <c r="AM124" s="33"/>
      <c r="AN124" s="33"/>
      <c r="AO124" s="33"/>
    </row>
    <row r="125" spans="1:41" s="31" customFormat="1" ht="15" customHeight="1">
      <c r="A125" s="32" t="s">
        <v>450</v>
      </c>
      <c r="B125" s="32"/>
      <c r="C125" s="1020" t="s">
        <v>1831</v>
      </c>
      <c r="D125" s="1020"/>
      <c r="E125" s="1020"/>
      <c r="F125" s="1020"/>
      <c r="G125" s="1020"/>
      <c r="H125" s="1020"/>
      <c r="I125" s="1020"/>
      <c r="J125" s="1020"/>
      <c r="K125" s="1020"/>
      <c r="L125" s="1020"/>
      <c r="M125" s="1020"/>
      <c r="N125" s="1020"/>
      <c r="O125" s="1020"/>
      <c r="P125" s="1020"/>
      <c r="Q125" s="1020"/>
      <c r="R125" s="1020"/>
      <c r="S125" s="1020"/>
      <c r="T125" s="1020"/>
      <c r="W125" s="196"/>
      <c r="X125" s="196"/>
      <c r="Y125" s="512"/>
      <c r="Z125" s="512"/>
    </row>
    <row r="126" spans="1:41" s="31" customFormat="1" ht="15" customHeight="1">
      <c r="A126" s="32"/>
      <c r="B126" s="664"/>
      <c r="C126" s="1020"/>
      <c r="D126" s="1020"/>
      <c r="E126" s="1020"/>
      <c r="F126" s="1020"/>
      <c r="G126" s="1020"/>
      <c r="H126" s="1020"/>
      <c r="I126" s="1020"/>
      <c r="J126" s="1020"/>
      <c r="K126" s="1020"/>
      <c r="L126" s="1020"/>
      <c r="M126" s="1020"/>
      <c r="N126" s="1020"/>
      <c r="O126" s="1020"/>
      <c r="P126" s="1020"/>
      <c r="Q126" s="1020"/>
      <c r="R126" s="1020"/>
      <c r="S126" s="1020"/>
      <c r="T126" s="1020"/>
      <c r="W126" s="196"/>
      <c r="X126" s="196"/>
      <c r="Y126" s="512"/>
      <c r="Z126" s="512"/>
    </row>
    <row r="127" spans="1:41" s="31" customFormat="1" ht="15" customHeight="1">
      <c r="A127" s="32" t="s">
        <v>452</v>
      </c>
      <c r="B127" s="32"/>
      <c r="C127" s="1020" t="s">
        <v>1775</v>
      </c>
      <c r="D127" s="1020"/>
      <c r="E127" s="1020"/>
      <c r="F127" s="1020"/>
      <c r="G127" s="1020"/>
      <c r="H127" s="1020"/>
      <c r="I127" s="1020"/>
      <c r="J127" s="1020"/>
      <c r="K127" s="1020"/>
      <c r="L127" s="1020"/>
      <c r="M127" s="1020"/>
      <c r="N127" s="1020"/>
      <c r="O127" s="1020"/>
      <c r="P127" s="1020"/>
      <c r="Q127" s="1020"/>
      <c r="R127" s="1020"/>
      <c r="S127" s="1020"/>
      <c r="T127" s="1020"/>
      <c r="W127" s="196"/>
      <c r="X127" s="196"/>
      <c r="Y127" s="512"/>
      <c r="Z127" s="512"/>
    </row>
    <row r="128" spans="1:41" s="31" customFormat="1" ht="15" customHeight="1">
      <c r="A128" s="32"/>
      <c r="B128" s="664"/>
      <c r="C128" s="1020"/>
      <c r="D128" s="1020"/>
      <c r="E128" s="1020"/>
      <c r="F128" s="1020"/>
      <c r="G128" s="1020"/>
      <c r="H128" s="1020"/>
      <c r="I128" s="1020"/>
      <c r="J128" s="1020"/>
      <c r="K128" s="1020"/>
      <c r="L128" s="1020"/>
      <c r="M128" s="1020"/>
      <c r="N128" s="1020"/>
      <c r="O128" s="1020"/>
      <c r="P128" s="1020"/>
      <c r="Q128" s="1020"/>
      <c r="R128" s="1020"/>
      <c r="S128" s="1020"/>
      <c r="T128" s="1020"/>
      <c r="W128" s="196"/>
      <c r="X128" s="196"/>
      <c r="Y128" s="512"/>
      <c r="Z128" s="512"/>
    </row>
    <row r="129" spans="1:41" s="31" customFormat="1" ht="15" customHeight="1">
      <c r="A129" s="32"/>
      <c r="B129" s="664"/>
      <c r="C129" s="1020"/>
      <c r="D129" s="1020"/>
      <c r="E129" s="1020"/>
      <c r="F129" s="1020"/>
      <c r="G129" s="1020"/>
      <c r="H129" s="1020"/>
      <c r="I129" s="1020"/>
      <c r="J129" s="1020"/>
      <c r="K129" s="1020"/>
      <c r="L129" s="1020"/>
      <c r="M129" s="1020"/>
      <c r="N129" s="1020"/>
      <c r="O129" s="1020"/>
      <c r="P129" s="1020"/>
      <c r="Q129" s="1020"/>
      <c r="R129" s="1020"/>
      <c r="S129" s="1020"/>
      <c r="T129" s="1020"/>
      <c r="W129" s="196"/>
      <c r="X129" s="196"/>
      <c r="Y129" s="512"/>
      <c r="Z129" s="512"/>
    </row>
    <row r="130" spans="1:41" s="31" customFormat="1" ht="15" customHeight="1">
      <c r="A130" s="32" t="s">
        <v>476</v>
      </c>
      <c r="B130" s="32"/>
      <c r="C130" s="1018" t="s">
        <v>1774</v>
      </c>
      <c r="D130" s="1018"/>
      <c r="E130" s="1018"/>
      <c r="F130" s="1018"/>
      <c r="G130" s="1018"/>
      <c r="H130" s="1018"/>
      <c r="I130" s="1018"/>
      <c r="J130" s="1018"/>
      <c r="K130" s="1018"/>
      <c r="L130" s="1018"/>
      <c r="M130" s="1018"/>
      <c r="N130" s="1018"/>
      <c r="O130" s="1018"/>
      <c r="P130" s="1018"/>
      <c r="Q130" s="1018"/>
      <c r="R130" s="1018"/>
      <c r="S130" s="1018"/>
      <c r="T130" s="1018"/>
      <c r="V130" s="196"/>
      <c r="W130" s="33"/>
      <c r="X130" s="33"/>
      <c r="Y130" s="33"/>
      <c r="Z130" s="33"/>
      <c r="AA130" s="33"/>
      <c r="AB130" s="33"/>
      <c r="AC130" s="33"/>
      <c r="AD130" s="33"/>
      <c r="AE130" s="33"/>
      <c r="AF130" s="33"/>
      <c r="AG130" s="33"/>
      <c r="AH130" s="33"/>
      <c r="AI130" s="33"/>
      <c r="AJ130" s="33"/>
      <c r="AK130" s="33"/>
      <c r="AL130" s="33"/>
      <c r="AM130" s="33"/>
      <c r="AN130" s="33"/>
      <c r="AO130" s="33"/>
    </row>
    <row r="131" spans="1:41" s="31" customFormat="1" ht="15" customHeight="1">
      <c r="A131" s="665"/>
      <c r="B131" s="718"/>
      <c r="C131" s="1018"/>
      <c r="D131" s="1018"/>
      <c r="E131" s="1018"/>
      <c r="F131" s="1018"/>
      <c r="G131" s="1018"/>
      <c r="H131" s="1018"/>
      <c r="I131" s="1018"/>
      <c r="J131" s="1018"/>
      <c r="K131" s="1018"/>
      <c r="L131" s="1018"/>
      <c r="M131" s="1018"/>
      <c r="N131" s="1018"/>
      <c r="O131" s="1018"/>
      <c r="P131" s="1018"/>
      <c r="Q131" s="1018"/>
      <c r="R131" s="1018"/>
      <c r="S131" s="1018"/>
      <c r="T131" s="1018"/>
      <c r="V131" s="196"/>
      <c r="W131" s="33"/>
      <c r="X131" s="33"/>
      <c r="Y131" s="33"/>
      <c r="Z131" s="33"/>
      <c r="AA131" s="33"/>
      <c r="AB131" s="33"/>
      <c r="AC131" s="33"/>
      <c r="AD131" s="33"/>
      <c r="AE131" s="33"/>
      <c r="AF131" s="33"/>
      <c r="AG131" s="33"/>
      <c r="AH131" s="33"/>
      <c r="AI131" s="33"/>
      <c r="AJ131" s="33"/>
      <c r="AK131" s="33"/>
      <c r="AL131" s="33"/>
      <c r="AM131" s="33"/>
      <c r="AN131" s="33"/>
      <c r="AO131" s="33"/>
    </row>
    <row r="132" spans="1:41" s="31" customFormat="1" ht="15" customHeight="1">
      <c r="A132" s="665"/>
      <c r="B132" s="718"/>
      <c r="C132" s="718"/>
      <c r="D132" s="718"/>
      <c r="E132" s="718"/>
      <c r="F132" s="718"/>
      <c r="G132" s="718"/>
      <c r="H132" s="718"/>
      <c r="I132" s="718"/>
      <c r="J132" s="718"/>
      <c r="K132" s="718"/>
      <c r="L132" s="718"/>
      <c r="M132" s="718"/>
      <c r="N132" s="718"/>
      <c r="O132" s="718"/>
      <c r="P132" s="718"/>
      <c r="Q132" s="718"/>
      <c r="R132" s="718"/>
      <c r="S132" s="718"/>
      <c r="T132" s="713"/>
      <c r="V132" s="196"/>
      <c r="W132" s="33"/>
      <c r="X132" s="33"/>
      <c r="Y132" s="33"/>
      <c r="Z132" s="33"/>
      <c r="AA132" s="33"/>
      <c r="AB132" s="33"/>
      <c r="AC132" s="33"/>
      <c r="AD132" s="33"/>
      <c r="AE132" s="33"/>
      <c r="AF132" s="33"/>
      <c r="AG132" s="33"/>
      <c r="AH132" s="33"/>
      <c r="AI132" s="33"/>
      <c r="AJ132" s="33"/>
      <c r="AK132" s="33"/>
      <c r="AL132" s="33"/>
      <c r="AM132" s="33"/>
      <c r="AN132" s="33"/>
      <c r="AO132" s="33"/>
    </row>
    <row r="133" spans="1:41" s="31" customFormat="1" ht="15" customHeight="1">
      <c r="A133" s="31" t="s">
        <v>457</v>
      </c>
      <c r="B133" s="32"/>
      <c r="C133" s="32"/>
    </row>
    <row r="134" spans="1:41" s="31" customFormat="1" ht="15" customHeight="1">
      <c r="B134" s="40" t="s">
        <v>75</v>
      </c>
      <c r="C134" s="32" t="s">
        <v>458</v>
      </c>
    </row>
    <row r="135" spans="1:41" s="31" customFormat="1" ht="30" customHeight="1">
      <c r="B135" s="40" t="s">
        <v>75</v>
      </c>
      <c r="C135" s="1093" t="s">
        <v>459</v>
      </c>
      <c r="D135" s="1093"/>
      <c r="E135" s="1093"/>
      <c r="F135" s="1093"/>
      <c r="G135" s="1093"/>
      <c r="H135" s="1093"/>
      <c r="I135" s="1093"/>
      <c r="J135" s="1093"/>
      <c r="K135" s="1093"/>
      <c r="L135" s="1093"/>
      <c r="M135" s="1093"/>
      <c r="N135" s="1093"/>
      <c r="O135" s="1093"/>
      <c r="P135" s="1093"/>
      <c r="Q135" s="1093"/>
      <c r="R135" s="1093"/>
      <c r="S135" s="1093"/>
      <c r="T135" s="1093"/>
    </row>
    <row r="136" spans="1:41" s="31" customFormat="1" ht="15" customHeight="1">
      <c r="B136" s="40" t="s">
        <v>75</v>
      </c>
      <c r="C136" s="32" t="s">
        <v>460</v>
      </c>
    </row>
    <row r="137" spans="1:41" s="31" customFormat="1" ht="15" customHeight="1">
      <c r="B137" s="40" t="s">
        <v>75</v>
      </c>
      <c r="C137" s="32" t="s">
        <v>461</v>
      </c>
    </row>
    <row r="138" spans="1:41" s="31" customFormat="1" ht="15" customHeight="1">
      <c r="B138" s="40" t="s">
        <v>75</v>
      </c>
      <c r="C138" s="32" t="s">
        <v>462</v>
      </c>
    </row>
    <row r="139" spans="1:41" s="31" customFormat="1" ht="15" customHeight="1">
      <c r="B139" s="40" t="s">
        <v>75</v>
      </c>
      <c r="C139" s="1093" t="s">
        <v>463</v>
      </c>
      <c r="D139" s="1093"/>
      <c r="E139" s="1093"/>
      <c r="F139" s="1093"/>
      <c r="G139" s="1093"/>
      <c r="H139" s="1093"/>
      <c r="I139" s="1093"/>
      <c r="J139" s="1093"/>
      <c r="K139" s="1093"/>
      <c r="L139" s="1093"/>
      <c r="M139" s="1093"/>
      <c r="N139" s="1093"/>
      <c r="O139" s="1093"/>
      <c r="P139" s="1093"/>
      <c r="Q139" s="1093"/>
      <c r="R139" s="1093"/>
      <c r="S139" s="1093"/>
      <c r="T139" s="1093"/>
    </row>
    <row r="140" spans="1:41" s="31" customFormat="1" ht="30" customHeight="1">
      <c r="B140" s="40" t="s">
        <v>75</v>
      </c>
      <c r="C140" s="1093" t="s">
        <v>464</v>
      </c>
      <c r="D140" s="1093"/>
      <c r="E140" s="1093"/>
      <c r="F140" s="1093"/>
      <c r="G140" s="1093"/>
      <c r="H140" s="1093"/>
      <c r="I140" s="1093"/>
      <c r="J140" s="1093"/>
      <c r="K140" s="1093"/>
      <c r="L140" s="1093"/>
      <c r="M140" s="1093"/>
      <c r="N140" s="1093"/>
      <c r="O140" s="1093"/>
      <c r="P140" s="1093"/>
      <c r="Q140" s="1093"/>
      <c r="R140" s="1093"/>
      <c r="S140" s="1093"/>
      <c r="T140" s="1093"/>
      <c r="U140" s="196"/>
    </row>
    <row r="141" spans="1:41" s="31" customFormat="1" ht="15" customHeight="1"/>
    <row r="142" spans="1:41" s="31" customFormat="1" ht="15" customHeight="1">
      <c r="A142" s="31" t="s">
        <v>465</v>
      </c>
      <c r="B142" s="32"/>
      <c r="C142" s="32"/>
    </row>
    <row r="143" spans="1:41" s="31" customFormat="1" ht="15" customHeight="1">
      <c r="A143" s="32" t="s">
        <v>448</v>
      </c>
      <c r="B143" s="32"/>
      <c r="C143" s="32" t="s">
        <v>466</v>
      </c>
      <c r="D143" s="34"/>
      <c r="E143" s="34"/>
      <c r="F143" s="34"/>
      <c r="G143" s="34"/>
      <c r="H143" s="34"/>
      <c r="I143" s="34"/>
      <c r="J143" s="34"/>
      <c r="K143" s="34"/>
      <c r="L143" s="34"/>
      <c r="M143" s="34"/>
      <c r="N143" s="34"/>
      <c r="O143" s="34"/>
      <c r="P143" s="34"/>
      <c r="Q143" s="34"/>
      <c r="R143" s="34"/>
      <c r="S143" s="34"/>
      <c r="T143" s="34"/>
    </row>
    <row r="144" spans="1:41" s="31" customFormat="1" ht="30" customHeight="1">
      <c r="B144" s="163" t="s">
        <v>393</v>
      </c>
      <c r="C144" s="1013" t="s">
        <v>467</v>
      </c>
      <c r="D144" s="1013"/>
      <c r="E144" s="1013"/>
      <c r="F144" s="1013"/>
      <c r="G144" s="1013"/>
      <c r="H144" s="1013"/>
      <c r="I144" s="1013"/>
      <c r="J144" s="1013"/>
      <c r="K144" s="1013"/>
      <c r="L144" s="1013"/>
      <c r="M144" s="1013"/>
      <c r="N144" s="1013"/>
      <c r="O144" s="1013"/>
      <c r="P144" s="1013"/>
      <c r="Q144" s="1013"/>
      <c r="R144" s="1013"/>
      <c r="S144" s="1013"/>
      <c r="T144" s="1013"/>
    </row>
    <row r="145" spans="1:20" s="31" customFormat="1" ht="30" customHeight="1">
      <c r="B145" s="162" t="s">
        <v>395</v>
      </c>
      <c r="C145" s="1013" t="s">
        <v>468</v>
      </c>
      <c r="D145" s="1013"/>
      <c r="E145" s="1013"/>
      <c r="F145" s="1013"/>
      <c r="G145" s="1013"/>
      <c r="H145" s="1013"/>
      <c r="I145" s="1013"/>
      <c r="J145" s="1013"/>
      <c r="K145" s="1013"/>
      <c r="L145" s="1013"/>
      <c r="M145" s="1013"/>
      <c r="N145" s="1013"/>
      <c r="O145" s="1013"/>
      <c r="P145" s="1013"/>
      <c r="Q145" s="1013"/>
      <c r="R145" s="1013"/>
      <c r="S145" s="1013"/>
      <c r="T145" s="1013"/>
    </row>
    <row r="146" spans="1:20" s="31" customFormat="1" ht="15" customHeight="1">
      <c r="B146" s="162" t="s">
        <v>397</v>
      </c>
      <c r="C146" s="1013" t="s">
        <v>469</v>
      </c>
      <c r="D146" s="1013"/>
      <c r="E146" s="1013"/>
      <c r="F146" s="1013"/>
      <c r="G146" s="1013"/>
      <c r="H146" s="1013"/>
      <c r="I146" s="1013"/>
      <c r="J146" s="1013"/>
      <c r="K146" s="1013"/>
      <c r="L146" s="1013"/>
      <c r="M146" s="1013"/>
      <c r="N146" s="1013"/>
      <c r="O146" s="1013"/>
      <c r="P146" s="1013"/>
      <c r="Q146" s="1013"/>
      <c r="R146" s="1013"/>
      <c r="S146" s="1013"/>
      <c r="T146" s="1013"/>
    </row>
    <row r="147" spans="1:20" s="31" customFormat="1" ht="15" customHeight="1">
      <c r="A147" s="33"/>
      <c r="B147" s="33"/>
      <c r="C147" s="1013"/>
      <c r="D147" s="1013"/>
      <c r="E147" s="1013"/>
      <c r="F147" s="1013"/>
      <c r="G147" s="1013"/>
      <c r="H147" s="1013"/>
      <c r="I147" s="1013"/>
      <c r="J147" s="1013"/>
      <c r="K147" s="1013"/>
      <c r="L147" s="1013"/>
      <c r="M147" s="1013"/>
      <c r="N147" s="1013"/>
      <c r="O147" s="1013"/>
      <c r="P147" s="1013"/>
      <c r="Q147" s="1013"/>
      <c r="R147" s="1013"/>
      <c r="S147" s="1013"/>
      <c r="T147" s="1013"/>
    </row>
    <row r="148" spans="1:20" s="31" customFormat="1" ht="15" customHeight="1">
      <c r="A148" s="33"/>
      <c r="B148" s="33"/>
      <c r="C148" s="1013"/>
      <c r="D148" s="1013"/>
      <c r="E148" s="1013"/>
      <c r="F148" s="1013"/>
      <c r="G148" s="1013"/>
      <c r="H148" s="1013"/>
      <c r="I148" s="1013"/>
      <c r="J148" s="1013"/>
      <c r="K148" s="1013"/>
      <c r="L148" s="1013"/>
      <c r="M148" s="1013"/>
      <c r="N148" s="1013"/>
      <c r="O148" s="1013"/>
      <c r="P148" s="1013"/>
      <c r="Q148" s="1013"/>
      <c r="R148" s="1013"/>
      <c r="S148" s="1013"/>
      <c r="T148" s="1013"/>
    </row>
    <row r="149" spans="1:20" s="31" customFormat="1" ht="15" customHeight="1">
      <c r="A149" s="32" t="s">
        <v>450</v>
      </c>
      <c r="B149" s="32"/>
      <c r="C149" s="32" t="s">
        <v>470</v>
      </c>
    </row>
    <row r="150" spans="1:20" s="31" customFormat="1" ht="60" customHeight="1">
      <c r="B150" s="1013" t="s">
        <v>471</v>
      </c>
      <c r="C150" s="1013"/>
      <c r="D150" s="1013"/>
      <c r="E150" s="1013"/>
      <c r="F150" s="1013"/>
      <c r="G150" s="1013"/>
      <c r="H150" s="1013"/>
      <c r="I150" s="1013"/>
      <c r="J150" s="1013"/>
      <c r="K150" s="1013"/>
      <c r="L150" s="1013"/>
      <c r="M150" s="1013"/>
      <c r="N150" s="1013"/>
      <c r="O150" s="1013"/>
      <c r="P150" s="1013"/>
      <c r="Q150" s="1013"/>
      <c r="R150" s="1013"/>
      <c r="S150" s="1013"/>
      <c r="T150" s="1013"/>
    </row>
    <row r="151" spans="1:20" s="31" customFormat="1" ht="15" customHeight="1">
      <c r="A151" s="32" t="s">
        <v>452</v>
      </c>
      <c r="B151" s="32"/>
      <c r="C151" s="32" t="s">
        <v>472</v>
      </c>
    </row>
    <row r="152" spans="1:20" s="31" customFormat="1" ht="30" customHeight="1">
      <c r="B152" s="163" t="s">
        <v>393</v>
      </c>
      <c r="C152" s="1093" t="s">
        <v>473</v>
      </c>
      <c r="D152" s="1093"/>
      <c r="E152" s="1093"/>
      <c r="F152" s="1093"/>
      <c r="G152" s="1093"/>
      <c r="H152" s="1093"/>
      <c r="I152" s="1093"/>
      <c r="J152" s="1093"/>
      <c r="K152" s="1093"/>
      <c r="L152" s="1093"/>
      <c r="M152" s="1093"/>
      <c r="N152" s="1093"/>
      <c r="O152" s="1093"/>
      <c r="P152" s="1093"/>
      <c r="Q152" s="1093"/>
      <c r="R152" s="1093"/>
      <c r="S152" s="1093"/>
      <c r="T152" s="1093"/>
    </row>
    <row r="153" spans="1:20" s="31" customFormat="1" ht="15" customHeight="1">
      <c r="B153" s="162" t="s">
        <v>395</v>
      </c>
      <c r="C153" s="1093" t="s">
        <v>474</v>
      </c>
      <c r="D153" s="1093"/>
      <c r="E153" s="1093"/>
      <c r="F153" s="1093"/>
      <c r="G153" s="1093"/>
      <c r="H153" s="1093"/>
      <c r="I153" s="1093"/>
      <c r="J153" s="1093"/>
      <c r="K153" s="1093"/>
      <c r="L153" s="1093"/>
      <c r="M153" s="1093"/>
      <c r="N153" s="1093"/>
      <c r="O153" s="1093"/>
      <c r="P153" s="1093"/>
      <c r="Q153" s="1093"/>
      <c r="R153" s="1093"/>
      <c r="S153" s="1093"/>
      <c r="T153" s="1093"/>
    </row>
    <row r="154" spans="1:20" s="31" customFormat="1" ht="60" customHeight="1">
      <c r="B154" s="162" t="s">
        <v>397</v>
      </c>
      <c r="C154" s="1093" t="s">
        <v>475</v>
      </c>
      <c r="D154" s="1093"/>
      <c r="E154" s="1093"/>
      <c r="F154" s="1093"/>
      <c r="G154" s="1093"/>
      <c r="H154" s="1093"/>
      <c r="I154" s="1093"/>
      <c r="J154" s="1093"/>
      <c r="K154" s="1093"/>
      <c r="L154" s="1093"/>
      <c r="M154" s="1093"/>
      <c r="N154" s="1093"/>
      <c r="O154" s="1093"/>
      <c r="P154" s="1093"/>
      <c r="Q154" s="1093"/>
      <c r="R154" s="1093"/>
      <c r="S154" s="1093"/>
      <c r="T154" s="1093"/>
    </row>
    <row r="155" spans="1:20" s="31" customFormat="1" ht="15" customHeight="1">
      <c r="A155" s="32" t="s">
        <v>476</v>
      </c>
      <c r="B155" s="32"/>
      <c r="C155" s="32" t="s">
        <v>477</v>
      </c>
    </row>
    <row r="156" spans="1:20" s="31" customFormat="1" ht="30" customHeight="1">
      <c r="B156" s="163" t="s">
        <v>393</v>
      </c>
      <c r="C156" s="1093" t="s">
        <v>478</v>
      </c>
      <c r="D156" s="1093"/>
      <c r="E156" s="1093"/>
      <c r="F156" s="1093"/>
      <c r="G156" s="1093"/>
      <c r="H156" s="1093"/>
      <c r="I156" s="1093"/>
      <c r="J156" s="1093"/>
      <c r="K156" s="1093"/>
      <c r="L156" s="1093"/>
      <c r="M156" s="1093"/>
      <c r="N156" s="1093"/>
      <c r="O156" s="1093"/>
      <c r="P156" s="1093"/>
      <c r="Q156" s="1093"/>
      <c r="R156" s="1093"/>
      <c r="S156" s="1093"/>
      <c r="T156" s="1093"/>
    </row>
    <row r="157" spans="1:20" s="31" customFormat="1" ht="30" customHeight="1">
      <c r="B157" s="162" t="s">
        <v>395</v>
      </c>
      <c r="C157" s="1093" t="s">
        <v>479</v>
      </c>
      <c r="D157" s="1093"/>
      <c r="E157" s="1093"/>
      <c r="F157" s="1093"/>
      <c r="G157" s="1093"/>
      <c r="H157" s="1093"/>
      <c r="I157" s="1093"/>
      <c r="J157" s="1093"/>
      <c r="K157" s="1093"/>
      <c r="L157" s="1093"/>
      <c r="M157" s="1093"/>
      <c r="N157" s="1093"/>
      <c r="O157" s="1093"/>
      <c r="P157" s="1093"/>
      <c r="Q157" s="1093"/>
      <c r="R157" s="1093"/>
      <c r="S157" s="1093"/>
      <c r="T157" s="1093"/>
    </row>
    <row r="158" spans="1:20" s="31" customFormat="1" ht="15" customHeight="1">
      <c r="A158" s="32" t="s">
        <v>480</v>
      </c>
      <c r="B158" s="32"/>
      <c r="C158" s="32" t="s">
        <v>481</v>
      </c>
    </row>
    <row r="159" spans="1:20" s="31" customFormat="1" ht="30" customHeight="1">
      <c r="B159" s="1093" t="s">
        <v>482</v>
      </c>
      <c r="C159" s="1093"/>
      <c r="D159" s="1093"/>
      <c r="E159" s="1093"/>
      <c r="F159" s="1093"/>
      <c r="G159" s="1093"/>
      <c r="H159" s="1093"/>
      <c r="I159" s="1093"/>
      <c r="J159" s="1093"/>
      <c r="K159" s="1093"/>
      <c r="L159" s="1093"/>
      <c r="M159" s="1093"/>
      <c r="N159" s="1093"/>
      <c r="O159" s="1093"/>
      <c r="P159" s="1093"/>
      <c r="Q159" s="1093"/>
      <c r="R159" s="1093"/>
      <c r="S159" s="1093"/>
      <c r="T159" s="1093"/>
    </row>
    <row r="160" spans="1:20" s="31" customFormat="1" ht="15" customHeight="1">
      <c r="A160" s="32" t="s">
        <v>483</v>
      </c>
      <c r="B160" s="32"/>
      <c r="C160" s="32" t="s">
        <v>484</v>
      </c>
      <c r="L160" s="164"/>
      <c r="M160" s="164"/>
      <c r="N160" s="164"/>
      <c r="O160" s="164"/>
      <c r="P160" s="164"/>
      <c r="Q160" s="164"/>
      <c r="R160" s="164"/>
      <c r="S160" s="164"/>
    </row>
    <row r="161" spans="1:20" s="31" customFormat="1" ht="30" customHeight="1">
      <c r="B161" s="163"/>
      <c r="C161" s="1093" t="s">
        <v>485</v>
      </c>
      <c r="D161" s="1093"/>
      <c r="E161" s="1093"/>
      <c r="F161" s="1093"/>
      <c r="G161" s="1093"/>
      <c r="H161" s="1093"/>
      <c r="I161" s="1093"/>
      <c r="J161" s="1093"/>
      <c r="K161" s="1093"/>
      <c r="L161" s="1093"/>
      <c r="M161" s="1093"/>
      <c r="N161" s="1093"/>
      <c r="O161" s="1093"/>
      <c r="P161" s="1093"/>
      <c r="Q161" s="1093"/>
      <c r="R161" s="1093"/>
      <c r="S161" s="1093"/>
      <c r="T161" s="1093"/>
    </row>
    <row r="162" spans="1:20" s="31" customFormat="1" ht="15" customHeight="1">
      <c r="A162" s="32" t="s">
        <v>486</v>
      </c>
      <c r="B162" s="32"/>
      <c r="C162" s="32" t="s">
        <v>487</v>
      </c>
    </row>
    <row r="163" spans="1:20" s="31" customFormat="1" ht="15" customHeight="1">
      <c r="A163" s="31" t="s">
        <v>488</v>
      </c>
      <c r="B163" s="32"/>
      <c r="C163" s="32"/>
    </row>
    <row r="164" spans="1:20" s="31" customFormat="1" ht="30" customHeight="1">
      <c r="A164" s="50"/>
      <c r="B164" s="163" t="s">
        <v>393</v>
      </c>
      <c r="C164" s="1093" t="s">
        <v>903</v>
      </c>
      <c r="D164" s="1093"/>
      <c r="E164" s="1093"/>
      <c r="F164" s="1093"/>
      <c r="G164" s="1093"/>
      <c r="H164" s="1093"/>
      <c r="I164" s="1093"/>
      <c r="J164" s="1093"/>
      <c r="K164" s="1093"/>
      <c r="L164" s="1093"/>
      <c r="M164" s="1093"/>
      <c r="N164" s="1093"/>
      <c r="O164" s="1093"/>
      <c r="P164" s="1093"/>
      <c r="Q164" s="1093"/>
      <c r="R164" s="1093"/>
      <c r="S164" s="1093"/>
      <c r="T164" s="1093"/>
    </row>
    <row r="165" spans="1:20" s="31" customFormat="1" ht="30" customHeight="1">
      <c r="A165" s="33"/>
      <c r="B165" s="162" t="s">
        <v>395</v>
      </c>
      <c r="C165" s="1013" t="s">
        <v>490</v>
      </c>
      <c r="D165" s="1013"/>
      <c r="E165" s="1013"/>
      <c r="F165" s="1013"/>
      <c r="G165" s="1013"/>
      <c r="H165" s="1013"/>
      <c r="I165" s="1013"/>
      <c r="J165" s="1013"/>
      <c r="K165" s="1013"/>
      <c r="L165" s="1013"/>
      <c r="M165" s="1013"/>
      <c r="N165" s="1013"/>
      <c r="O165" s="1013"/>
      <c r="P165" s="1013"/>
      <c r="Q165" s="1013"/>
      <c r="R165" s="1013"/>
      <c r="S165" s="1013"/>
      <c r="T165" s="1013"/>
    </row>
    <row r="166" spans="1:20" s="31" customFormat="1" ht="15" customHeight="1">
      <c r="A166" s="50"/>
      <c r="B166" s="162" t="s">
        <v>397</v>
      </c>
      <c r="C166" s="161" t="s">
        <v>491</v>
      </c>
      <c r="D166" s="50"/>
      <c r="E166" s="50"/>
      <c r="F166" s="50"/>
      <c r="G166" s="50"/>
      <c r="H166" s="50"/>
      <c r="I166" s="50"/>
      <c r="J166" s="50"/>
      <c r="K166" s="50"/>
      <c r="L166" s="50"/>
      <c r="M166" s="50"/>
      <c r="N166" s="50"/>
      <c r="O166" s="50"/>
      <c r="P166" s="50"/>
      <c r="Q166" s="50"/>
      <c r="R166" s="50"/>
      <c r="S166" s="50"/>
      <c r="T166" s="50"/>
    </row>
    <row r="167" spans="1:20" s="31" customFormat="1" ht="15" customHeight="1">
      <c r="A167" s="50"/>
      <c r="B167" s="162" t="s">
        <v>399</v>
      </c>
      <c r="C167" s="161" t="s">
        <v>492</v>
      </c>
      <c r="D167" s="50"/>
      <c r="E167" s="50"/>
      <c r="F167" s="50"/>
      <c r="G167" s="50"/>
      <c r="H167" s="50"/>
      <c r="I167" s="50"/>
      <c r="J167" s="50"/>
      <c r="K167" s="50"/>
      <c r="L167" s="50"/>
      <c r="M167" s="50"/>
      <c r="N167" s="50"/>
      <c r="O167" s="50"/>
      <c r="P167" s="50"/>
      <c r="Q167" s="50"/>
      <c r="R167" s="50"/>
      <c r="S167" s="50"/>
      <c r="T167" s="50"/>
    </row>
    <row r="168" spans="1:20" s="31" customFormat="1" ht="15" customHeight="1">
      <c r="A168" s="50"/>
      <c r="B168" s="162" t="s">
        <v>401</v>
      </c>
      <c r="C168" s="32" t="s">
        <v>493</v>
      </c>
    </row>
    <row r="169" spans="1:20" s="31" customFormat="1" ht="15" customHeight="1">
      <c r="A169" s="50"/>
      <c r="B169" s="162" t="s">
        <v>403</v>
      </c>
      <c r="C169" s="32" t="s">
        <v>494</v>
      </c>
    </row>
    <row r="170" spans="1:20" s="31" customFormat="1" ht="15" customHeight="1">
      <c r="A170" s="50"/>
      <c r="B170" s="162" t="s">
        <v>495</v>
      </c>
      <c r="C170" s="161" t="s">
        <v>496</v>
      </c>
      <c r="D170" s="50"/>
      <c r="E170" s="50"/>
      <c r="F170" s="50"/>
      <c r="G170" s="50"/>
      <c r="H170" s="50"/>
      <c r="I170" s="50"/>
      <c r="J170" s="50"/>
      <c r="K170" s="50"/>
      <c r="L170" s="50"/>
      <c r="M170" s="50"/>
      <c r="N170" s="50"/>
      <c r="O170" s="50"/>
      <c r="P170" s="50"/>
      <c r="Q170" s="50"/>
      <c r="R170" s="50"/>
      <c r="S170" s="50"/>
      <c r="T170" s="50"/>
    </row>
    <row r="171" spans="1:20" s="31" customFormat="1" ht="15" customHeight="1">
      <c r="A171" s="50"/>
      <c r="B171" s="162" t="s">
        <v>497</v>
      </c>
      <c r="C171" s="32" t="s">
        <v>498</v>
      </c>
    </row>
    <row r="172" spans="1:20" s="31" customFormat="1" ht="15" customHeight="1">
      <c r="B172" s="32"/>
      <c r="C172" s="32"/>
    </row>
    <row r="173" spans="1:20" s="31" customFormat="1" ht="15" customHeight="1">
      <c r="A173" s="1026" t="s">
        <v>500</v>
      </c>
      <c r="B173" s="1026"/>
      <c r="C173" s="1026"/>
      <c r="D173" s="1026"/>
      <c r="E173" s="1026"/>
      <c r="F173" s="1026"/>
      <c r="G173" s="1026"/>
      <c r="H173" s="1026"/>
      <c r="I173" s="1026"/>
      <c r="J173" s="1026"/>
      <c r="K173" s="1026"/>
      <c r="L173" s="1026"/>
      <c r="M173" s="1026"/>
      <c r="N173" s="1026"/>
      <c r="O173" s="1026"/>
      <c r="P173" s="1026"/>
      <c r="Q173" s="1026"/>
      <c r="R173" s="1026"/>
      <c r="S173" s="1026"/>
      <c r="T173" s="1026"/>
    </row>
    <row r="174" spans="1:20" s="31" customFormat="1" ht="15" customHeight="1"/>
    <row r="175" spans="1:20" s="31" customFormat="1" ht="15" customHeight="1">
      <c r="A175" s="1013" t="s">
        <v>1942</v>
      </c>
      <c r="B175" s="1013"/>
      <c r="C175" s="1013"/>
      <c r="D175" s="1013"/>
      <c r="E175" s="1013"/>
      <c r="F175" s="1013"/>
      <c r="G175" s="1013"/>
      <c r="H175" s="1013"/>
      <c r="I175" s="1013"/>
      <c r="J175" s="1013"/>
      <c r="K175" s="1013"/>
      <c r="L175" s="1013"/>
      <c r="M175" s="1013"/>
      <c r="N175" s="1013"/>
      <c r="O175" s="1013"/>
      <c r="P175" s="1013"/>
      <c r="Q175" s="1013"/>
      <c r="R175" s="1013"/>
      <c r="S175" s="1013"/>
      <c r="T175" s="1013"/>
    </row>
    <row r="176" spans="1:20" s="31" customFormat="1" ht="15" customHeight="1">
      <c r="A176" s="1013"/>
      <c r="B176" s="1013"/>
      <c r="C176" s="1013"/>
      <c r="D176" s="1013"/>
      <c r="E176" s="1013"/>
      <c r="F176" s="1013"/>
      <c r="G176" s="1013"/>
      <c r="H176" s="1013"/>
      <c r="I176" s="1013"/>
      <c r="J176" s="1013"/>
      <c r="K176" s="1013"/>
      <c r="L176" s="1013"/>
      <c r="M176" s="1013"/>
      <c r="N176" s="1013"/>
      <c r="O176" s="1013"/>
      <c r="P176" s="1013"/>
      <c r="Q176" s="1013"/>
      <c r="R176" s="1013"/>
      <c r="S176" s="1013"/>
      <c r="T176" s="1013"/>
    </row>
    <row r="177" spans="1:21" s="31" customFormat="1" ht="15" customHeight="1">
      <c r="A177" s="512"/>
      <c r="B177" s="512"/>
      <c r="C177" s="512"/>
      <c r="D177" s="512"/>
      <c r="E177" s="512"/>
      <c r="F177" s="512"/>
      <c r="G177" s="512"/>
      <c r="H177" s="512"/>
      <c r="I177" s="512"/>
      <c r="J177" s="512"/>
      <c r="K177" s="512"/>
      <c r="L177" s="512"/>
      <c r="M177" s="512"/>
      <c r="N177" s="512"/>
      <c r="O177" s="512"/>
      <c r="P177" s="512"/>
      <c r="Q177" s="512"/>
      <c r="R177" s="512"/>
      <c r="S177" s="512"/>
      <c r="T177" s="512"/>
    </row>
    <row r="178" spans="1:21" s="31" customFormat="1" ht="15" customHeight="1">
      <c r="A178" s="512"/>
      <c r="B178" s="512"/>
      <c r="C178" s="512"/>
      <c r="D178" s="512"/>
      <c r="E178" s="512"/>
      <c r="F178" s="512"/>
      <c r="G178" s="512"/>
      <c r="H178" s="512"/>
      <c r="I178" s="512"/>
      <c r="J178" s="512"/>
      <c r="K178" s="512"/>
      <c r="L178" s="512"/>
      <c r="M178" s="512"/>
      <c r="N178" s="512"/>
      <c r="O178" s="512"/>
      <c r="P178" s="512"/>
      <c r="Q178" s="512"/>
      <c r="R178" s="512"/>
      <c r="S178" s="512"/>
      <c r="T178" s="512"/>
    </row>
    <row r="179" spans="1:21" s="31" customFormat="1" ht="15" customHeight="1">
      <c r="B179" s="32" t="s">
        <v>79</v>
      </c>
      <c r="C179" s="605" t="s">
        <v>2026</v>
      </c>
      <c r="D179" s="1093" t="s">
        <v>2039</v>
      </c>
      <c r="E179" s="1093"/>
      <c r="F179" s="1093"/>
      <c r="G179" s="1093"/>
      <c r="H179" s="1093"/>
      <c r="I179" s="34"/>
      <c r="J179" s="34"/>
      <c r="K179" s="34"/>
      <c r="L179" s="34"/>
      <c r="M179" s="34"/>
      <c r="N179" s="34"/>
      <c r="O179" s="34"/>
      <c r="P179" s="34"/>
      <c r="Q179" s="34"/>
      <c r="R179" s="34"/>
      <c r="S179" s="34"/>
      <c r="T179" s="34"/>
      <c r="U179" s="196"/>
    </row>
    <row r="180" spans="1:21" s="31" customFormat="1" ht="15" customHeight="1">
      <c r="B180" s="32"/>
      <c r="C180" s="34"/>
      <c r="D180" s="34"/>
      <c r="E180" s="34"/>
      <c r="F180" s="34"/>
      <c r="G180" s="34"/>
      <c r="H180" s="34"/>
      <c r="I180" s="34"/>
      <c r="J180" s="34"/>
      <c r="K180" s="34"/>
      <c r="L180" s="34"/>
      <c r="M180" s="34"/>
      <c r="N180" s="34"/>
      <c r="O180" s="34"/>
      <c r="P180" s="34"/>
      <c r="Q180" s="34"/>
      <c r="R180" s="34"/>
      <c r="S180" s="34"/>
      <c r="T180" s="34"/>
    </row>
    <row r="181" spans="1:21" s="31" customFormat="1" ht="15" customHeight="1">
      <c r="B181" s="32"/>
      <c r="C181" s="32" t="s">
        <v>502</v>
      </c>
      <c r="D181" s="34"/>
      <c r="E181" s="34"/>
      <c r="F181" s="34"/>
      <c r="G181" s="34"/>
      <c r="H181" s="2" t="s">
        <v>503</v>
      </c>
      <c r="K181" s="1221" t="str">
        <f>DBCS(【マスター】!F23&amp;【マスター】!C24)</f>
        <v>愛知県豊川市大堀町２９３番地</v>
      </c>
      <c r="L181" s="1221"/>
      <c r="M181" s="1221"/>
      <c r="N181" s="1221"/>
      <c r="O181" s="1221"/>
      <c r="P181" s="1221"/>
      <c r="Q181" s="1221"/>
      <c r="R181" s="1221"/>
      <c r="S181" s="1221"/>
      <c r="T181" s="1221"/>
    </row>
    <row r="182" spans="1:21" s="31" customFormat="1" ht="15" customHeight="1">
      <c r="B182" s="32"/>
      <c r="C182" s="32"/>
      <c r="H182" s="2" t="s">
        <v>504</v>
      </c>
      <c r="K182" s="1013" t="str">
        <f>IF(【マスター】!C22="","",【マスター】!C22)</f>
        <v>株式会社ケアサポート</v>
      </c>
      <c r="L182" s="1013"/>
      <c r="M182" s="1013"/>
      <c r="N182" s="1013"/>
      <c r="O182" s="1013"/>
      <c r="P182" s="1013"/>
      <c r="Q182" s="1013"/>
      <c r="R182" s="1013"/>
      <c r="S182" s="1013"/>
      <c r="T182" s="1013"/>
    </row>
    <row r="183" spans="1:21" s="31" customFormat="1" ht="15" customHeight="1">
      <c r="B183" s="32"/>
      <c r="C183" s="32"/>
      <c r="H183" s="2" t="s">
        <v>505</v>
      </c>
      <c r="K183" s="1013" t="str">
        <f>【マスター】!C26&amp;"　"&amp;【マスター】!I26</f>
        <v>代表取締役　本多 康夫</v>
      </c>
      <c r="L183" s="1013"/>
      <c r="M183" s="1013"/>
      <c r="N183" s="1013"/>
      <c r="O183" s="1013"/>
      <c r="P183" s="1013"/>
      <c r="Q183" s="1013"/>
      <c r="R183" s="1013"/>
      <c r="S183" s="1013"/>
      <c r="T183" s="41" t="s">
        <v>506</v>
      </c>
    </row>
    <row r="184" spans="1:21" s="31" customFormat="1" ht="15" customHeight="1">
      <c r="B184" s="32"/>
      <c r="C184" s="34"/>
      <c r="D184" s="34"/>
      <c r="E184" s="34"/>
      <c r="F184" s="34"/>
      <c r="G184" s="34"/>
      <c r="H184" s="34"/>
      <c r="I184" s="34"/>
      <c r="J184" s="34"/>
      <c r="K184" s="34"/>
      <c r="L184" s="34"/>
      <c r="M184" s="34"/>
      <c r="N184" s="34"/>
      <c r="O184" s="34"/>
      <c r="P184" s="34"/>
      <c r="Q184" s="34"/>
      <c r="R184" s="34"/>
      <c r="S184" s="34"/>
      <c r="T184" s="34"/>
    </row>
    <row r="185" spans="1:21" s="31" customFormat="1" ht="15" customHeight="1">
      <c r="B185" s="32"/>
      <c r="C185" s="32" t="s">
        <v>507</v>
      </c>
      <c r="D185" s="34"/>
      <c r="E185" s="34"/>
      <c r="F185" s="34"/>
      <c r="G185" s="34"/>
      <c r="H185" s="32" t="s">
        <v>78</v>
      </c>
      <c r="I185" s="34"/>
      <c r="J185" s="34"/>
      <c r="K185" s="1013" t="str">
        <f>IF(【マスター】!C7="","",【マスター】!C7)</f>
        <v>デイサービスさくら亭</v>
      </c>
      <c r="L185" s="1013"/>
      <c r="M185" s="1013"/>
      <c r="N185" s="1013"/>
      <c r="O185" s="1013"/>
      <c r="P185" s="1013"/>
      <c r="Q185" s="1013"/>
      <c r="R185" s="1013"/>
      <c r="S185" s="1013"/>
      <c r="T185" s="1013"/>
    </row>
    <row r="186" spans="1:21" s="31" customFormat="1" ht="15" customHeight="1">
      <c r="B186" s="32"/>
      <c r="C186" s="32"/>
      <c r="D186" s="34"/>
      <c r="E186" s="34"/>
      <c r="F186" s="34"/>
      <c r="G186" s="34"/>
      <c r="H186" s="32"/>
      <c r="I186" s="34"/>
      <c r="J186" s="34"/>
      <c r="K186" s="512"/>
      <c r="L186" s="512"/>
      <c r="M186" s="512"/>
      <c r="N186" s="512"/>
      <c r="O186" s="512"/>
      <c r="P186" s="512"/>
      <c r="Q186" s="512"/>
      <c r="R186" s="512"/>
      <c r="S186" s="512"/>
      <c r="T186" s="512"/>
    </row>
    <row r="187" spans="1:21" s="31" customFormat="1" ht="15" customHeight="1">
      <c r="B187" s="32"/>
      <c r="C187" s="32"/>
      <c r="H187" s="31" t="s">
        <v>508</v>
      </c>
      <c r="K187" s="1312" t="s">
        <v>2029</v>
      </c>
      <c r="L187" s="1312"/>
      <c r="M187" s="1312"/>
      <c r="N187" s="1312"/>
      <c r="O187" s="1312"/>
      <c r="P187" s="1312"/>
      <c r="Q187" s="1312"/>
      <c r="R187" s="1312"/>
      <c r="S187" s="1312"/>
      <c r="T187" s="243" t="s">
        <v>506</v>
      </c>
    </row>
    <row r="188" spans="1:21" s="31" customFormat="1" ht="15" customHeight="1">
      <c r="B188" s="32"/>
      <c r="C188" s="32"/>
    </row>
    <row r="189" spans="1:21" s="31" customFormat="1" ht="15" customHeight="1">
      <c r="B189" s="32"/>
      <c r="C189" s="32"/>
    </row>
    <row r="190" spans="1:21" s="31" customFormat="1" ht="15" customHeight="1">
      <c r="B190" s="32"/>
      <c r="C190" s="32"/>
    </row>
    <row r="191" spans="1:21" s="31" customFormat="1" ht="15" customHeight="1">
      <c r="A191" s="1013" t="s">
        <v>1943</v>
      </c>
      <c r="B191" s="1013"/>
      <c r="C191" s="1013"/>
      <c r="D191" s="1013"/>
      <c r="E191" s="1013"/>
      <c r="F191" s="1013"/>
      <c r="G191" s="1013"/>
      <c r="H191" s="1013"/>
      <c r="I191" s="1013"/>
      <c r="J191" s="1013"/>
      <c r="K191" s="1013"/>
      <c r="L191" s="1013"/>
      <c r="M191" s="1013"/>
      <c r="N191" s="1013"/>
      <c r="O191" s="1013"/>
      <c r="P191" s="1013"/>
      <c r="Q191" s="1013"/>
      <c r="R191" s="1013"/>
      <c r="S191" s="1013"/>
      <c r="T191" s="1013"/>
    </row>
    <row r="192" spans="1:21" s="31" customFormat="1" ht="15" customHeight="1">
      <c r="A192" s="1013"/>
      <c r="B192" s="1013"/>
      <c r="C192" s="1013"/>
      <c r="D192" s="1013"/>
      <c r="E192" s="1013"/>
      <c r="F192" s="1013"/>
      <c r="G192" s="1013"/>
      <c r="H192" s="1013"/>
      <c r="I192" s="1013"/>
      <c r="J192" s="1013"/>
      <c r="K192" s="1013"/>
      <c r="L192" s="1013"/>
      <c r="M192" s="1013"/>
      <c r="N192" s="1013"/>
      <c r="O192" s="1013"/>
      <c r="P192" s="1013"/>
      <c r="Q192" s="1013"/>
      <c r="R192" s="1013"/>
      <c r="S192" s="1013"/>
      <c r="T192" s="1013"/>
    </row>
    <row r="193" spans="1:21" s="31" customFormat="1" ht="15" customHeight="1">
      <c r="A193" s="512"/>
      <c r="B193" s="512"/>
      <c r="C193" s="512"/>
      <c r="D193" s="512"/>
      <c r="E193" s="512"/>
      <c r="F193" s="512"/>
      <c r="G193" s="512"/>
      <c r="H193" s="512"/>
      <c r="I193" s="512"/>
      <c r="J193" s="512"/>
      <c r="K193" s="512"/>
      <c r="L193" s="512"/>
      <c r="M193" s="512"/>
      <c r="N193" s="512"/>
      <c r="O193" s="512"/>
      <c r="P193" s="512"/>
      <c r="Q193" s="512"/>
      <c r="R193" s="512"/>
      <c r="S193" s="512"/>
      <c r="T193" s="512"/>
    </row>
    <row r="194" spans="1:21" s="31" customFormat="1" ht="15" customHeight="1">
      <c r="A194" s="512"/>
      <c r="B194" s="512"/>
      <c r="C194" s="512"/>
      <c r="D194" s="512"/>
      <c r="E194" s="512"/>
      <c r="F194" s="512"/>
      <c r="G194" s="512"/>
      <c r="H194" s="512"/>
      <c r="I194" s="512"/>
      <c r="J194" s="512"/>
      <c r="K194" s="512"/>
      <c r="L194" s="512"/>
      <c r="M194" s="512"/>
      <c r="N194" s="512"/>
      <c r="O194" s="512"/>
      <c r="P194" s="512"/>
      <c r="Q194" s="512"/>
      <c r="R194" s="512"/>
      <c r="S194" s="512"/>
      <c r="T194" s="512"/>
    </row>
    <row r="195" spans="1:21" s="31" customFormat="1" ht="15" customHeight="1">
      <c r="B195" s="32" t="s">
        <v>79</v>
      </c>
      <c r="C195" s="605" t="s">
        <v>2026</v>
      </c>
      <c r="D195" s="1093" t="s">
        <v>2040</v>
      </c>
      <c r="E195" s="1093"/>
      <c r="F195" s="1093"/>
      <c r="G195" s="1093"/>
      <c r="H195" s="1093"/>
      <c r="I195" s="34"/>
      <c r="J195" s="34"/>
      <c r="K195" s="34"/>
      <c r="L195" s="34"/>
      <c r="M195" s="34"/>
      <c r="N195" s="34"/>
      <c r="O195" s="34"/>
      <c r="P195" s="34"/>
      <c r="Q195" s="34"/>
      <c r="R195" s="34"/>
      <c r="S195" s="34"/>
      <c r="T195" s="34"/>
      <c r="U195" s="196"/>
    </row>
    <row r="196" spans="1:21" s="31" customFormat="1" ht="15" customHeight="1">
      <c r="B196" s="32"/>
      <c r="C196" s="32"/>
    </row>
    <row r="197" spans="1:21" s="31" customFormat="1" ht="15" customHeight="1">
      <c r="B197" s="32"/>
      <c r="C197" s="32" t="s">
        <v>509</v>
      </c>
      <c r="H197" s="2" t="s">
        <v>503</v>
      </c>
      <c r="K197" s="1028" t="str">
        <f>DBCS(IF(【マスター】!B157="","",【マスター】!B157))</f>
        <v/>
      </c>
      <c r="L197" s="1028"/>
      <c r="M197" s="1028"/>
      <c r="N197" s="1028"/>
      <c r="O197" s="1028"/>
      <c r="P197" s="1028"/>
      <c r="Q197" s="1028"/>
      <c r="R197" s="1028"/>
      <c r="S197" s="1028"/>
      <c r="T197" s="1028"/>
    </row>
    <row r="198" spans="1:21" s="31" customFormat="1" ht="15" customHeight="1">
      <c r="B198" s="34"/>
      <c r="C198" s="34"/>
      <c r="D198" s="34"/>
      <c r="E198" s="34"/>
      <c r="F198" s="34"/>
      <c r="G198" s="34"/>
      <c r="H198" s="34"/>
      <c r="I198" s="34"/>
      <c r="J198" s="34"/>
      <c r="K198" s="1028" t="str">
        <f>DBCS(IF(【マスター】!B158="","",【マスター】!B158))</f>
        <v/>
      </c>
      <c r="L198" s="1028"/>
      <c r="M198" s="1028"/>
      <c r="N198" s="1028"/>
      <c r="O198" s="1028"/>
      <c r="P198" s="1028"/>
      <c r="Q198" s="1028"/>
      <c r="R198" s="1028"/>
      <c r="S198" s="1028"/>
      <c r="T198" s="1028"/>
    </row>
    <row r="199" spans="1:21" s="31" customFormat="1" ht="15" customHeight="1">
      <c r="B199" s="34"/>
      <c r="C199" s="34"/>
      <c r="D199" s="34"/>
      <c r="E199" s="34"/>
      <c r="F199" s="34"/>
      <c r="G199" s="34"/>
      <c r="H199" s="34"/>
      <c r="I199" s="34"/>
      <c r="J199" s="34"/>
      <c r="K199" s="164"/>
      <c r="L199" s="164"/>
      <c r="M199" s="164"/>
      <c r="N199" s="164"/>
      <c r="O199" s="164"/>
      <c r="P199" s="164"/>
      <c r="Q199" s="164"/>
      <c r="R199" s="164"/>
      <c r="S199" s="164"/>
      <c r="T199" s="164"/>
    </row>
    <row r="200" spans="1:21" s="31" customFormat="1" ht="15" customHeight="1">
      <c r="B200" s="34"/>
      <c r="C200" s="34"/>
      <c r="D200" s="34"/>
      <c r="E200" s="34"/>
      <c r="F200" s="34"/>
      <c r="G200" s="34"/>
      <c r="H200" s="32" t="s">
        <v>510</v>
      </c>
      <c r="I200" s="34"/>
      <c r="J200" s="34"/>
      <c r="K200" s="1222"/>
      <c r="L200" s="1222"/>
      <c r="M200" s="1222"/>
      <c r="N200" s="1222"/>
      <c r="O200" s="1222"/>
      <c r="P200" s="1222"/>
      <c r="Q200" s="1222"/>
      <c r="R200" s="1222"/>
      <c r="S200" s="1222"/>
      <c r="T200" s="243" t="s">
        <v>506</v>
      </c>
    </row>
    <row r="201" spans="1:21" s="31" customFormat="1" ht="15" customHeight="1">
      <c r="B201" s="32"/>
      <c r="C201" s="32"/>
    </row>
    <row r="202" spans="1:21" s="31" customFormat="1" ht="15" customHeight="1">
      <c r="B202" s="32"/>
      <c r="C202" s="31" t="s">
        <v>511</v>
      </c>
      <c r="H202" s="2" t="s">
        <v>503</v>
      </c>
      <c r="K202" s="1028" t="str">
        <f>DBCS(IF(【マスター】!B159="","",【マスター】!B159))</f>
        <v/>
      </c>
      <c r="L202" s="1028"/>
      <c r="M202" s="1028"/>
      <c r="N202" s="1028"/>
      <c r="O202" s="1028"/>
      <c r="P202" s="1028"/>
      <c r="Q202" s="1028"/>
      <c r="R202" s="1028"/>
      <c r="S202" s="1028"/>
      <c r="T202" s="1028"/>
    </row>
    <row r="203" spans="1:21" s="31" customFormat="1" ht="15" customHeight="1">
      <c r="B203" s="32"/>
      <c r="C203" s="31" t="s">
        <v>512</v>
      </c>
      <c r="H203" s="34"/>
      <c r="K203" s="1028" t="str">
        <f>DBCS(IF(【マスター】!B160="","",【マスター】!B160))</f>
        <v/>
      </c>
      <c r="L203" s="1028"/>
      <c r="M203" s="1028"/>
      <c r="N203" s="1028"/>
      <c r="O203" s="1028"/>
      <c r="P203" s="1028"/>
      <c r="Q203" s="1028"/>
      <c r="R203" s="1028"/>
      <c r="S203" s="1028"/>
      <c r="T203" s="1028"/>
    </row>
    <row r="204" spans="1:21" s="31" customFormat="1" ht="15" customHeight="1">
      <c r="B204" s="32"/>
      <c r="H204" s="34"/>
      <c r="K204" s="545"/>
      <c r="L204" s="545"/>
      <c r="M204" s="545"/>
      <c r="N204" s="545"/>
      <c r="O204" s="545"/>
      <c r="P204" s="545"/>
      <c r="Q204" s="545"/>
      <c r="R204" s="545"/>
      <c r="S204" s="545"/>
      <c r="T204" s="545"/>
    </row>
    <row r="205" spans="1:21" s="31" customFormat="1" ht="15" customHeight="1">
      <c r="B205" s="32"/>
      <c r="C205" s="32"/>
      <c r="H205" s="32" t="s">
        <v>510</v>
      </c>
      <c r="K205" s="559"/>
      <c r="L205" s="559"/>
      <c r="M205" s="559"/>
      <c r="N205" s="559"/>
      <c r="O205" s="559"/>
      <c r="P205" s="559"/>
      <c r="Q205" s="559"/>
      <c r="R205" s="559"/>
      <c r="S205" s="559"/>
      <c r="T205" s="243" t="s">
        <v>506</v>
      </c>
    </row>
    <row r="206" spans="1:21" s="31" customFormat="1" ht="15" customHeight="1">
      <c r="B206" s="32"/>
      <c r="C206" s="32"/>
      <c r="H206" s="32"/>
      <c r="K206" s="513"/>
      <c r="L206" s="513"/>
      <c r="M206" s="513"/>
      <c r="N206" s="513"/>
      <c r="O206" s="513"/>
      <c r="P206" s="513"/>
      <c r="Q206" s="513"/>
      <c r="R206" s="513"/>
      <c r="S206" s="513"/>
      <c r="T206" s="41"/>
    </row>
    <row r="207" spans="1:21" s="31" customFormat="1" ht="15" customHeight="1">
      <c r="B207" s="32"/>
      <c r="C207" s="32"/>
      <c r="H207" s="32"/>
      <c r="K207" s="513"/>
      <c r="L207" s="513"/>
      <c r="M207" s="513"/>
      <c r="N207" s="161" t="s">
        <v>513</v>
      </c>
      <c r="O207" s="513"/>
      <c r="P207" s="513"/>
      <c r="Q207" s="513"/>
      <c r="R207" s="513"/>
      <c r="S207" s="513"/>
      <c r="T207" s="34" t="s">
        <v>514</v>
      </c>
    </row>
    <row r="208" spans="1:21" s="31" customFormat="1" ht="15" customHeight="1">
      <c r="B208" s="32"/>
      <c r="C208" s="32"/>
    </row>
    <row r="209" spans="2:3" s="31" customFormat="1" ht="15" customHeight="1">
      <c r="B209" s="32"/>
      <c r="C209" s="32"/>
    </row>
    <row r="210" spans="2:3" s="31" customFormat="1" ht="15" customHeight="1">
      <c r="B210" s="32"/>
      <c r="C210" s="32"/>
    </row>
    <row r="211" spans="2:3" s="31" customFormat="1" ht="15" customHeight="1">
      <c r="B211" s="32"/>
      <c r="C211" s="32"/>
    </row>
    <row r="212" spans="2:3" s="31" customFormat="1" ht="15" customHeight="1">
      <c r="B212" s="32"/>
      <c r="C212" s="32"/>
    </row>
    <row r="213" spans="2:3" s="31" customFormat="1" ht="15" customHeight="1">
      <c r="B213" s="32"/>
      <c r="C213" s="32"/>
    </row>
    <row r="214" spans="2:3" s="31" customFormat="1" ht="15" customHeight="1">
      <c r="B214" s="32"/>
      <c r="C214" s="32"/>
    </row>
    <row r="215" spans="2:3" s="31" customFormat="1" ht="15" customHeight="1">
      <c r="B215" s="32"/>
      <c r="C215" s="32"/>
    </row>
    <row r="216" spans="2:3" s="31" customFormat="1" ht="15" customHeight="1">
      <c r="B216" s="32"/>
      <c r="C216" s="32"/>
    </row>
    <row r="217" spans="2:3" s="31" customFormat="1" ht="15" customHeight="1">
      <c r="B217" s="32"/>
      <c r="C217" s="32"/>
    </row>
    <row r="218" spans="2:3" s="31" customFormat="1" ht="15" customHeight="1">
      <c r="B218" s="32"/>
      <c r="C218" s="32"/>
    </row>
    <row r="219" spans="2:3" s="31" customFormat="1" ht="15" customHeight="1">
      <c r="B219" s="32"/>
      <c r="C219" s="32"/>
    </row>
    <row r="220" spans="2:3" s="31" customFormat="1" ht="15" customHeight="1">
      <c r="B220" s="32"/>
      <c r="C220" s="32"/>
    </row>
    <row r="221" spans="2:3" s="31" customFormat="1" ht="15" customHeight="1">
      <c r="B221" s="32"/>
      <c r="C221" s="32"/>
    </row>
    <row r="222" spans="2:3" s="31" customFormat="1" ht="15" customHeight="1">
      <c r="B222" s="32"/>
      <c r="C222" s="32"/>
    </row>
    <row r="223" spans="2:3" s="31" customFormat="1" ht="15" customHeight="1">
      <c r="B223" s="32"/>
      <c r="C223" s="32"/>
    </row>
  </sheetData>
  <sheetProtection selectLockedCells="1"/>
  <mergeCells count="155">
    <mergeCell ref="K15:T15"/>
    <mergeCell ref="H16:J16"/>
    <mergeCell ref="K16:T16"/>
    <mergeCell ref="B20:F20"/>
    <mergeCell ref="K17:T17"/>
    <mergeCell ref="B18:F18"/>
    <mergeCell ref="H20:N20"/>
    <mergeCell ref="B21:F21"/>
    <mergeCell ref="D26:L27"/>
    <mergeCell ref="M26:T27"/>
    <mergeCell ref="G97:K97"/>
    <mergeCell ref="L97:M97"/>
    <mergeCell ref="N97:R97"/>
    <mergeCell ref="S97:T97"/>
    <mergeCell ref="K10:T10"/>
    <mergeCell ref="A42:C47"/>
    <mergeCell ref="A26:C27"/>
    <mergeCell ref="H10:J10"/>
    <mergeCell ref="K203:T203"/>
    <mergeCell ref="K182:T182"/>
    <mergeCell ref="K183:S183"/>
    <mergeCell ref="K185:T185"/>
    <mergeCell ref="K187:S187"/>
    <mergeCell ref="A191:T192"/>
    <mergeCell ref="K197:T197"/>
    <mergeCell ref="K198:T198"/>
    <mergeCell ref="K200:S200"/>
    <mergeCell ref="K202:T202"/>
    <mergeCell ref="H21:N21"/>
    <mergeCell ref="D28:L29"/>
    <mergeCell ref="B14:F14"/>
    <mergeCell ref="H14:T14"/>
    <mergeCell ref="B15:F17"/>
    <mergeCell ref="H15:J15"/>
    <mergeCell ref="A1:T2"/>
    <mergeCell ref="A3:T3"/>
    <mergeCell ref="B6:F6"/>
    <mergeCell ref="H6:P6"/>
    <mergeCell ref="Q6:T6"/>
    <mergeCell ref="B7:F7"/>
    <mergeCell ref="H7:T7"/>
    <mergeCell ref="B8:F10"/>
    <mergeCell ref="H8:J8"/>
    <mergeCell ref="K8:T8"/>
    <mergeCell ref="H9:J9"/>
    <mergeCell ref="K9:T9"/>
    <mergeCell ref="A28:C32"/>
    <mergeCell ref="M28:T32"/>
    <mergeCell ref="M50:T55"/>
    <mergeCell ref="D51:L52"/>
    <mergeCell ref="D54:L55"/>
    <mergeCell ref="A175:T176"/>
    <mergeCell ref="K82:T82"/>
    <mergeCell ref="K80:T80"/>
    <mergeCell ref="F81:H83"/>
    <mergeCell ref="A92:T92"/>
    <mergeCell ref="K83:T83"/>
    <mergeCell ref="D68:L70"/>
    <mergeCell ref="A61:C70"/>
    <mergeCell ref="M61:T70"/>
    <mergeCell ref="M48:T49"/>
    <mergeCell ref="I83:J83"/>
    <mergeCell ref="G95:T95"/>
    <mergeCell ref="C130:T131"/>
    <mergeCell ref="C116:T117"/>
    <mergeCell ref="C119:T120"/>
    <mergeCell ref="G100:K100"/>
    <mergeCell ref="L100:M100"/>
    <mergeCell ref="G96:T96"/>
    <mergeCell ref="C140:T140"/>
    <mergeCell ref="A33:C35"/>
    <mergeCell ref="M33:T35"/>
    <mergeCell ref="A36:C38"/>
    <mergeCell ref="D36:L38"/>
    <mergeCell ref="B89:H89"/>
    <mergeCell ref="I89:T89"/>
    <mergeCell ref="A79:A83"/>
    <mergeCell ref="B79:E83"/>
    <mergeCell ref="A56:C60"/>
    <mergeCell ref="A50:C55"/>
    <mergeCell ref="D63:L65"/>
    <mergeCell ref="E74:O74"/>
    <mergeCell ref="I88:T88"/>
    <mergeCell ref="D33:L35"/>
    <mergeCell ref="B88:H88"/>
    <mergeCell ref="A39:C41"/>
    <mergeCell ref="D56:L60"/>
    <mergeCell ref="D61:L62"/>
    <mergeCell ref="D66:L67"/>
    <mergeCell ref="D30:L32"/>
    <mergeCell ref="H17:J17"/>
    <mergeCell ref="H18:T18"/>
    <mergeCell ref="A48:C49"/>
    <mergeCell ref="A96:F102"/>
    <mergeCell ref="M36:T38"/>
    <mergeCell ref="G99:K99"/>
    <mergeCell ref="D53:L53"/>
    <mergeCell ref="N101:R101"/>
    <mergeCell ref="L99:M99"/>
    <mergeCell ref="N99:R99"/>
    <mergeCell ref="S99:T99"/>
    <mergeCell ref="S101:T101"/>
    <mergeCell ref="G98:K98"/>
    <mergeCell ref="D48:L49"/>
    <mergeCell ref="F79:J79"/>
    <mergeCell ref="F80:J80"/>
    <mergeCell ref="M42:T47"/>
    <mergeCell ref="H46:K46"/>
    <mergeCell ref="M56:T60"/>
    <mergeCell ref="D50:L50"/>
    <mergeCell ref="D39:L41"/>
    <mergeCell ref="M39:T41"/>
    <mergeCell ref="N98:R98"/>
    <mergeCell ref="S98:T98"/>
    <mergeCell ref="C111:T111"/>
    <mergeCell ref="C139:T139"/>
    <mergeCell ref="I81:J81"/>
    <mergeCell ref="K81:T81"/>
    <mergeCell ref="K79:T79"/>
    <mergeCell ref="C112:T112"/>
    <mergeCell ref="N100:R100"/>
    <mergeCell ref="S100:T100"/>
    <mergeCell ref="G101:K101"/>
    <mergeCell ref="L101:M101"/>
    <mergeCell ref="G102:T102"/>
    <mergeCell ref="B115:T115"/>
    <mergeCell ref="L98:M98"/>
    <mergeCell ref="A95:F95"/>
    <mergeCell ref="C121:T122"/>
    <mergeCell ref="C108:T108"/>
    <mergeCell ref="A105:T105"/>
    <mergeCell ref="C123:T124"/>
    <mergeCell ref="C125:T126"/>
    <mergeCell ref="C127:T129"/>
    <mergeCell ref="I82:J82"/>
    <mergeCell ref="A86:T86"/>
    <mergeCell ref="A87:T87"/>
    <mergeCell ref="D179:H179"/>
    <mergeCell ref="D195:H195"/>
    <mergeCell ref="A173:T173"/>
    <mergeCell ref="C165:T165"/>
    <mergeCell ref="C164:T164"/>
    <mergeCell ref="B150:T150"/>
    <mergeCell ref="B159:T159"/>
    <mergeCell ref="C135:T135"/>
    <mergeCell ref="C144:T144"/>
    <mergeCell ref="C145:T145"/>
    <mergeCell ref="C146:T148"/>
    <mergeCell ref="C152:T152"/>
    <mergeCell ref="C153:T153"/>
    <mergeCell ref="C154:T154"/>
    <mergeCell ref="C156:T156"/>
    <mergeCell ref="C157:T157"/>
    <mergeCell ref="C161:T161"/>
    <mergeCell ref="K181:T181"/>
  </mergeCells>
  <phoneticPr fontId="16"/>
  <dataValidations count="1">
    <dataValidation imeMode="fullAlpha" allowBlank="1" showInputMessage="1" showErrorMessage="1" sqref="H21" xr:uid="{00000000-0002-0000-0600-000000000000}"/>
  </dataValidations>
  <printOptions horizontalCentered="1"/>
  <pageMargins left="0.59055118110236227" right="0.59055118110236227" top="0.59055118110236227" bottom="0.39370078740157483" header="0.31496062992125984" footer="0.19685039370078741"/>
  <pageSetup paperSize="9" scale="99" fitToHeight="0" orientation="portrait" r:id="rId1"/>
  <rowBreaks count="4" manualBreakCount="4">
    <brk id="55" max="19" man="1"/>
    <brk id="103" max="19" man="1"/>
    <brk id="141" max="19" man="1"/>
    <brk id="174"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DD0C7"/>
    <pageSetUpPr fitToPage="1"/>
  </sheetPr>
  <dimension ref="A1:AN189"/>
  <sheetViews>
    <sheetView view="pageBreakPreview" topLeftCell="A4" zoomScale="85" zoomScaleNormal="85" zoomScaleSheetLayoutView="85" zoomScalePageLayoutView="85" workbookViewId="0">
      <selection activeCell="T33" sqref="T33:X33"/>
    </sheetView>
  </sheetViews>
  <sheetFormatPr defaultColWidth="5.625" defaultRowHeight="19.5"/>
  <cols>
    <col min="1" max="24" width="4.125" style="312" customWidth="1"/>
    <col min="25" max="25" width="5.625" style="312" customWidth="1"/>
    <col min="26" max="26" width="2.875" style="312" customWidth="1"/>
    <col min="27" max="27" width="9.875" style="312" customWidth="1"/>
    <col min="28" max="28" width="12.125" style="312" customWidth="1"/>
    <col min="29" max="29" width="8.5" style="312" customWidth="1"/>
    <col min="30" max="30" width="9.875" style="312" customWidth="1"/>
    <col min="31" max="31" width="35.5" style="727" customWidth="1"/>
    <col min="32" max="32" width="35.5" style="312" customWidth="1"/>
    <col min="33" max="33" width="7.875" style="312" customWidth="1"/>
    <col min="34" max="34" width="9.875" style="312" customWidth="1"/>
    <col min="35" max="35" width="14.125" style="312" customWidth="1"/>
    <col min="36" max="36" width="5.625" style="312" customWidth="1"/>
    <col min="37" max="37" width="34.125" style="312" customWidth="1"/>
    <col min="38" max="42" width="9.875" style="312" customWidth="1"/>
    <col min="43" max="43" width="6.875" style="312" customWidth="1"/>
    <col min="44" max="44" width="6.375" style="312" customWidth="1"/>
    <col min="45" max="16384" width="5.625" style="312"/>
  </cols>
  <sheetData>
    <row r="1" spans="1:36" ht="20.25" thickBot="1">
      <c r="AE1" s="727" t="s">
        <v>571</v>
      </c>
    </row>
    <row r="2" spans="1:36" ht="40.35" customHeight="1" thickBot="1">
      <c r="A2" s="1392" t="s">
        <v>572</v>
      </c>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AA2" s="312" t="s">
        <v>1884</v>
      </c>
      <c r="AB2" s="312">
        <f>【マスター】!F40</f>
        <v>10.14</v>
      </c>
      <c r="AC2" s="564"/>
      <c r="AD2" s="564"/>
      <c r="AE2" s="728" t="s">
        <v>573</v>
      </c>
      <c r="AF2" s="1390" t="s">
        <v>574</v>
      </c>
      <c r="AG2" s="1391"/>
    </row>
    <row r="3" spans="1:36" ht="5.0999999999999996" customHeight="1"/>
    <row r="4" spans="1:36" ht="24">
      <c r="A4" s="1393" t="str">
        <f>IF(【マスター】!B156="","当事業所が、に提供するサービスは以下の通りです。","当事業所が、"&amp;【マスター】!B156&amp;"様に提供するサービスは以下の通りです。")</f>
        <v>当事業所が、に提供するサービスは以下の通りです。</v>
      </c>
      <c r="B4" s="1393"/>
      <c r="C4" s="1393"/>
      <c r="D4" s="1393"/>
      <c r="E4" s="1393"/>
      <c r="F4" s="1393"/>
      <c r="G4" s="1393"/>
      <c r="H4" s="1393"/>
      <c r="I4" s="1393"/>
      <c r="J4" s="1393"/>
      <c r="K4" s="1393"/>
      <c r="L4" s="1393"/>
      <c r="M4" s="1393"/>
      <c r="N4" s="1393"/>
      <c r="O4" s="1393"/>
      <c r="P4" s="1393"/>
      <c r="Q4" s="1393"/>
      <c r="R4" s="1393"/>
      <c r="S4" s="1393"/>
      <c r="T4" s="1393"/>
      <c r="U4" s="1393"/>
      <c r="V4" s="1393"/>
      <c r="W4" s="1393"/>
      <c r="X4" s="1393"/>
      <c r="AE4" s="727" t="s">
        <v>575</v>
      </c>
    </row>
    <row r="5" spans="1:36" ht="19.350000000000001" customHeight="1">
      <c r="A5" s="1394" t="s">
        <v>576</v>
      </c>
      <c r="B5" s="1394"/>
      <c r="C5" s="1394"/>
      <c r="D5" s="1394" t="s">
        <v>577</v>
      </c>
      <c r="E5" s="1394"/>
      <c r="F5" s="1394"/>
      <c r="G5" s="1394"/>
      <c r="H5" s="1394"/>
      <c r="I5" s="1394"/>
      <c r="J5" s="1394"/>
      <c r="K5" s="1394"/>
      <c r="L5" s="1394"/>
      <c r="M5" s="1394"/>
      <c r="N5" s="1394"/>
      <c r="O5" s="1394"/>
      <c r="P5" s="1394"/>
      <c r="Q5" s="1394"/>
      <c r="R5" s="1394"/>
      <c r="S5" s="1394"/>
      <c r="T5" s="1394"/>
      <c r="U5" s="1394"/>
      <c r="V5" s="1394"/>
      <c r="W5" s="1394"/>
      <c r="X5" s="1394"/>
      <c r="AA5" s="315" t="s">
        <v>578</v>
      </c>
      <c r="AB5" s="315" t="s">
        <v>579</v>
      </c>
      <c r="AC5" s="315">
        <v>1</v>
      </c>
      <c r="AE5" s="733">
        <f ca="1">SUMIF(B11:H17,"*要介護*",R11:R17)-SUMIF(I11:N17,"*延長*",R11:R17)</f>
        <v>0</v>
      </c>
      <c r="AF5" s="312" t="s">
        <v>1867</v>
      </c>
    </row>
    <row r="6" spans="1:36" ht="19.350000000000001" customHeight="1">
      <c r="A6" s="1394"/>
      <c r="B6" s="1394"/>
      <c r="C6" s="1394"/>
      <c r="D6" s="1389" t="s">
        <v>1970</v>
      </c>
      <c r="E6" s="1389"/>
      <c r="F6" s="1389"/>
      <c r="G6" s="1397" t="s">
        <v>1971</v>
      </c>
      <c r="H6" s="1398"/>
      <c r="I6" s="1398"/>
      <c r="J6" s="1399"/>
      <c r="K6" s="1389" t="s">
        <v>1972</v>
      </c>
      <c r="L6" s="1389"/>
      <c r="M6" s="1389"/>
      <c r="N6" s="1389"/>
      <c r="O6" s="1389"/>
      <c r="P6" s="1389"/>
      <c r="Q6" s="1389"/>
      <c r="R6" s="1389"/>
      <c r="S6" s="1389"/>
      <c r="T6" s="1389"/>
      <c r="U6" s="1389" t="s">
        <v>1865</v>
      </c>
      <c r="V6" s="1389"/>
      <c r="W6" s="1389"/>
      <c r="X6" s="1389"/>
      <c r="AA6" s="315" t="s">
        <v>573</v>
      </c>
      <c r="AB6" s="315" t="s">
        <v>580</v>
      </c>
      <c r="AC6" s="315">
        <v>0.9</v>
      </c>
      <c r="AE6" s="733">
        <f ca="1">SUMIF(B11:H17,"*要介護*",T11:X17)-SUMIF(I11:N17,"*延長*",T11:X17)</f>
        <v>0</v>
      </c>
      <c r="AF6" s="312" t="s">
        <v>1870</v>
      </c>
    </row>
    <row r="7" spans="1:36" s="316" customFormat="1" ht="19.350000000000001" customHeight="1">
      <c r="A7" s="1395" t="s">
        <v>602</v>
      </c>
      <c r="B7" s="1395"/>
      <c r="C7" s="1395"/>
      <c r="D7" s="1389"/>
      <c r="E7" s="1389"/>
      <c r="F7" s="1389"/>
      <c r="G7" s="1400"/>
      <c r="H7" s="1401"/>
      <c r="I7" s="1401"/>
      <c r="J7" s="1402"/>
      <c r="K7" s="1389"/>
      <c r="L7" s="1389"/>
      <c r="M7" s="1389"/>
      <c r="N7" s="1389"/>
      <c r="O7" s="1389"/>
      <c r="P7" s="1389"/>
      <c r="Q7" s="1389"/>
      <c r="R7" s="1389"/>
      <c r="S7" s="1389"/>
      <c r="T7" s="1389"/>
      <c r="U7" s="1389"/>
      <c r="V7" s="1389"/>
      <c r="W7" s="1389"/>
      <c r="X7" s="1389"/>
      <c r="AA7" s="315" t="s">
        <v>582</v>
      </c>
      <c r="AB7" s="315" t="s">
        <v>583</v>
      </c>
      <c r="AC7" s="315">
        <v>0.8</v>
      </c>
      <c r="AE7" s="734">
        <f ca="1">SUMIF(B11:H17,"*要介護*",T11:X17)+T22</f>
        <v>0</v>
      </c>
      <c r="AF7" s="312" t="s">
        <v>1868</v>
      </c>
      <c r="AJ7" s="312"/>
    </row>
    <row r="8" spans="1:36" ht="19.350000000000001" customHeight="1">
      <c r="A8" s="1395"/>
      <c r="B8" s="1395"/>
      <c r="C8" s="1395"/>
      <c r="D8" s="1396" t="str">
        <f>IF(Z14=0,AA14,VLOOKUP(1,Z11:AB13,2,FALSE))</f>
        <v>（Ⅱ）</v>
      </c>
      <c r="E8" s="1396"/>
      <c r="F8" s="1396"/>
      <c r="G8" s="1337">
        <f>IF(Z40=0,AA40,VLOOKUP(1,Z38:AB39,2,FALSE))</f>
        <v>0</v>
      </c>
      <c r="H8" s="1337"/>
      <c r="I8" s="1337"/>
      <c r="J8" s="1337"/>
      <c r="K8" s="1337">
        <f>IF(Z47=0,AA47,VLOOKUP(1,Z46:AB47,2,FALSE))</f>
        <v>0</v>
      </c>
      <c r="L8" s="1337"/>
      <c r="M8" s="1337"/>
      <c r="N8" s="1337"/>
      <c r="O8" s="1337"/>
      <c r="P8" s="1337"/>
      <c r="Q8" s="1337"/>
      <c r="R8" s="1338"/>
      <c r="S8" s="1338"/>
      <c r="T8" s="1338"/>
      <c r="U8" s="1338" t="s">
        <v>1973</v>
      </c>
      <c r="V8" s="1338"/>
      <c r="W8" s="1338"/>
      <c r="X8" s="1338"/>
      <c r="AA8" s="315" t="s">
        <v>584</v>
      </c>
      <c r="AB8" s="315" t="s">
        <v>585</v>
      </c>
      <c r="AC8" s="315">
        <v>0.7</v>
      </c>
    </row>
    <row r="9" spans="1:36" ht="5.0999999999999996" customHeight="1"/>
    <row r="10" spans="1:36" s="317" customFormat="1" ht="19.350000000000001" customHeight="1">
      <c r="A10" s="519" t="s">
        <v>586</v>
      </c>
      <c r="B10" s="1356" t="s">
        <v>587</v>
      </c>
      <c r="C10" s="1356"/>
      <c r="D10" s="1356"/>
      <c r="E10" s="1356"/>
      <c r="F10" s="1356"/>
      <c r="G10" s="1356"/>
      <c r="H10" s="1356"/>
      <c r="I10" s="1356" t="s">
        <v>588</v>
      </c>
      <c r="J10" s="1356"/>
      <c r="K10" s="1356"/>
      <c r="L10" s="1356"/>
      <c r="M10" s="1356"/>
      <c r="N10" s="1356"/>
      <c r="O10" s="1356" t="s">
        <v>589</v>
      </c>
      <c r="P10" s="1356"/>
      <c r="Q10" s="1356"/>
      <c r="R10" s="1356" t="s">
        <v>590</v>
      </c>
      <c r="S10" s="1356"/>
      <c r="T10" s="1356" t="s">
        <v>591</v>
      </c>
      <c r="U10" s="1356"/>
      <c r="V10" s="1356"/>
      <c r="W10" s="1356"/>
      <c r="X10" s="1356"/>
      <c r="Z10" s="317" t="s">
        <v>592</v>
      </c>
      <c r="AE10" s="484" t="s">
        <v>581</v>
      </c>
      <c r="AF10" s="312"/>
      <c r="AG10" s="312"/>
      <c r="AH10" s="312"/>
      <c r="AI10" s="312"/>
    </row>
    <row r="11" spans="1:36" ht="19.350000000000001" customHeight="1">
      <c r="A11" s="315" t="str">
        <f>IF(B11="","",1)</f>
        <v/>
      </c>
      <c r="B11" s="1314"/>
      <c r="C11" s="1314"/>
      <c r="D11" s="1314"/>
      <c r="E11" s="1314"/>
      <c r="F11" s="1314"/>
      <c r="G11" s="1314"/>
      <c r="H11" s="1314"/>
      <c r="I11" s="1316" t="str">
        <f>IF(B11="","",VLOOKUP(B11,$AE$11:$AH$189,2,FALSE))</f>
        <v/>
      </c>
      <c r="J11" s="1316"/>
      <c r="K11" s="1316"/>
      <c r="L11" s="1316"/>
      <c r="M11" s="1316"/>
      <c r="N11" s="1316"/>
      <c r="O11" s="1313" t="str">
        <f t="shared" ref="O11:O17" si="0">IF(B11="","",VLOOKUP(B11,$AE$11:$AH$188,3,FALSE))</f>
        <v/>
      </c>
      <c r="P11" s="1313"/>
      <c r="Q11" s="1313"/>
      <c r="R11" s="318"/>
      <c r="S11" s="319" t="str">
        <f>IF(B11="","",VLOOKUP(B11,$AE$11:$AH$189,4,FALSE))</f>
        <v/>
      </c>
      <c r="T11" s="1315" t="str">
        <f t="shared" ref="T11:T17" si="1">IF(B11="","",O11*R11)</f>
        <v/>
      </c>
      <c r="U11" s="1315"/>
      <c r="V11" s="1315"/>
      <c r="W11" s="1315"/>
      <c r="X11" s="1315"/>
      <c r="Z11" s="315">
        <f>IF(【マスター】!C74="有",1,0)</f>
        <v>0</v>
      </c>
      <c r="AA11" s="315" t="s">
        <v>594</v>
      </c>
      <c r="AB11" s="315" t="str">
        <f>LEFT(【マスター】!$D$74,3)&amp;"%"</f>
        <v>9.2%</v>
      </c>
      <c r="AC11" s="315">
        <f>AB11*1</f>
        <v>9.1999999999999998E-2</v>
      </c>
      <c r="AD11" s="317" t="s">
        <v>576</v>
      </c>
      <c r="AE11" s="729" t="s">
        <v>595</v>
      </c>
      <c r="AF11" s="320" t="s">
        <v>588</v>
      </c>
      <c r="AG11" s="320" t="s">
        <v>589</v>
      </c>
      <c r="AH11" s="320" t="s">
        <v>590</v>
      </c>
      <c r="AI11" s="320" t="s">
        <v>596</v>
      </c>
    </row>
    <row r="12" spans="1:36" ht="19.350000000000001" customHeight="1">
      <c r="A12" s="315" t="str">
        <f>IF(B12="","",2)</f>
        <v/>
      </c>
      <c r="B12" s="1314"/>
      <c r="C12" s="1314"/>
      <c r="D12" s="1314"/>
      <c r="E12" s="1314"/>
      <c r="F12" s="1314"/>
      <c r="G12" s="1314"/>
      <c r="H12" s="1314"/>
      <c r="I12" s="1316" t="str">
        <f t="shared" ref="I12:I17" si="2">IF(B12="","",VLOOKUP(B12,$AE$11:$AH$189,2,FALSE))</f>
        <v/>
      </c>
      <c r="J12" s="1316"/>
      <c r="K12" s="1316"/>
      <c r="L12" s="1316"/>
      <c r="M12" s="1316"/>
      <c r="N12" s="1316"/>
      <c r="O12" s="1313" t="str">
        <f t="shared" si="0"/>
        <v/>
      </c>
      <c r="P12" s="1313"/>
      <c r="Q12" s="1313"/>
      <c r="R12" s="318"/>
      <c r="S12" s="319" t="str">
        <f t="shared" ref="S12:S17" si="3">IF(B12="","",VLOOKUP(B12,$AE$11:$AH$189,4,FALSE))</f>
        <v/>
      </c>
      <c r="T12" s="1315" t="str">
        <f t="shared" si="1"/>
        <v/>
      </c>
      <c r="U12" s="1315"/>
      <c r="V12" s="1315"/>
      <c r="W12" s="1315"/>
      <c r="X12" s="1315"/>
      <c r="Z12" s="315">
        <f>IF(【マスター】!C75="有",1,0)</f>
        <v>1</v>
      </c>
      <c r="AA12" s="315" t="s">
        <v>597</v>
      </c>
      <c r="AB12" s="315" t="str">
        <f>LEFT(【マスター】!$D$75,3)&amp;"%"</f>
        <v>9.0%</v>
      </c>
      <c r="AC12" s="315">
        <f>AB12*1</f>
        <v>0.09</v>
      </c>
      <c r="AD12" s="312" t="s">
        <v>581</v>
      </c>
      <c r="AE12" s="730" t="s">
        <v>598</v>
      </c>
      <c r="AF12" s="315" t="s">
        <v>599</v>
      </c>
      <c r="AG12" s="694">
        <f>$AG$14*0.7</f>
        <v>305.2</v>
      </c>
      <c r="AH12" s="315" t="s">
        <v>600</v>
      </c>
      <c r="AI12" s="315"/>
      <c r="AJ12" s="315"/>
    </row>
    <row r="13" spans="1:36" ht="19.350000000000001" customHeight="1">
      <c r="A13" s="315" t="str">
        <f>IF(B13="","",3)</f>
        <v/>
      </c>
      <c r="B13" s="1314"/>
      <c r="C13" s="1314"/>
      <c r="D13" s="1314"/>
      <c r="E13" s="1314"/>
      <c r="F13" s="1314"/>
      <c r="G13" s="1314"/>
      <c r="H13" s="1314"/>
      <c r="I13" s="1316" t="str">
        <f t="shared" si="2"/>
        <v/>
      </c>
      <c r="J13" s="1316"/>
      <c r="K13" s="1316"/>
      <c r="L13" s="1316"/>
      <c r="M13" s="1316"/>
      <c r="N13" s="1316"/>
      <c r="O13" s="1313" t="str">
        <f t="shared" si="0"/>
        <v/>
      </c>
      <c r="P13" s="1313"/>
      <c r="Q13" s="1313"/>
      <c r="R13" s="318"/>
      <c r="S13" s="319" t="str">
        <f t="shared" si="3"/>
        <v/>
      </c>
      <c r="T13" s="1315" t="str">
        <f t="shared" si="1"/>
        <v/>
      </c>
      <c r="U13" s="1315"/>
      <c r="V13" s="1315"/>
      <c r="W13" s="1315"/>
      <c r="X13" s="1315"/>
      <c r="Z13" s="315">
        <f>IF(【マスター】!C76="有",1,0)</f>
        <v>0</v>
      </c>
      <c r="AA13" s="315" t="s">
        <v>601</v>
      </c>
      <c r="AB13" s="315" t="str">
        <f>LEFT(【マスター】!$D$76,3)&amp;"%"</f>
        <v>8.0%</v>
      </c>
      <c r="AC13" s="315">
        <f>AB13*1</f>
        <v>0.08</v>
      </c>
      <c r="AD13" s="312" t="s">
        <v>602</v>
      </c>
      <c r="AE13" s="730" t="s">
        <v>603</v>
      </c>
      <c r="AF13" s="315" t="s">
        <v>604</v>
      </c>
      <c r="AG13" s="694">
        <f>【マスター】!$V$18</f>
        <v>416</v>
      </c>
      <c r="AH13" s="315" t="s">
        <v>600</v>
      </c>
      <c r="AI13" s="315"/>
      <c r="AJ13" s="315"/>
    </row>
    <row r="14" spans="1:36" ht="19.350000000000001" customHeight="1">
      <c r="A14" s="315" t="str">
        <f>IF(B14="","",4)</f>
        <v/>
      </c>
      <c r="B14" s="1314"/>
      <c r="C14" s="1314"/>
      <c r="D14" s="1314"/>
      <c r="E14" s="1314"/>
      <c r="F14" s="1314"/>
      <c r="G14" s="1314"/>
      <c r="H14" s="1314"/>
      <c r="I14" s="1316" t="s">
        <v>2033</v>
      </c>
      <c r="J14" s="1316"/>
      <c r="K14" s="1316"/>
      <c r="L14" s="1316"/>
      <c r="M14" s="1316"/>
      <c r="N14" s="1316"/>
      <c r="O14" s="1313" t="str">
        <f t="shared" si="0"/>
        <v/>
      </c>
      <c r="P14" s="1313"/>
      <c r="Q14" s="1313"/>
      <c r="R14" s="318"/>
      <c r="S14" s="319" t="str">
        <f t="shared" si="3"/>
        <v/>
      </c>
      <c r="T14" s="1315" t="str">
        <f t="shared" si="1"/>
        <v/>
      </c>
      <c r="U14" s="1315"/>
      <c r="V14" s="1315"/>
      <c r="W14" s="1315"/>
      <c r="X14" s="1315"/>
      <c r="Z14" s="315">
        <f>SUM(Z11:Z13)</f>
        <v>1</v>
      </c>
      <c r="AA14" s="315" t="s">
        <v>611</v>
      </c>
      <c r="AB14" s="315" t="s">
        <v>612</v>
      </c>
      <c r="AC14" s="315">
        <v>0</v>
      </c>
      <c r="AD14" s="312" t="s">
        <v>605</v>
      </c>
      <c r="AE14" s="730" t="s">
        <v>606</v>
      </c>
      <c r="AF14" s="315" t="s">
        <v>607</v>
      </c>
      <c r="AG14" s="694">
        <f>【マスター】!$AA$18</f>
        <v>436</v>
      </c>
      <c r="AH14" s="315" t="s">
        <v>600</v>
      </c>
      <c r="AI14" s="315"/>
      <c r="AJ14" s="315"/>
    </row>
    <row r="15" spans="1:36" ht="19.350000000000001" customHeight="1" thickBot="1">
      <c r="A15" s="315" t="str">
        <f>IF(B15="","",5)</f>
        <v/>
      </c>
      <c r="B15" s="1314"/>
      <c r="C15" s="1314"/>
      <c r="D15" s="1314"/>
      <c r="E15" s="1314"/>
      <c r="F15" s="1314"/>
      <c r="G15" s="1314"/>
      <c r="H15" s="1314"/>
      <c r="I15" s="1316" t="s">
        <v>2031</v>
      </c>
      <c r="J15" s="1316"/>
      <c r="K15" s="1316"/>
      <c r="L15" s="1316"/>
      <c r="M15" s="1316"/>
      <c r="N15" s="1316"/>
      <c r="O15" s="1313" t="str">
        <f t="shared" si="0"/>
        <v/>
      </c>
      <c r="P15" s="1313"/>
      <c r="Q15" s="1313"/>
      <c r="R15" s="318"/>
      <c r="S15" s="319" t="str">
        <f t="shared" si="3"/>
        <v/>
      </c>
      <c r="T15" s="1315" t="str">
        <f t="shared" si="1"/>
        <v/>
      </c>
      <c r="U15" s="1315"/>
      <c r="V15" s="1315"/>
      <c r="W15" s="1315"/>
      <c r="X15" s="1315"/>
      <c r="AC15" s="329">
        <f>VLOOKUP(D8,AA11:AC14,3,FALSE)</f>
        <v>0.09</v>
      </c>
      <c r="AD15" s="312" t="s">
        <v>608</v>
      </c>
      <c r="AE15" s="730" t="s">
        <v>609</v>
      </c>
      <c r="AF15" s="315" t="s">
        <v>610</v>
      </c>
      <c r="AG15" s="694">
        <f>【マスター】!AF18</f>
        <v>657</v>
      </c>
      <c r="AH15" s="315" t="s">
        <v>600</v>
      </c>
      <c r="AI15" s="315"/>
      <c r="AJ15" s="315"/>
    </row>
    <row r="16" spans="1:36" ht="19.350000000000001" customHeight="1" thickTop="1">
      <c r="A16" s="315" t="str">
        <f>IF(B16="","",6)</f>
        <v/>
      </c>
      <c r="B16" s="1314"/>
      <c r="C16" s="1314"/>
      <c r="D16" s="1314"/>
      <c r="E16" s="1314"/>
      <c r="F16" s="1314"/>
      <c r="G16" s="1314"/>
      <c r="H16" s="1314"/>
      <c r="I16" s="1316" t="str">
        <f t="shared" si="2"/>
        <v/>
      </c>
      <c r="J16" s="1316"/>
      <c r="K16" s="1316"/>
      <c r="L16" s="1316"/>
      <c r="M16" s="1316"/>
      <c r="N16" s="1316"/>
      <c r="O16" s="1313" t="str">
        <f t="shared" si="0"/>
        <v/>
      </c>
      <c r="P16" s="1313"/>
      <c r="Q16" s="1313"/>
      <c r="R16" s="318"/>
      <c r="S16" s="319" t="str">
        <f t="shared" si="3"/>
        <v/>
      </c>
      <c r="T16" s="1315" t="str">
        <f t="shared" si="1"/>
        <v/>
      </c>
      <c r="U16" s="1315"/>
      <c r="V16" s="1315"/>
      <c r="W16" s="1315"/>
      <c r="X16" s="1315"/>
      <c r="AC16" s="321" t="s">
        <v>618</v>
      </c>
      <c r="AD16" s="312" t="s">
        <v>613</v>
      </c>
      <c r="AE16" s="730" t="s">
        <v>614</v>
      </c>
      <c r="AF16" s="315" t="s">
        <v>615</v>
      </c>
      <c r="AG16" s="694">
        <f>【マスター】!AK18</f>
        <v>678</v>
      </c>
      <c r="AH16" s="315" t="s">
        <v>600</v>
      </c>
      <c r="AI16" s="315"/>
      <c r="AJ16" s="315"/>
    </row>
    <row r="17" spans="1:40" ht="19.350000000000001" customHeight="1">
      <c r="A17" s="315" t="str">
        <f>IF(B17="","",7)</f>
        <v/>
      </c>
      <c r="B17" s="1314"/>
      <c r="C17" s="1314"/>
      <c r="D17" s="1314"/>
      <c r="E17" s="1314"/>
      <c r="F17" s="1314"/>
      <c r="G17" s="1314"/>
      <c r="H17" s="1314"/>
      <c r="I17" s="1316" t="str">
        <f t="shared" si="2"/>
        <v/>
      </c>
      <c r="J17" s="1316"/>
      <c r="K17" s="1316"/>
      <c r="L17" s="1316"/>
      <c r="M17" s="1316"/>
      <c r="N17" s="1316"/>
      <c r="O17" s="1313" t="str">
        <f t="shared" si="0"/>
        <v/>
      </c>
      <c r="P17" s="1313"/>
      <c r="Q17" s="1313"/>
      <c r="R17" s="318"/>
      <c r="S17" s="319" t="str">
        <f t="shared" si="3"/>
        <v/>
      </c>
      <c r="T17" s="1315" t="str">
        <f t="shared" si="1"/>
        <v/>
      </c>
      <c r="U17" s="1315"/>
      <c r="V17" s="1315"/>
      <c r="W17" s="1315"/>
      <c r="X17" s="1315"/>
      <c r="AC17" s="322" t="s">
        <v>622</v>
      </c>
      <c r="AE17" s="730" t="s">
        <v>616</v>
      </c>
      <c r="AF17" s="315" t="s">
        <v>617</v>
      </c>
      <c r="AG17" s="694">
        <f>【マスター】!AP18</f>
        <v>753</v>
      </c>
      <c r="AH17" s="315" t="s">
        <v>600</v>
      </c>
      <c r="AI17" s="315"/>
      <c r="AJ17" s="315"/>
    </row>
    <row r="18" spans="1:40" ht="19.350000000000001" customHeight="1">
      <c r="O18" s="1358" t="s">
        <v>621</v>
      </c>
      <c r="P18" s="1358"/>
      <c r="Q18" s="1358"/>
      <c r="R18" s="1358"/>
      <c r="S18" s="1358"/>
      <c r="T18" s="1357" t="str">
        <f>IF(T11="","",SUM(T11:X17))</f>
        <v/>
      </c>
      <c r="U18" s="1357"/>
      <c r="V18" s="1357"/>
      <c r="W18" s="1357"/>
      <c r="X18" s="1357"/>
      <c r="Z18" s="317" t="s">
        <v>627</v>
      </c>
      <c r="AA18" s="323"/>
      <c r="AB18" s="323"/>
      <c r="AE18" s="730" t="s">
        <v>619</v>
      </c>
      <c r="AF18" s="315" t="s">
        <v>620</v>
      </c>
      <c r="AG18" s="694">
        <f>【マスター】!AU18</f>
        <v>783</v>
      </c>
      <c r="AH18" s="315" t="s">
        <v>600</v>
      </c>
      <c r="AI18" s="315"/>
      <c r="AJ18" s="319"/>
    </row>
    <row r="19" spans="1:40" ht="19.350000000000001" customHeight="1">
      <c r="A19" s="323" t="s">
        <v>623</v>
      </c>
      <c r="B19" s="323"/>
      <c r="C19" s="323"/>
      <c r="D19" s="323"/>
      <c r="E19" s="323" t="s">
        <v>624</v>
      </c>
      <c r="F19" s="323"/>
      <c r="G19" s="323"/>
      <c r="H19" s="323" t="s">
        <v>397</v>
      </c>
      <c r="I19" s="323"/>
      <c r="J19" s="323"/>
      <c r="K19" s="323" t="s">
        <v>399</v>
      </c>
      <c r="L19" s="323"/>
      <c r="M19" s="323"/>
      <c r="N19" s="323" t="s">
        <v>401</v>
      </c>
      <c r="O19" s="323"/>
      <c r="P19" s="323"/>
      <c r="Q19" s="323" t="s">
        <v>403</v>
      </c>
      <c r="R19" s="323"/>
      <c r="S19" s="323"/>
      <c r="T19" s="323" t="s">
        <v>495</v>
      </c>
      <c r="U19" s="323"/>
      <c r="V19" s="323"/>
      <c r="W19" s="323"/>
      <c r="X19" s="323"/>
      <c r="Z19" s="324">
        <f>IF(【マスター】!C58="有",1,0)</f>
        <v>0</v>
      </c>
      <c r="AA19" s="315" t="s">
        <v>1862</v>
      </c>
      <c r="AB19" s="315">
        <f>【マスター】!$P$58</f>
        <v>22</v>
      </c>
      <c r="AC19" s="323"/>
      <c r="AE19" s="730" t="s">
        <v>1837</v>
      </c>
      <c r="AF19" s="315" t="s">
        <v>1796</v>
      </c>
      <c r="AG19" s="315">
        <v>50</v>
      </c>
      <c r="AH19" s="315" t="s">
        <v>600</v>
      </c>
      <c r="AI19" s="315"/>
    </row>
    <row r="20" spans="1:40" s="323" customFormat="1" ht="19.350000000000001" customHeight="1">
      <c r="A20" s="1339" t="s">
        <v>628</v>
      </c>
      <c r="B20" s="1371"/>
      <c r="C20" s="1372"/>
      <c r="D20" s="1345" t="s">
        <v>629</v>
      </c>
      <c r="E20" s="1347" t="s">
        <v>592</v>
      </c>
      <c r="F20" s="1348"/>
      <c r="G20" s="1349"/>
      <c r="H20" s="1317" t="s">
        <v>1974</v>
      </c>
      <c r="I20" s="1318"/>
      <c r="J20" s="1346"/>
      <c r="K20" s="1339" t="s">
        <v>1975</v>
      </c>
      <c r="L20" s="1340"/>
      <c r="M20" s="1354"/>
      <c r="N20" s="1317"/>
      <c r="O20" s="1318"/>
      <c r="P20" s="1318"/>
      <c r="Q20" s="1319"/>
      <c r="R20" s="1320"/>
      <c r="S20" s="1321"/>
      <c r="T20" s="1325"/>
      <c r="U20" s="1326"/>
      <c r="V20" s="1327"/>
      <c r="W20" s="1359" t="s">
        <v>1886</v>
      </c>
      <c r="X20" s="1360"/>
      <c r="Z20" s="324">
        <f>IF(【マスター】!C59="有",1,0)</f>
        <v>0</v>
      </c>
      <c r="AA20" s="324" t="s">
        <v>1864</v>
      </c>
      <c r="AB20" s="324">
        <f>【マスター】!$P$59</f>
        <v>18</v>
      </c>
      <c r="AC20" s="312"/>
      <c r="AD20" s="312"/>
      <c r="AE20" s="730" t="s">
        <v>1838</v>
      </c>
      <c r="AF20" s="315" t="s">
        <v>1797</v>
      </c>
      <c r="AG20" s="315">
        <v>100</v>
      </c>
      <c r="AH20" s="315" t="s">
        <v>600</v>
      </c>
      <c r="AI20" s="315"/>
      <c r="AJ20" s="312"/>
    </row>
    <row r="21" spans="1:40" ht="19.350000000000001" customHeight="1">
      <c r="A21" s="1373"/>
      <c r="B21" s="1374"/>
      <c r="C21" s="1375"/>
      <c r="D21" s="1345"/>
      <c r="E21" s="1331" t="str">
        <f>"("&amp;IF(Z14=0,AA14,VLOOKUP(1,Z11:AB13,3,FALSE))&amp;")"</f>
        <v>(9.0%)</v>
      </c>
      <c r="F21" s="1332"/>
      <c r="G21" s="1333"/>
      <c r="H21" s="1331" t="str">
        <f>IF(G8="算定なし","算定なし","("&amp;VLOOKUP(O8,AB19:AC22,2,FALSE)&amp;"単位/回"&amp;")")</f>
        <v>(単位/回)</v>
      </c>
      <c r="I21" s="1332"/>
      <c r="J21" s="1333"/>
      <c r="K21" s="1342"/>
      <c r="L21" s="1343"/>
      <c r="M21" s="1344"/>
      <c r="N21" s="1331"/>
      <c r="O21" s="1332"/>
      <c r="P21" s="1333"/>
      <c r="Q21" s="1322"/>
      <c r="R21" s="1323"/>
      <c r="S21" s="1324"/>
      <c r="T21" s="1328"/>
      <c r="U21" s="1329"/>
      <c r="V21" s="1330"/>
      <c r="W21" s="1359"/>
      <c r="X21" s="1360"/>
      <c r="Z21" s="324">
        <f>IF(【マスター】!C60="有",1,0)</f>
        <v>0</v>
      </c>
      <c r="AA21" s="315" t="s">
        <v>1863</v>
      </c>
      <c r="AB21" s="315">
        <f>【マスター】!$P$60</f>
        <v>6</v>
      </c>
      <c r="AE21" s="730" t="s">
        <v>1839</v>
      </c>
      <c r="AF21" s="315" t="s">
        <v>1798</v>
      </c>
      <c r="AG21" s="315">
        <v>150</v>
      </c>
      <c r="AH21" s="315" t="s">
        <v>600</v>
      </c>
      <c r="AI21" s="325"/>
    </row>
    <row r="22" spans="1:40" ht="19.350000000000001" customHeight="1">
      <c r="A22" s="1376" t="str">
        <f>IF(T18="","",IF(T18&gt;AB30,AB30,T18))</f>
        <v/>
      </c>
      <c r="B22" s="1338"/>
      <c r="C22" s="1338"/>
      <c r="D22" s="1345"/>
      <c r="E22" s="1313" t="str">
        <f>IF(T18="","",ROUND(A22*AC15,0))</f>
        <v/>
      </c>
      <c r="F22" s="1313"/>
      <c r="G22" s="1313"/>
      <c r="H22" s="1334" t="str">
        <f>IF(T18="","",ROUND(A22*AD45,0))</f>
        <v/>
      </c>
      <c r="I22" s="1335"/>
      <c r="J22" s="1336"/>
      <c r="K22" s="1334">
        <f>IF(R8="有",AG7*0.05,0)</f>
        <v>0</v>
      </c>
      <c r="L22" s="1335"/>
      <c r="M22" s="1336"/>
      <c r="N22" s="1334"/>
      <c r="O22" s="1335"/>
      <c r="P22" s="1336"/>
      <c r="Q22" s="1334"/>
      <c r="R22" s="1335"/>
      <c r="S22" s="1336"/>
      <c r="T22" s="1334"/>
      <c r="U22" s="1335"/>
      <c r="V22" s="1336"/>
      <c r="W22" s="1359"/>
      <c r="X22" s="1360"/>
      <c r="Z22" s="315">
        <f>SUM(Z19:Z21)</f>
        <v>0</v>
      </c>
      <c r="AA22" s="315" t="s">
        <v>611</v>
      </c>
      <c r="AB22" s="315">
        <v>0</v>
      </c>
      <c r="AC22" s="326"/>
      <c r="AE22" s="730" t="s">
        <v>1840</v>
      </c>
      <c r="AF22" s="315" t="s">
        <v>1799</v>
      </c>
      <c r="AG22" s="315">
        <v>200</v>
      </c>
      <c r="AH22" s="315" t="s">
        <v>600</v>
      </c>
      <c r="AI22" s="315"/>
    </row>
    <row r="23" spans="1:40" ht="19.350000000000001" customHeight="1">
      <c r="A23" s="323" t="s">
        <v>497</v>
      </c>
      <c r="B23" s="323"/>
      <c r="C23" s="323"/>
      <c r="D23" s="735"/>
      <c r="E23" s="735"/>
      <c r="F23" s="735"/>
      <c r="G23" s="735"/>
      <c r="H23" s="735"/>
      <c r="I23" s="735"/>
      <c r="J23" s="735" t="s">
        <v>1887</v>
      </c>
      <c r="K23" s="735"/>
      <c r="L23" s="735"/>
      <c r="M23" s="735"/>
      <c r="X23" s="732"/>
      <c r="AA23" s="312" t="e">
        <f ca="1">AB23*AE5</f>
        <v>#N/A</v>
      </c>
      <c r="AB23" s="312" t="e">
        <f>VLOOKUP(O8,AA19:AB22,2,FALSE)</f>
        <v>#N/A</v>
      </c>
      <c r="AE23" s="730" t="s">
        <v>1841</v>
      </c>
      <c r="AF23" s="315" t="s">
        <v>1800</v>
      </c>
      <c r="AG23" s="315">
        <v>250</v>
      </c>
      <c r="AH23" s="315" t="s">
        <v>600</v>
      </c>
      <c r="AI23" s="315"/>
    </row>
    <row r="24" spans="1:40" s="326" customFormat="1" ht="19.350000000000001" customHeight="1">
      <c r="A24" s="1339" t="s">
        <v>1866</v>
      </c>
      <c r="B24" s="1340"/>
      <c r="C24" s="1340"/>
      <c r="D24" s="1341"/>
      <c r="E24" s="1345" t="s">
        <v>631</v>
      </c>
      <c r="F24" s="1317" t="s">
        <v>516</v>
      </c>
      <c r="G24" s="1318"/>
      <c r="H24" s="1346"/>
      <c r="I24" s="1345" t="s">
        <v>630</v>
      </c>
      <c r="J24" s="1347" t="s">
        <v>632</v>
      </c>
      <c r="K24" s="1348"/>
      <c r="L24" s="1349"/>
      <c r="M24" s="731"/>
      <c r="N24" s="312"/>
      <c r="X24" s="736"/>
      <c r="Z24" s="317"/>
      <c r="AA24" s="312"/>
      <c r="AB24" s="312"/>
      <c r="AC24" s="312"/>
      <c r="AD24" s="312"/>
      <c r="AE24" s="697" t="s">
        <v>1751</v>
      </c>
      <c r="AF24" s="695" t="s">
        <v>1751</v>
      </c>
      <c r="AG24" s="747" t="str">
        <f>ASC(【マスター】!$D$50)</f>
        <v>40</v>
      </c>
      <c r="AH24" s="695" t="s">
        <v>1769</v>
      </c>
      <c r="AI24" s="695"/>
    </row>
    <row r="25" spans="1:40" ht="19.350000000000001" customHeight="1">
      <c r="A25" s="1342"/>
      <c r="B25" s="1343"/>
      <c r="C25" s="1343"/>
      <c r="D25" s="1344"/>
      <c r="E25" s="1345"/>
      <c r="F25" s="1331"/>
      <c r="G25" s="1332"/>
      <c r="H25" s="1333"/>
      <c r="I25" s="1345"/>
      <c r="J25" s="1331" t="s">
        <v>633</v>
      </c>
      <c r="K25" s="1332"/>
      <c r="L25" s="1333"/>
      <c r="M25" s="731"/>
      <c r="X25" s="736"/>
      <c r="Z25" s="317"/>
      <c r="AA25" s="315" t="s">
        <v>581</v>
      </c>
      <c r="AB25" s="327">
        <f>【マスター】!Q37</f>
        <v>16765</v>
      </c>
      <c r="AE25" s="697" t="s">
        <v>1752</v>
      </c>
      <c r="AF25" s="695" t="s">
        <v>1752</v>
      </c>
      <c r="AG25" s="747" t="str">
        <f>ASC(【マスター】!$D$51)</f>
        <v>55</v>
      </c>
      <c r="AH25" s="695" t="s">
        <v>1769</v>
      </c>
      <c r="AI25" s="695"/>
    </row>
    <row r="26" spans="1:40" ht="19.350000000000001" customHeight="1">
      <c r="A26" s="1350" t="str">
        <f>IF(T18="","",A22+E22+H22+K22+N22+Q22+T22)</f>
        <v/>
      </c>
      <c r="B26" s="1351"/>
      <c r="C26" s="1351"/>
      <c r="D26" s="1352"/>
      <c r="E26" s="1345"/>
      <c r="F26" s="1353">
        <f>【マスター】!F40</f>
        <v>10.14</v>
      </c>
      <c r="G26" s="1353"/>
      <c r="H26" s="1353"/>
      <c r="I26" s="1345"/>
      <c r="J26" s="1313" t="str">
        <f>IF(T18="","",ROUNDDOWN(A26*F26,0))</f>
        <v/>
      </c>
      <c r="K26" s="1313"/>
      <c r="L26" s="1313"/>
      <c r="M26" s="731"/>
      <c r="X26" s="737"/>
      <c r="Z26" s="317"/>
      <c r="AA26" s="315" t="s">
        <v>602</v>
      </c>
      <c r="AB26" s="327">
        <f>【マスター】!Q38</f>
        <v>19705</v>
      </c>
      <c r="AE26" s="697" t="s">
        <v>638</v>
      </c>
      <c r="AF26" s="695" t="s">
        <v>638</v>
      </c>
      <c r="AG26" s="761" t="str">
        <f>ASC(【マスター】!$D$54)</f>
        <v>45</v>
      </c>
      <c r="AH26" s="695" t="s">
        <v>600</v>
      </c>
      <c r="AI26" s="696"/>
    </row>
    <row r="27" spans="1:40" ht="19.350000000000001" customHeight="1" thickBot="1">
      <c r="A27" s="323" t="s">
        <v>656</v>
      </c>
      <c r="B27" s="323"/>
      <c r="C27" s="323"/>
      <c r="D27" s="323"/>
      <c r="E27" s="323"/>
      <c r="F27" s="323"/>
      <c r="G27" s="323"/>
      <c r="H27" s="323"/>
      <c r="I27" s="323" t="s">
        <v>1132</v>
      </c>
      <c r="J27" s="323"/>
      <c r="K27" s="323"/>
      <c r="L27" s="323"/>
      <c r="M27" s="326"/>
      <c r="N27" s="323" t="s">
        <v>1136</v>
      </c>
      <c r="O27" s="326"/>
      <c r="P27" s="323"/>
      <c r="Q27" s="323"/>
      <c r="R27" s="326"/>
      <c r="S27" s="326"/>
      <c r="T27" s="326"/>
      <c r="U27" s="326"/>
      <c r="V27" s="326"/>
      <c r="W27" s="326"/>
      <c r="X27" s="326"/>
      <c r="AA27" s="315" t="s">
        <v>605</v>
      </c>
      <c r="AB27" s="327">
        <f>【マスター】!Q39</f>
        <v>27048</v>
      </c>
      <c r="AE27" s="697" t="s">
        <v>1753</v>
      </c>
      <c r="AF27" s="697" t="s">
        <v>1802</v>
      </c>
      <c r="AG27" s="747" t="str">
        <f>ASC(【マスター】!$D$70)</f>
        <v>100</v>
      </c>
      <c r="AH27" s="695" t="s">
        <v>639</v>
      </c>
      <c r="AI27" s="716" t="s">
        <v>1801</v>
      </c>
    </row>
    <row r="28" spans="1:40" ht="19.350000000000001" customHeight="1">
      <c r="A28" s="1317" t="s">
        <v>632</v>
      </c>
      <c r="B28" s="1318"/>
      <c r="C28" s="1346"/>
      <c r="D28" s="1345" t="s">
        <v>631</v>
      </c>
      <c r="E28" s="1317" t="s">
        <v>636</v>
      </c>
      <c r="F28" s="1318"/>
      <c r="G28" s="1346"/>
      <c r="H28" s="1345" t="s">
        <v>630</v>
      </c>
      <c r="I28" s="1370" t="s">
        <v>637</v>
      </c>
      <c r="J28" s="1370"/>
      <c r="K28" s="1370"/>
      <c r="L28" s="1370"/>
      <c r="M28" s="484"/>
      <c r="N28" s="1361" t="s">
        <v>1888</v>
      </c>
      <c r="O28" s="1362"/>
      <c r="P28" s="1362"/>
      <c r="Q28" s="1362"/>
      <c r="R28" s="1362"/>
      <c r="S28" s="1362"/>
      <c r="T28" s="1362"/>
      <c r="U28" s="1362"/>
      <c r="V28" s="1362"/>
      <c r="W28" s="1362"/>
      <c r="X28" s="1363"/>
      <c r="AA28" s="315" t="s">
        <v>608</v>
      </c>
      <c r="AB28" s="327">
        <f>【マスター】!Q40</f>
        <v>30938</v>
      </c>
      <c r="AE28" s="697" t="s">
        <v>1754</v>
      </c>
      <c r="AF28" s="697" t="s">
        <v>1754</v>
      </c>
      <c r="AG28" s="747" t="str">
        <f>ASC(【マスター】!$D$71)</f>
        <v>100</v>
      </c>
      <c r="AH28" s="695" t="s">
        <v>639</v>
      </c>
      <c r="AI28" s="695"/>
    </row>
    <row r="29" spans="1:40" ht="19.350000000000001" customHeight="1">
      <c r="A29" s="1331" t="s">
        <v>633</v>
      </c>
      <c r="B29" s="1332"/>
      <c r="C29" s="1333"/>
      <c r="D29" s="1345"/>
      <c r="E29" s="1331" t="str">
        <f>IF(AE2="","",VLOOKUP(AE2,AA5:AC8,2,FALSE))</f>
        <v>９割</v>
      </c>
      <c r="F29" s="1332"/>
      <c r="G29" s="1333"/>
      <c r="H29" s="1345"/>
      <c r="I29" s="1370"/>
      <c r="J29" s="1370"/>
      <c r="K29" s="1370"/>
      <c r="L29" s="1370"/>
      <c r="M29" s="485"/>
      <c r="N29" s="1364" t="str">
        <f>IF(T18="","",IF(AB33&gt;0,A30-I30+(AB33+AB33*AC15+AB33*AC41)*AB2,A30-I30))</f>
        <v/>
      </c>
      <c r="O29" s="1365"/>
      <c r="P29" s="1365"/>
      <c r="Q29" s="1365"/>
      <c r="R29" s="1365"/>
      <c r="S29" s="1365"/>
      <c r="T29" s="1365"/>
      <c r="U29" s="1365"/>
      <c r="V29" s="1365"/>
      <c r="W29" s="1365"/>
      <c r="X29" s="1366"/>
      <c r="AA29" s="315" t="s">
        <v>613</v>
      </c>
      <c r="AB29" s="327">
        <f>【マスター】!Q41</f>
        <v>36217</v>
      </c>
      <c r="AE29" s="697" t="s">
        <v>1755</v>
      </c>
      <c r="AF29" s="697" t="s">
        <v>1755</v>
      </c>
      <c r="AG29" s="747" t="str">
        <f>ASC(【マスター】!$D$55)</f>
        <v>56</v>
      </c>
      <c r="AH29" s="695" t="s">
        <v>641</v>
      </c>
      <c r="AI29" s="695"/>
    </row>
    <row r="30" spans="1:40" ht="19.350000000000001" customHeight="1" thickBot="1">
      <c r="A30" s="1337" t="str">
        <f>J26</f>
        <v/>
      </c>
      <c r="B30" s="1337"/>
      <c r="C30" s="1337"/>
      <c r="D30" s="1345"/>
      <c r="E30" s="1338">
        <f>IF(AE2="","",VLOOKUP(AE2,AA5:AC8,3,FALSE))</f>
        <v>0.9</v>
      </c>
      <c r="F30" s="1338"/>
      <c r="G30" s="1338"/>
      <c r="H30" s="1345"/>
      <c r="I30" s="1337" t="str">
        <f>IF(T18="","",ROUNDDOWN(A30*E30,0))</f>
        <v/>
      </c>
      <c r="J30" s="1337"/>
      <c r="K30" s="1337"/>
      <c r="L30" s="1337"/>
      <c r="M30" s="485"/>
      <c r="N30" s="1367"/>
      <c r="O30" s="1368"/>
      <c r="P30" s="1368"/>
      <c r="Q30" s="1368"/>
      <c r="R30" s="1368"/>
      <c r="S30" s="1368"/>
      <c r="T30" s="1368"/>
      <c r="U30" s="1368"/>
      <c r="V30" s="1368"/>
      <c r="W30" s="1368"/>
      <c r="X30" s="1369"/>
      <c r="AB30" s="328">
        <f>VLOOKUP(A7,AA25:AB29,2,FALSE)</f>
        <v>19705</v>
      </c>
      <c r="AE30" s="697" t="s">
        <v>1756</v>
      </c>
      <c r="AF30" s="697" t="s">
        <v>1756</v>
      </c>
      <c r="AG30" s="747" t="str">
        <f>ASC(【マスター】!$D$56)</f>
        <v>76</v>
      </c>
      <c r="AH30" s="695" t="s">
        <v>706</v>
      </c>
      <c r="AI30" s="695"/>
      <c r="AK30" s="758" t="s">
        <v>1911</v>
      </c>
      <c r="AL30" s="758" t="s">
        <v>1912</v>
      </c>
      <c r="AM30" s="759"/>
      <c r="AN30" s="748"/>
    </row>
    <row r="31" spans="1:40" ht="19.350000000000001" customHeight="1">
      <c r="A31" s="312" t="s">
        <v>640</v>
      </c>
      <c r="AB31" s="321" t="s">
        <v>618</v>
      </c>
      <c r="AE31" s="697" t="s">
        <v>644</v>
      </c>
      <c r="AF31" s="697" t="s">
        <v>644</v>
      </c>
      <c r="AG31" s="747" t="str">
        <f>ASC(【マスター】!$D$57)</f>
        <v>20</v>
      </c>
      <c r="AH31" s="695" t="s">
        <v>639</v>
      </c>
      <c r="AI31" s="695"/>
      <c r="AK31" s="760" t="str">
        <f>【マスター】!$H$40</f>
        <v>保険外1.2</v>
      </c>
      <c r="AL31" s="760" t="str">
        <f>【マスター】!$J$40</f>
        <v>３，５００</v>
      </c>
      <c r="AM31" s="759" t="s">
        <v>1913</v>
      </c>
      <c r="AN31" s="751" t="s">
        <v>1905</v>
      </c>
    </row>
    <row r="32" spans="1:40" ht="19.350000000000001" customHeight="1">
      <c r="A32" s="519" t="s">
        <v>586</v>
      </c>
      <c r="B32" s="1356" t="s">
        <v>587</v>
      </c>
      <c r="C32" s="1356"/>
      <c r="D32" s="1356"/>
      <c r="E32" s="1356"/>
      <c r="F32" s="1356"/>
      <c r="G32" s="1356"/>
      <c r="H32" s="1356"/>
      <c r="I32" s="1356"/>
      <c r="J32" s="1356"/>
      <c r="K32" s="1356"/>
      <c r="L32" s="1356"/>
      <c r="M32" s="1356"/>
      <c r="N32" s="1356"/>
      <c r="O32" s="1356" t="s">
        <v>642</v>
      </c>
      <c r="P32" s="1356"/>
      <c r="Q32" s="1356"/>
      <c r="R32" s="1356" t="s">
        <v>590</v>
      </c>
      <c r="S32" s="1356"/>
      <c r="T32" s="1356" t="s">
        <v>643</v>
      </c>
      <c r="U32" s="1356"/>
      <c r="V32" s="1356"/>
      <c r="W32" s="1356"/>
      <c r="X32" s="1356"/>
      <c r="Y32" s="746" t="s">
        <v>650</v>
      </c>
      <c r="Z32" s="484"/>
      <c r="AA32" s="484"/>
      <c r="AB32" s="484"/>
      <c r="AE32" s="697" t="s">
        <v>209</v>
      </c>
      <c r="AF32" s="697" t="s">
        <v>209</v>
      </c>
      <c r="AG32" s="747" t="str">
        <f>ASC(【マスター】!$D$67)</f>
        <v>30</v>
      </c>
      <c r="AH32" s="695" t="s">
        <v>639</v>
      </c>
      <c r="AI32" s="695"/>
      <c r="AK32" s="760" t="str">
        <f>【マスター】!$H$41</f>
        <v>保険外3.4.5</v>
      </c>
      <c r="AL32" s="760" t="str">
        <f>【マスター】!$J$41</f>
        <v>３，５００</v>
      </c>
      <c r="AM32" s="759" t="s">
        <v>1913</v>
      </c>
      <c r="AN32" s="751" t="s">
        <v>1905</v>
      </c>
    </row>
    <row r="33" spans="1:40" ht="19.350000000000001" customHeight="1" thickBot="1">
      <c r="A33" s="315" t="str">
        <f>IF(B33="","",1)</f>
        <v/>
      </c>
      <c r="B33" s="1379"/>
      <c r="C33" s="1379"/>
      <c r="D33" s="1379"/>
      <c r="E33" s="1379"/>
      <c r="F33" s="1379"/>
      <c r="G33" s="1379"/>
      <c r="H33" s="1379"/>
      <c r="I33" s="1379"/>
      <c r="J33" s="1379"/>
      <c r="K33" s="1379"/>
      <c r="L33" s="1379"/>
      <c r="M33" s="1379"/>
      <c r="N33" s="1379"/>
      <c r="O33" s="1355" t="str">
        <f>IF(B33="","",VLOOKUP(B33,$AK$31:$AM$40,2,FALSE))</f>
        <v/>
      </c>
      <c r="P33" s="1355"/>
      <c r="Q33" s="1355"/>
      <c r="R33" s="566"/>
      <c r="S33" s="319" t="str">
        <f>IF(B33="","",VLOOKUP(B33,$AE$11:$AH$189,4,FALSE))</f>
        <v/>
      </c>
      <c r="T33" s="1387" t="str">
        <f>IF(B33="","",O33*R33)</f>
        <v/>
      </c>
      <c r="U33" s="1387"/>
      <c r="V33" s="1387"/>
      <c r="W33" s="1387"/>
      <c r="X33" s="1387"/>
      <c r="AB33" s="330" t="str">
        <f>IF(T18="","",IF(AB30&gt;T18,0,T18-AB30))</f>
        <v/>
      </c>
      <c r="AE33" s="697" t="s">
        <v>210</v>
      </c>
      <c r="AF33" s="697" t="s">
        <v>210</v>
      </c>
      <c r="AG33" s="747" t="str">
        <f>ASC(【マスター】!$D$68)</f>
        <v>60</v>
      </c>
      <c r="AH33" s="695" t="s">
        <v>639</v>
      </c>
      <c r="AI33" s="695"/>
      <c r="AK33" s="760" t="str">
        <f>【マスター】!$H$42</f>
        <v>夜間</v>
      </c>
      <c r="AL33" s="760" t="str">
        <f>【マスター】!$J$42</f>
        <v>１，２００</v>
      </c>
      <c r="AM33" s="759" t="s">
        <v>1913</v>
      </c>
      <c r="AN33" s="751" t="s">
        <v>1905</v>
      </c>
    </row>
    <row r="34" spans="1:40" ht="19.350000000000001" customHeight="1" thickTop="1">
      <c r="A34" s="315" t="str">
        <f>IF(B34="","",2)</f>
        <v/>
      </c>
      <c r="B34" s="1379"/>
      <c r="C34" s="1379"/>
      <c r="D34" s="1379"/>
      <c r="E34" s="1379"/>
      <c r="F34" s="1379"/>
      <c r="G34" s="1379"/>
      <c r="H34" s="1379"/>
      <c r="I34" s="1379"/>
      <c r="J34" s="1379"/>
      <c r="K34" s="1379"/>
      <c r="L34" s="1379"/>
      <c r="M34" s="1379"/>
      <c r="N34" s="1379"/>
      <c r="O34" s="1355" t="str">
        <f>IF(B34="","",VLOOKUP(B34,$AK$31:$AM$40,2,FALSE))</f>
        <v/>
      </c>
      <c r="P34" s="1355"/>
      <c r="Q34" s="1355"/>
      <c r="R34" s="566"/>
      <c r="S34" s="319" t="str">
        <f t="shared" ref="S34:S35" si="4">IF(B34="","",VLOOKUP(B34,$AE$11:$AH$189,4,FALSE))</f>
        <v/>
      </c>
      <c r="T34" s="1387" t="str">
        <f t="shared" ref="T34:T36" si="5">IF(B34="","",O34*R34)</f>
        <v/>
      </c>
      <c r="U34" s="1387"/>
      <c r="V34" s="1387"/>
      <c r="W34" s="1387"/>
      <c r="X34" s="1387"/>
      <c r="AB34" s="321" t="s">
        <v>618</v>
      </c>
      <c r="AE34" s="697" t="s">
        <v>1757</v>
      </c>
      <c r="AF34" s="697" t="s">
        <v>1757</v>
      </c>
      <c r="AG34" s="747" t="str">
        <f>ASC(【マスター】!$D$69)</f>
        <v>3</v>
      </c>
      <c r="AH34" s="695" t="s">
        <v>1770</v>
      </c>
      <c r="AI34" s="695"/>
      <c r="AK34" s="760" t="str">
        <f>【マスター】!$H$43</f>
        <v>時間外</v>
      </c>
      <c r="AL34" s="760" t="str">
        <f>【マスター】!$J$43</f>
        <v>２００</v>
      </c>
      <c r="AM34" s="759" t="s">
        <v>1698</v>
      </c>
      <c r="AN34" s="751" t="s">
        <v>1905</v>
      </c>
    </row>
    <row r="35" spans="1:40" ht="19.350000000000001" customHeight="1">
      <c r="A35" s="315" t="str">
        <f>IF(B35="","",3)</f>
        <v/>
      </c>
      <c r="B35" s="1379"/>
      <c r="C35" s="1379"/>
      <c r="D35" s="1379"/>
      <c r="E35" s="1379"/>
      <c r="F35" s="1379"/>
      <c r="G35" s="1379"/>
      <c r="H35" s="1379"/>
      <c r="I35" s="1379"/>
      <c r="J35" s="1379"/>
      <c r="K35" s="1379"/>
      <c r="L35" s="1379"/>
      <c r="M35" s="1379"/>
      <c r="N35" s="1379"/>
      <c r="O35" s="1355" t="str">
        <f t="shared" ref="O35" si="6">IF(B35="","",VLOOKUP(B35,$AK$31:$AM$40,2,FALSE))</f>
        <v/>
      </c>
      <c r="P35" s="1355"/>
      <c r="Q35" s="1355"/>
      <c r="R35" s="566"/>
      <c r="S35" s="319" t="str">
        <f t="shared" si="4"/>
        <v/>
      </c>
      <c r="T35" s="1387" t="str">
        <f t="shared" si="5"/>
        <v/>
      </c>
      <c r="U35" s="1387"/>
      <c r="V35" s="1387"/>
      <c r="W35" s="1387"/>
      <c r="X35" s="1387"/>
      <c r="AB35" s="322" t="s">
        <v>653</v>
      </c>
      <c r="AE35" s="697" t="s">
        <v>647</v>
      </c>
      <c r="AF35" s="697" t="s">
        <v>647</v>
      </c>
      <c r="AG35" s="747" t="str">
        <f>ASC(【マスター】!$D$52)</f>
        <v>60</v>
      </c>
      <c r="AH35" s="695" t="s">
        <v>641</v>
      </c>
      <c r="AI35" s="695"/>
      <c r="AK35" s="760" t="str">
        <f>【マスター】!$H$44</f>
        <v>朝食</v>
      </c>
      <c r="AL35" s="760" t="str">
        <f>【マスター】!$J$44</f>
        <v>５００</v>
      </c>
      <c r="AM35" s="759" t="s">
        <v>645</v>
      </c>
      <c r="AN35" s="751" t="s">
        <v>1905</v>
      </c>
    </row>
    <row r="36" spans="1:40" ht="19.350000000000001" customHeight="1">
      <c r="A36" s="315" t="str">
        <f>IF(B36="","",4)</f>
        <v/>
      </c>
      <c r="B36" s="1314"/>
      <c r="C36" s="1314"/>
      <c r="D36" s="1314"/>
      <c r="E36" s="1314"/>
      <c r="F36" s="1314"/>
      <c r="G36" s="1314"/>
      <c r="H36" s="1314"/>
      <c r="I36" s="1314"/>
      <c r="J36" s="1314"/>
      <c r="K36" s="1314"/>
      <c r="L36" s="1314"/>
      <c r="M36" s="1314"/>
      <c r="N36" s="1314"/>
      <c r="O36" s="1355"/>
      <c r="P36" s="1355"/>
      <c r="Q36" s="1355"/>
      <c r="R36" s="566"/>
      <c r="S36" s="567"/>
      <c r="T36" s="1387" t="str">
        <f t="shared" si="5"/>
        <v/>
      </c>
      <c r="U36" s="1387"/>
      <c r="V36" s="1387"/>
      <c r="W36" s="1387"/>
      <c r="X36" s="1387"/>
      <c r="AE36" s="697" t="s">
        <v>649</v>
      </c>
      <c r="AF36" s="697" t="s">
        <v>649</v>
      </c>
      <c r="AG36" s="747" t="str">
        <f>ASC(【マスター】!$D$53)</f>
        <v>60</v>
      </c>
      <c r="AH36" s="695" t="s">
        <v>641</v>
      </c>
      <c r="AI36" s="695"/>
      <c r="AK36" s="760" t="str">
        <f>【マスター】!$H$45</f>
        <v>昼食</v>
      </c>
      <c r="AL36" s="760" t="str">
        <f>【マスター】!$J$45</f>
        <v>５７０</v>
      </c>
      <c r="AM36" s="759" t="s">
        <v>645</v>
      </c>
      <c r="AN36" s="751" t="s">
        <v>1905</v>
      </c>
    </row>
    <row r="37" spans="1:40" ht="19.350000000000001" customHeight="1">
      <c r="A37" s="315" t="str">
        <f>IF(B37="","",5)</f>
        <v/>
      </c>
      <c r="B37" s="1314"/>
      <c r="C37" s="1314"/>
      <c r="D37" s="1314"/>
      <c r="E37" s="1314"/>
      <c r="F37" s="1314"/>
      <c r="G37" s="1314"/>
      <c r="H37" s="1314"/>
      <c r="I37" s="1314"/>
      <c r="J37" s="1314"/>
      <c r="K37" s="1314"/>
      <c r="L37" s="1314"/>
      <c r="M37" s="1314"/>
      <c r="N37" s="1314"/>
      <c r="O37" s="1355"/>
      <c r="P37" s="1355"/>
      <c r="Q37" s="1355"/>
      <c r="R37" s="318"/>
      <c r="S37" s="567"/>
      <c r="T37" s="1388" t="str">
        <f t="shared" ref="T37" si="7">IF(B37="","",O37*R37)</f>
        <v/>
      </c>
      <c r="U37" s="1388"/>
      <c r="V37" s="1388"/>
      <c r="W37" s="1388"/>
      <c r="X37" s="1388"/>
      <c r="Z37" s="317"/>
      <c r="AA37" s="317"/>
      <c r="AB37" s="317"/>
      <c r="AC37" s="317"/>
      <c r="AE37" s="697" t="s">
        <v>651</v>
      </c>
      <c r="AF37" s="697" t="s">
        <v>1803</v>
      </c>
      <c r="AG37" s="747" t="str">
        <f>ASC(【マスター】!$D$61)</f>
        <v>200</v>
      </c>
      <c r="AH37" s="695" t="s">
        <v>600</v>
      </c>
      <c r="AI37" s="695" t="s">
        <v>652</v>
      </c>
      <c r="AK37" s="760" t="str">
        <f>【マスター】!$H$46</f>
        <v>夕食</v>
      </c>
      <c r="AL37" s="760" t="str">
        <f>【マスター】!$J$46</f>
        <v>６３０</v>
      </c>
      <c r="AM37" s="759" t="s">
        <v>645</v>
      </c>
      <c r="AN37" s="751" t="s">
        <v>1905</v>
      </c>
    </row>
    <row r="38" spans="1:40" ht="19.350000000000001" customHeight="1">
      <c r="O38" s="1358" t="s">
        <v>1890</v>
      </c>
      <c r="P38" s="1358"/>
      <c r="Q38" s="1358"/>
      <c r="R38" s="1358"/>
      <c r="S38" s="1358"/>
      <c r="T38" s="1388" t="str">
        <f>IF(B33="","",SUM(T33:X37))</f>
        <v/>
      </c>
      <c r="U38" s="1388"/>
      <c r="V38" s="1388"/>
      <c r="W38" s="1388"/>
      <c r="X38" s="1388"/>
      <c r="AE38" s="697" t="s">
        <v>1758</v>
      </c>
      <c r="AF38" s="697" t="s">
        <v>1758</v>
      </c>
      <c r="AG38" s="747" t="str">
        <f>ASC(【マスター】!$D$61)</f>
        <v>200</v>
      </c>
      <c r="AH38" s="695" t="s">
        <v>705</v>
      </c>
      <c r="AI38" s="695"/>
      <c r="AK38" s="760" t="str">
        <f>【マスター】!$H$47</f>
        <v>おむつ・リハパン</v>
      </c>
      <c r="AL38" s="760" t="str">
        <f>【マスター】!$J$47</f>
        <v>１００</v>
      </c>
      <c r="AM38" s="759" t="s">
        <v>1914</v>
      </c>
      <c r="AN38" s="751" t="s">
        <v>1905</v>
      </c>
    </row>
    <row r="39" spans="1:40" ht="19.350000000000001" customHeight="1" thickBot="1">
      <c r="A39" s="323" t="s">
        <v>1874</v>
      </c>
      <c r="B39" s="326"/>
      <c r="C39" s="326"/>
      <c r="D39" s="323"/>
      <c r="E39" s="323"/>
      <c r="F39" s="326"/>
      <c r="H39" s="323" t="s">
        <v>1875</v>
      </c>
      <c r="O39" s="323" t="s">
        <v>1891</v>
      </c>
      <c r="AE39" s="697" t="s">
        <v>1879</v>
      </c>
      <c r="AF39" s="697" t="s">
        <v>1804</v>
      </c>
      <c r="AG39" s="747" t="str">
        <f>ASC(【マスター】!$D$63)</f>
        <v>20</v>
      </c>
      <c r="AH39" s="695" t="s">
        <v>600</v>
      </c>
      <c r="AI39" s="697" t="s">
        <v>1759</v>
      </c>
      <c r="AK39" s="760" t="str">
        <f>【マスター】!$H$48</f>
        <v>パッド</v>
      </c>
      <c r="AL39" s="760" t="str">
        <f>【マスター】!$J$48</f>
        <v>５０</v>
      </c>
      <c r="AM39" s="759" t="s">
        <v>648</v>
      </c>
      <c r="AN39" s="751" t="s">
        <v>1905</v>
      </c>
    </row>
    <row r="40" spans="1:40" ht="19.350000000000001" customHeight="1">
      <c r="A40" s="1356" t="s">
        <v>1889</v>
      </c>
      <c r="B40" s="1356"/>
      <c r="C40" s="1356"/>
      <c r="D40" s="1356"/>
      <c r="E40" s="1356"/>
      <c r="F40" s="1356"/>
      <c r="G40" s="1386" t="s">
        <v>629</v>
      </c>
      <c r="H40" s="1358" t="s">
        <v>1890</v>
      </c>
      <c r="I40" s="1358"/>
      <c r="J40" s="1358"/>
      <c r="K40" s="1358"/>
      <c r="L40" s="1358"/>
      <c r="M40" s="1358"/>
      <c r="N40" s="1345" t="s">
        <v>630</v>
      </c>
      <c r="O40" s="1361" t="s">
        <v>657</v>
      </c>
      <c r="P40" s="1362"/>
      <c r="Q40" s="1362"/>
      <c r="R40" s="1362"/>
      <c r="S40" s="1362"/>
      <c r="T40" s="1362"/>
      <c r="U40" s="1362"/>
      <c r="V40" s="1362"/>
      <c r="W40" s="1362"/>
      <c r="X40" s="1363"/>
      <c r="AE40" s="697" t="s">
        <v>1880</v>
      </c>
      <c r="AF40" s="697" t="s">
        <v>1805</v>
      </c>
      <c r="AG40" s="747" t="str">
        <f>ASC(【マスター】!$D$64)</f>
        <v>5</v>
      </c>
      <c r="AH40" s="695" t="s">
        <v>692</v>
      </c>
      <c r="AI40" s="697" t="s">
        <v>1759</v>
      </c>
      <c r="AK40" s="760" t="str">
        <f>【マスター】!$H$49</f>
        <v>付き添い</v>
      </c>
      <c r="AL40" s="760" t="str">
        <f>【マスター】!$J$49</f>
        <v>２００</v>
      </c>
      <c r="AM40" s="759" t="s">
        <v>867</v>
      </c>
      <c r="AN40" s="751" t="s">
        <v>1905</v>
      </c>
    </row>
    <row r="41" spans="1:40" ht="19.350000000000001" customHeight="1">
      <c r="A41" s="1377" t="str">
        <f>N29</f>
        <v/>
      </c>
      <c r="B41" s="1377"/>
      <c r="C41" s="1377"/>
      <c r="D41" s="1377"/>
      <c r="E41" s="1377"/>
      <c r="F41" s="1377"/>
      <c r="G41" s="1386"/>
      <c r="H41" s="1378" t="str">
        <f>T38</f>
        <v/>
      </c>
      <c r="I41" s="1378"/>
      <c r="J41" s="1378"/>
      <c r="K41" s="1378"/>
      <c r="L41" s="1378"/>
      <c r="M41" s="1378"/>
      <c r="N41" s="1345"/>
      <c r="O41" s="1380" t="str">
        <f>IF(H41="",A41,A41+H41)</f>
        <v/>
      </c>
      <c r="P41" s="1381"/>
      <c r="Q41" s="1381"/>
      <c r="R41" s="1381"/>
      <c r="S41" s="1381"/>
      <c r="T41" s="1381"/>
      <c r="U41" s="1381"/>
      <c r="V41" s="1381"/>
      <c r="W41" s="1381"/>
      <c r="X41" s="1382"/>
      <c r="AE41" s="697" t="s">
        <v>1760</v>
      </c>
      <c r="AF41" s="697" t="s">
        <v>1806</v>
      </c>
      <c r="AG41" s="747" t="str">
        <f>ASC(【マスター】!$D$65)</f>
        <v>150</v>
      </c>
      <c r="AH41" s="695" t="s">
        <v>600</v>
      </c>
      <c r="AI41" s="695" t="s">
        <v>652</v>
      </c>
    </row>
    <row r="42" spans="1:40" ht="19.350000000000001" customHeight="1" thickBot="1">
      <c r="A42" s="1377"/>
      <c r="B42" s="1377"/>
      <c r="C42" s="1377"/>
      <c r="D42" s="1377"/>
      <c r="E42" s="1377"/>
      <c r="F42" s="1377"/>
      <c r="G42" s="1386"/>
      <c r="H42" s="1378"/>
      <c r="I42" s="1378"/>
      <c r="J42" s="1378"/>
      <c r="K42" s="1378"/>
      <c r="L42" s="1378"/>
      <c r="M42" s="1378"/>
      <c r="N42" s="1345"/>
      <c r="O42" s="1383"/>
      <c r="P42" s="1384"/>
      <c r="Q42" s="1384"/>
      <c r="R42" s="1384"/>
      <c r="S42" s="1384"/>
      <c r="T42" s="1384"/>
      <c r="U42" s="1384"/>
      <c r="V42" s="1384"/>
      <c r="W42" s="1384"/>
      <c r="X42" s="1385"/>
      <c r="AC42" s="321"/>
      <c r="AE42" s="697" t="s">
        <v>1761</v>
      </c>
      <c r="AF42" s="697" t="s">
        <v>1807</v>
      </c>
      <c r="AG42" s="747" t="str">
        <f>ASC(【マスター】!$D$66)</f>
        <v>160</v>
      </c>
      <c r="AH42" s="695" t="s">
        <v>600</v>
      </c>
      <c r="AI42" s="695" t="s">
        <v>652</v>
      </c>
    </row>
    <row r="43" spans="1:40" ht="19.350000000000001" customHeight="1">
      <c r="AC43" s="322"/>
      <c r="AE43" s="697" t="s">
        <v>1871</v>
      </c>
      <c r="AF43" s="697" t="s">
        <v>1872</v>
      </c>
      <c r="AG43" s="695" t="str">
        <f>ASC(【マスター】!$D$73)</f>
        <v>40</v>
      </c>
      <c r="AH43" s="695" t="s">
        <v>1873</v>
      </c>
      <c r="AI43" s="695"/>
    </row>
    <row r="44" spans="1:40" ht="19.350000000000001" customHeight="1">
      <c r="S44" s="312" t="s">
        <v>2028</v>
      </c>
      <c r="T44" s="395" t="s">
        <v>666</v>
      </c>
      <c r="U44" s="395"/>
      <c r="V44" s="395" t="s">
        <v>667</v>
      </c>
      <c r="W44" s="395"/>
      <c r="X44" s="395" t="s">
        <v>668</v>
      </c>
      <c r="AE44" s="697" t="s">
        <v>169</v>
      </c>
      <c r="AF44" s="697" t="s">
        <v>1808</v>
      </c>
      <c r="AG44" s="747" t="str">
        <f>ASC("-"&amp;【マスター】!$K$53)</f>
        <v>-47</v>
      </c>
      <c r="AH44" s="695" t="s">
        <v>600</v>
      </c>
      <c r="AI44" s="695" t="s">
        <v>654</v>
      </c>
    </row>
    <row r="45" spans="1:40" ht="19.350000000000001" customHeight="1">
      <c r="A45" s="312" t="str">
        <f>【マスター】!C7</f>
        <v>デイサービスさくら亭</v>
      </c>
      <c r="X45" s="321"/>
      <c r="Z45" s="798"/>
      <c r="AA45" s="798"/>
      <c r="AB45" s="798"/>
      <c r="AC45" s="798"/>
      <c r="AE45" s="695" t="s">
        <v>1909</v>
      </c>
      <c r="AF45" s="695" t="s">
        <v>1909</v>
      </c>
      <c r="AG45" s="747" t="str">
        <f>ASC("-"&amp;【マスター】!$K$54)</f>
        <v>-94</v>
      </c>
      <c r="AH45" s="747" t="s">
        <v>91</v>
      </c>
      <c r="AI45" s="747"/>
      <c r="AJ45" s="748"/>
    </row>
    <row r="46" spans="1:40" ht="19.350000000000001" customHeight="1">
      <c r="A46" s="312" t="str">
        <f>"TEL:"&amp;(【マスター】!C10)</f>
        <v>TEL:0532-39-7855</v>
      </c>
      <c r="Z46" s="748"/>
      <c r="AA46" s="748"/>
      <c r="AB46" s="748"/>
      <c r="AC46" s="748"/>
      <c r="AE46" s="484" t="s">
        <v>602</v>
      </c>
    </row>
    <row r="47" spans="1:40">
      <c r="A47" s="312" t="str">
        <f>"FAX:"&amp;【マスター】!I10</f>
        <v>FAX:0532-39-7856</v>
      </c>
      <c r="P47" s="396"/>
      <c r="Q47" s="396"/>
      <c r="R47" s="396"/>
      <c r="S47" s="396"/>
      <c r="T47" s="396"/>
      <c r="U47" s="396"/>
      <c r="V47" s="396"/>
      <c r="W47" s="396"/>
      <c r="X47" s="397"/>
      <c r="Z47" s="748"/>
      <c r="AA47" s="748"/>
      <c r="AB47" s="748"/>
      <c r="AC47" s="748"/>
      <c r="AE47" s="729" t="s">
        <v>595</v>
      </c>
      <c r="AF47" s="320" t="s">
        <v>588</v>
      </c>
      <c r="AG47" s="320" t="s">
        <v>589</v>
      </c>
      <c r="AH47" s="320" t="s">
        <v>590</v>
      </c>
      <c r="AI47" s="320" t="s">
        <v>596</v>
      </c>
    </row>
    <row r="48" spans="1:40">
      <c r="Z48" s="748"/>
      <c r="AA48" s="748"/>
      <c r="AB48" s="748"/>
      <c r="AC48" s="748"/>
      <c r="AE48" s="730" t="s">
        <v>658</v>
      </c>
      <c r="AF48" s="315" t="s">
        <v>659</v>
      </c>
      <c r="AG48" s="694">
        <f>$AG$50*0.7</f>
        <v>350.7</v>
      </c>
      <c r="AH48" s="315" t="s">
        <v>600</v>
      </c>
      <c r="AI48" s="315"/>
      <c r="AJ48" s="315"/>
    </row>
    <row r="49" spans="26:36">
      <c r="Z49" s="748"/>
      <c r="AA49" s="748"/>
      <c r="AB49" s="748"/>
      <c r="AC49" s="799"/>
      <c r="AE49" s="730" t="s">
        <v>660</v>
      </c>
      <c r="AF49" s="315" t="s">
        <v>661</v>
      </c>
      <c r="AG49" s="315">
        <f>【マスター】!$W$18</f>
        <v>478</v>
      </c>
      <c r="AH49" s="315" t="s">
        <v>600</v>
      </c>
      <c r="AI49" s="315"/>
      <c r="AJ49" s="315"/>
    </row>
    <row r="50" spans="26:36">
      <c r="Z50" s="748"/>
      <c r="AA50" s="748"/>
      <c r="AB50" s="748"/>
      <c r="AC50" s="800"/>
      <c r="AE50" s="730" t="s">
        <v>662</v>
      </c>
      <c r="AF50" s="315" t="s">
        <v>663</v>
      </c>
      <c r="AG50" s="315">
        <f>【マスター】!$AB$18</f>
        <v>501</v>
      </c>
      <c r="AH50" s="315" t="s">
        <v>600</v>
      </c>
      <c r="AI50" s="315"/>
      <c r="AJ50" s="315"/>
    </row>
    <row r="51" spans="26:36">
      <c r="AE51" s="730" t="s">
        <v>664</v>
      </c>
      <c r="AF51" s="315" t="s">
        <v>665</v>
      </c>
      <c r="AG51" s="315">
        <f>【マスター】!$AG$18</f>
        <v>776</v>
      </c>
      <c r="AH51" s="315" t="s">
        <v>600</v>
      </c>
      <c r="AI51" s="315"/>
      <c r="AJ51" s="315"/>
    </row>
    <row r="52" spans="26:36">
      <c r="AE52" s="730" t="s">
        <v>669</v>
      </c>
      <c r="AF52" s="315" t="s">
        <v>670</v>
      </c>
      <c r="AG52" s="315">
        <f>【マスター】!$AL$18</f>
        <v>801</v>
      </c>
      <c r="AH52" s="315" t="s">
        <v>600</v>
      </c>
      <c r="AI52" s="315"/>
      <c r="AJ52" s="315"/>
    </row>
    <row r="53" spans="26:36">
      <c r="AE53" s="730" t="s">
        <v>671</v>
      </c>
      <c r="AF53" s="315" t="s">
        <v>672</v>
      </c>
      <c r="AG53" s="315">
        <f>【マスター】!AQ18</f>
        <v>890</v>
      </c>
      <c r="AH53" s="315" t="s">
        <v>600</v>
      </c>
      <c r="AI53" s="315"/>
      <c r="AJ53" s="315"/>
    </row>
    <row r="54" spans="26:36">
      <c r="AE54" s="730" t="s">
        <v>673</v>
      </c>
      <c r="AF54" s="315" t="s">
        <v>674</v>
      </c>
      <c r="AG54" s="315">
        <f>【マスター】!AV18</f>
        <v>925</v>
      </c>
      <c r="AH54" s="315" t="s">
        <v>600</v>
      </c>
      <c r="AI54" s="315"/>
      <c r="AJ54" s="315"/>
    </row>
    <row r="55" spans="26:36">
      <c r="AE55" s="730" t="s">
        <v>1842</v>
      </c>
      <c r="AF55" s="315" t="s">
        <v>1796</v>
      </c>
      <c r="AG55" s="315">
        <v>50</v>
      </c>
      <c r="AH55" s="315" t="s">
        <v>600</v>
      </c>
      <c r="AI55" s="315"/>
    </row>
    <row r="56" spans="26:36">
      <c r="AE56" s="730" t="s">
        <v>1843</v>
      </c>
      <c r="AF56" s="315" t="s">
        <v>1797</v>
      </c>
      <c r="AG56" s="315">
        <v>100</v>
      </c>
      <c r="AH56" s="315" t="s">
        <v>600</v>
      </c>
      <c r="AI56" s="315"/>
    </row>
    <row r="57" spans="26:36">
      <c r="AE57" s="730" t="s">
        <v>1844</v>
      </c>
      <c r="AF57" s="315" t="s">
        <v>1798</v>
      </c>
      <c r="AG57" s="315">
        <v>150</v>
      </c>
      <c r="AH57" s="315" t="s">
        <v>600</v>
      </c>
      <c r="AI57" s="325"/>
    </row>
    <row r="58" spans="26:36">
      <c r="AE58" s="730" t="s">
        <v>1845</v>
      </c>
      <c r="AF58" s="315" t="s">
        <v>1799</v>
      </c>
      <c r="AG58" s="315">
        <v>200</v>
      </c>
      <c r="AH58" s="315" t="s">
        <v>600</v>
      </c>
      <c r="AI58" s="315"/>
    </row>
    <row r="59" spans="26:36">
      <c r="AE59" s="730" t="s">
        <v>1846</v>
      </c>
      <c r="AF59" s="315" t="s">
        <v>1800</v>
      </c>
      <c r="AG59" s="315">
        <v>250</v>
      </c>
      <c r="AH59" s="315" t="s">
        <v>600</v>
      </c>
      <c r="AI59" s="315"/>
    </row>
    <row r="60" spans="26:36">
      <c r="AE60" s="697" t="s">
        <v>1751</v>
      </c>
      <c r="AF60" s="695" t="s">
        <v>1751</v>
      </c>
      <c r="AG60" s="747" t="str">
        <f>ASC(【マスター】!$D$50)</f>
        <v>40</v>
      </c>
      <c r="AH60" s="695" t="s">
        <v>1769</v>
      </c>
      <c r="AI60" s="695"/>
    </row>
    <row r="61" spans="26:36">
      <c r="AE61" s="697" t="s">
        <v>1752</v>
      </c>
      <c r="AF61" s="695" t="s">
        <v>1752</v>
      </c>
      <c r="AG61" s="747" t="str">
        <f>ASC(【マスター】!$D$51)</f>
        <v>55</v>
      </c>
      <c r="AH61" s="695" t="s">
        <v>1769</v>
      </c>
      <c r="AI61" s="695"/>
    </row>
    <row r="62" spans="26:36">
      <c r="AE62" s="697" t="s">
        <v>638</v>
      </c>
      <c r="AF62" s="695" t="s">
        <v>638</v>
      </c>
      <c r="AG62" s="761" t="str">
        <f>ASC(【マスター】!$D$54)</f>
        <v>45</v>
      </c>
      <c r="AH62" s="695" t="s">
        <v>600</v>
      </c>
      <c r="AI62" s="696"/>
    </row>
    <row r="63" spans="26:36">
      <c r="AE63" s="697" t="s">
        <v>1753</v>
      </c>
      <c r="AF63" s="697" t="s">
        <v>1802</v>
      </c>
      <c r="AG63" s="747" t="str">
        <f>ASC(【マスター】!$D$70)</f>
        <v>100</v>
      </c>
      <c r="AH63" s="695" t="s">
        <v>639</v>
      </c>
      <c r="AI63" s="716" t="s">
        <v>1801</v>
      </c>
    </row>
    <row r="64" spans="26:36">
      <c r="AE64" s="697" t="s">
        <v>1754</v>
      </c>
      <c r="AF64" s="697" t="s">
        <v>1754</v>
      </c>
      <c r="AG64" s="747" t="str">
        <f>ASC(【マスター】!$D$71)</f>
        <v>100</v>
      </c>
      <c r="AH64" s="695" t="s">
        <v>639</v>
      </c>
      <c r="AI64" s="695"/>
    </row>
    <row r="65" spans="31:35">
      <c r="AE65" s="697" t="s">
        <v>1755</v>
      </c>
      <c r="AF65" s="697" t="s">
        <v>1755</v>
      </c>
      <c r="AG65" s="747" t="str">
        <f>ASC(【マスター】!$D$55)</f>
        <v>56</v>
      </c>
      <c r="AH65" s="695" t="s">
        <v>641</v>
      </c>
      <c r="AI65" s="695"/>
    </row>
    <row r="66" spans="31:35">
      <c r="AE66" s="697" t="s">
        <v>1756</v>
      </c>
      <c r="AF66" s="697" t="s">
        <v>1756</v>
      </c>
      <c r="AG66" s="747" t="str">
        <f>ASC(【マスター】!$D$56)</f>
        <v>76</v>
      </c>
      <c r="AH66" s="695" t="s">
        <v>706</v>
      </c>
      <c r="AI66" s="695"/>
    </row>
    <row r="67" spans="31:35">
      <c r="AE67" s="697" t="s">
        <v>644</v>
      </c>
      <c r="AF67" s="697" t="s">
        <v>644</v>
      </c>
      <c r="AG67" s="747" t="str">
        <f>ASC(【マスター】!$D$57)</f>
        <v>20</v>
      </c>
      <c r="AH67" s="695" t="s">
        <v>639</v>
      </c>
      <c r="AI67" s="695"/>
    </row>
    <row r="68" spans="31:35">
      <c r="AE68" s="697" t="s">
        <v>209</v>
      </c>
      <c r="AF68" s="697" t="s">
        <v>209</v>
      </c>
      <c r="AG68" s="747" t="str">
        <f>ASC(【マスター】!$D$67)</f>
        <v>30</v>
      </c>
      <c r="AH68" s="695" t="s">
        <v>639</v>
      </c>
      <c r="AI68" s="695"/>
    </row>
    <row r="69" spans="31:35">
      <c r="AE69" s="697" t="s">
        <v>210</v>
      </c>
      <c r="AF69" s="697" t="s">
        <v>210</v>
      </c>
      <c r="AG69" s="747" t="str">
        <f>ASC(【マスター】!$D$68)</f>
        <v>60</v>
      </c>
      <c r="AH69" s="695" t="s">
        <v>639</v>
      </c>
      <c r="AI69" s="695"/>
    </row>
    <row r="70" spans="31:35">
      <c r="AE70" s="697" t="s">
        <v>1757</v>
      </c>
      <c r="AF70" s="697" t="s">
        <v>1757</v>
      </c>
      <c r="AG70" s="747" t="str">
        <f>ASC(【マスター】!$D$69)</f>
        <v>3</v>
      </c>
      <c r="AH70" s="695" t="s">
        <v>1770</v>
      </c>
      <c r="AI70" s="695"/>
    </row>
    <row r="71" spans="31:35">
      <c r="AE71" s="697" t="s">
        <v>647</v>
      </c>
      <c r="AF71" s="697" t="s">
        <v>647</v>
      </c>
      <c r="AG71" s="747" t="str">
        <f>ASC(【マスター】!$D$52)</f>
        <v>60</v>
      </c>
      <c r="AH71" s="695" t="s">
        <v>641</v>
      </c>
      <c r="AI71" s="695"/>
    </row>
    <row r="72" spans="31:35">
      <c r="AE72" s="697" t="s">
        <v>649</v>
      </c>
      <c r="AF72" s="697" t="s">
        <v>649</v>
      </c>
      <c r="AG72" s="747" t="str">
        <f>ASC(【マスター】!$D$53)</f>
        <v>60</v>
      </c>
      <c r="AH72" s="695" t="s">
        <v>641</v>
      </c>
      <c r="AI72" s="695"/>
    </row>
    <row r="73" spans="31:35">
      <c r="AE73" s="697" t="s">
        <v>651</v>
      </c>
      <c r="AF73" s="697" t="s">
        <v>1803</v>
      </c>
      <c r="AG73" s="747" t="str">
        <f>ASC(【マスター】!$D$61)</f>
        <v>200</v>
      </c>
      <c r="AH73" s="695" t="s">
        <v>600</v>
      </c>
      <c r="AI73" s="695" t="s">
        <v>652</v>
      </c>
    </row>
    <row r="74" spans="31:35">
      <c r="AE74" s="697" t="s">
        <v>1758</v>
      </c>
      <c r="AF74" s="697" t="s">
        <v>1758</v>
      </c>
      <c r="AG74" s="747" t="str">
        <f>ASC(【マスター】!$D$61)</f>
        <v>200</v>
      </c>
      <c r="AH74" s="695" t="s">
        <v>705</v>
      </c>
      <c r="AI74" s="695"/>
    </row>
    <row r="75" spans="31:35">
      <c r="AE75" s="697" t="s">
        <v>1879</v>
      </c>
      <c r="AF75" s="697" t="s">
        <v>1804</v>
      </c>
      <c r="AG75" s="747" t="str">
        <f>ASC(【マスター】!$D$63)</f>
        <v>20</v>
      </c>
      <c r="AH75" s="695" t="s">
        <v>600</v>
      </c>
      <c r="AI75" s="697" t="s">
        <v>1759</v>
      </c>
    </row>
    <row r="76" spans="31:35">
      <c r="AE76" s="697" t="s">
        <v>1880</v>
      </c>
      <c r="AF76" s="697" t="s">
        <v>1805</v>
      </c>
      <c r="AG76" s="747" t="str">
        <f>ASC(【マスター】!$D$64)</f>
        <v>5</v>
      </c>
      <c r="AH76" s="695" t="s">
        <v>692</v>
      </c>
      <c r="AI76" s="697" t="s">
        <v>1759</v>
      </c>
    </row>
    <row r="77" spans="31:35">
      <c r="AE77" s="697" t="s">
        <v>1760</v>
      </c>
      <c r="AF77" s="697" t="s">
        <v>1806</v>
      </c>
      <c r="AG77" s="747" t="str">
        <f>ASC(【マスター】!$D$65)</f>
        <v>150</v>
      </c>
      <c r="AH77" s="695" t="s">
        <v>600</v>
      </c>
      <c r="AI77" s="695" t="s">
        <v>652</v>
      </c>
    </row>
    <row r="78" spans="31:35">
      <c r="AE78" s="697" t="s">
        <v>1761</v>
      </c>
      <c r="AF78" s="697" t="s">
        <v>1807</v>
      </c>
      <c r="AG78" s="747" t="str">
        <f>ASC(【マスター】!$D$66)</f>
        <v>160</v>
      </c>
      <c r="AH78" s="695" t="s">
        <v>600</v>
      </c>
      <c r="AI78" s="695" t="s">
        <v>652</v>
      </c>
    </row>
    <row r="79" spans="31:35">
      <c r="AE79" s="697" t="s">
        <v>1871</v>
      </c>
      <c r="AF79" s="697" t="s">
        <v>1872</v>
      </c>
      <c r="AG79" s="695" t="str">
        <f>ASC(【マスター】!$D$73)</f>
        <v>40</v>
      </c>
      <c r="AH79" s="695" t="s">
        <v>1873</v>
      </c>
      <c r="AI79" s="695"/>
    </row>
    <row r="80" spans="31:35">
      <c r="AE80" s="697" t="s">
        <v>169</v>
      </c>
      <c r="AF80" s="697" t="s">
        <v>1808</v>
      </c>
      <c r="AG80" s="747" t="str">
        <f>ASC("-"&amp;【マスター】!$K$53)</f>
        <v>-47</v>
      </c>
      <c r="AH80" s="695" t="s">
        <v>600</v>
      </c>
      <c r="AI80" s="695" t="s">
        <v>654</v>
      </c>
    </row>
    <row r="81" spans="31:36">
      <c r="AE81" s="695" t="s">
        <v>1909</v>
      </c>
      <c r="AF81" s="695" t="s">
        <v>1909</v>
      </c>
      <c r="AG81" s="747" t="str">
        <f>ASC("-"&amp;【マスター】!$K$54)</f>
        <v>-94</v>
      </c>
      <c r="AH81" s="747" t="s">
        <v>91</v>
      </c>
      <c r="AI81" s="747"/>
      <c r="AJ81" s="748"/>
    </row>
    <row r="82" spans="31:36">
      <c r="AE82" s="484" t="s">
        <v>605</v>
      </c>
    </row>
    <row r="83" spans="31:36">
      <c r="AE83" s="729" t="s">
        <v>595</v>
      </c>
      <c r="AF83" s="320" t="s">
        <v>588</v>
      </c>
      <c r="AG83" s="320" t="s">
        <v>589</v>
      </c>
      <c r="AH83" s="320" t="s">
        <v>590</v>
      </c>
      <c r="AI83" s="320" t="s">
        <v>596</v>
      </c>
    </row>
    <row r="84" spans="31:36">
      <c r="AE84" s="730" t="s">
        <v>676</v>
      </c>
      <c r="AF84" s="315" t="s">
        <v>677</v>
      </c>
      <c r="AG84" s="694">
        <f>$AG$86*0.7</f>
        <v>396.2</v>
      </c>
      <c r="AH84" s="315" t="s">
        <v>600</v>
      </c>
      <c r="AI84" s="315"/>
      <c r="AJ84" s="315"/>
    </row>
    <row r="85" spans="31:36">
      <c r="AE85" s="730" t="s">
        <v>678</v>
      </c>
      <c r="AF85" s="315" t="s">
        <v>679</v>
      </c>
      <c r="AG85" s="315">
        <f>【マスター】!$X$18</f>
        <v>540</v>
      </c>
      <c r="AH85" s="315" t="s">
        <v>600</v>
      </c>
      <c r="AI85" s="315"/>
      <c r="AJ85" s="315"/>
    </row>
    <row r="86" spans="31:36">
      <c r="AE86" s="730" t="s">
        <v>680</v>
      </c>
      <c r="AF86" s="315" t="s">
        <v>681</v>
      </c>
      <c r="AG86" s="315">
        <f>【マスター】!$AC$18</f>
        <v>566</v>
      </c>
      <c r="AH86" s="315" t="s">
        <v>600</v>
      </c>
      <c r="AI86" s="315"/>
      <c r="AJ86" s="315"/>
    </row>
    <row r="87" spans="31:36">
      <c r="AE87" s="730" t="s">
        <v>682</v>
      </c>
      <c r="AF87" s="315" t="s">
        <v>683</v>
      </c>
      <c r="AG87" s="315">
        <f>【マスター】!$AH$18</f>
        <v>896</v>
      </c>
      <c r="AH87" s="315" t="s">
        <v>600</v>
      </c>
      <c r="AI87" s="315"/>
      <c r="AJ87" s="315"/>
    </row>
    <row r="88" spans="31:36">
      <c r="AE88" s="730" t="s">
        <v>684</v>
      </c>
      <c r="AF88" s="315" t="s">
        <v>685</v>
      </c>
      <c r="AG88" s="315">
        <f>【マスター】!$AM$18</f>
        <v>925</v>
      </c>
      <c r="AH88" s="315" t="s">
        <v>600</v>
      </c>
      <c r="AI88" s="315"/>
      <c r="AJ88" s="315"/>
    </row>
    <row r="89" spans="31:36">
      <c r="AE89" s="730" t="s">
        <v>686</v>
      </c>
      <c r="AF89" s="315" t="s">
        <v>687</v>
      </c>
      <c r="AG89" s="315">
        <f>【マスター】!$AR$18</f>
        <v>1032</v>
      </c>
      <c r="AH89" s="315" t="s">
        <v>600</v>
      </c>
      <c r="AI89" s="315"/>
      <c r="AJ89" s="315"/>
    </row>
    <row r="90" spans="31:36">
      <c r="AE90" s="730" t="s">
        <v>688</v>
      </c>
      <c r="AF90" s="315" t="s">
        <v>689</v>
      </c>
      <c r="AG90" s="762">
        <f>【マスター】!$AW$18</f>
        <v>1072</v>
      </c>
      <c r="AH90" s="315" t="s">
        <v>600</v>
      </c>
      <c r="AI90" s="315"/>
      <c r="AJ90" s="315"/>
    </row>
    <row r="91" spans="31:36">
      <c r="AE91" s="730" t="s">
        <v>1847</v>
      </c>
      <c r="AF91" s="315" t="s">
        <v>1796</v>
      </c>
      <c r="AG91" s="315">
        <v>50</v>
      </c>
      <c r="AH91" s="315" t="s">
        <v>600</v>
      </c>
      <c r="AI91" s="315"/>
    </row>
    <row r="92" spans="31:36">
      <c r="AE92" s="730" t="s">
        <v>1848</v>
      </c>
      <c r="AF92" s="315" t="s">
        <v>1797</v>
      </c>
      <c r="AG92" s="315">
        <v>100</v>
      </c>
      <c r="AH92" s="315" t="s">
        <v>600</v>
      </c>
      <c r="AI92" s="315"/>
    </row>
    <row r="93" spans="31:36">
      <c r="AE93" s="730" t="s">
        <v>1849</v>
      </c>
      <c r="AF93" s="315" t="s">
        <v>1798</v>
      </c>
      <c r="AG93" s="315">
        <v>150</v>
      </c>
      <c r="AH93" s="315" t="s">
        <v>600</v>
      </c>
      <c r="AI93" s="325"/>
    </row>
    <row r="94" spans="31:36">
      <c r="AE94" s="730" t="s">
        <v>1850</v>
      </c>
      <c r="AF94" s="315" t="s">
        <v>1799</v>
      </c>
      <c r="AG94" s="315">
        <v>200</v>
      </c>
      <c r="AH94" s="315" t="s">
        <v>600</v>
      </c>
      <c r="AI94" s="315"/>
    </row>
    <row r="95" spans="31:36">
      <c r="AE95" s="730" t="s">
        <v>1851</v>
      </c>
      <c r="AF95" s="315" t="s">
        <v>1800</v>
      </c>
      <c r="AG95" s="315">
        <v>250</v>
      </c>
      <c r="AH95" s="315" t="s">
        <v>600</v>
      </c>
      <c r="AI95" s="315"/>
    </row>
    <row r="96" spans="31:36">
      <c r="AE96" s="697" t="s">
        <v>1751</v>
      </c>
      <c r="AF96" s="695" t="s">
        <v>1751</v>
      </c>
      <c r="AG96" s="747" t="str">
        <f>ASC(【マスター】!$D$50)</f>
        <v>40</v>
      </c>
      <c r="AH96" s="695" t="s">
        <v>1769</v>
      </c>
      <c r="AI96" s="695"/>
    </row>
    <row r="97" spans="31:35">
      <c r="AE97" s="697" t="s">
        <v>1752</v>
      </c>
      <c r="AF97" s="695" t="s">
        <v>1752</v>
      </c>
      <c r="AG97" s="747" t="str">
        <f>ASC(【マスター】!$D$51)</f>
        <v>55</v>
      </c>
      <c r="AH97" s="695" t="s">
        <v>1769</v>
      </c>
      <c r="AI97" s="695"/>
    </row>
    <row r="98" spans="31:35">
      <c r="AE98" s="697" t="s">
        <v>638</v>
      </c>
      <c r="AF98" s="695" t="s">
        <v>638</v>
      </c>
      <c r="AG98" s="761" t="str">
        <f>ASC(【マスター】!$D$54)</f>
        <v>45</v>
      </c>
      <c r="AH98" s="695" t="s">
        <v>600</v>
      </c>
      <c r="AI98" s="696"/>
    </row>
    <row r="99" spans="31:35">
      <c r="AE99" s="697" t="s">
        <v>1753</v>
      </c>
      <c r="AF99" s="697" t="s">
        <v>1802</v>
      </c>
      <c r="AG99" s="747" t="str">
        <f>ASC(【マスター】!$D$70)</f>
        <v>100</v>
      </c>
      <c r="AH99" s="695" t="s">
        <v>639</v>
      </c>
      <c r="AI99" s="716" t="s">
        <v>1801</v>
      </c>
    </row>
    <row r="100" spans="31:35">
      <c r="AE100" s="697" t="s">
        <v>1754</v>
      </c>
      <c r="AF100" s="697" t="s">
        <v>1754</v>
      </c>
      <c r="AG100" s="747" t="str">
        <f>ASC(【マスター】!$D$71)</f>
        <v>100</v>
      </c>
      <c r="AH100" s="695" t="s">
        <v>639</v>
      </c>
      <c r="AI100" s="695"/>
    </row>
    <row r="101" spans="31:35">
      <c r="AE101" s="697" t="s">
        <v>1755</v>
      </c>
      <c r="AF101" s="697" t="s">
        <v>1755</v>
      </c>
      <c r="AG101" s="747" t="str">
        <f>ASC(【マスター】!$D$55)</f>
        <v>56</v>
      </c>
      <c r="AH101" s="695" t="s">
        <v>641</v>
      </c>
      <c r="AI101" s="695"/>
    </row>
    <row r="102" spans="31:35">
      <c r="AE102" s="697" t="s">
        <v>1756</v>
      </c>
      <c r="AF102" s="697" t="s">
        <v>1756</v>
      </c>
      <c r="AG102" s="747" t="str">
        <f>ASC(【マスター】!$D$56)</f>
        <v>76</v>
      </c>
      <c r="AH102" s="695" t="s">
        <v>706</v>
      </c>
      <c r="AI102" s="695"/>
    </row>
    <row r="103" spans="31:35">
      <c r="AE103" s="697" t="s">
        <v>644</v>
      </c>
      <c r="AF103" s="697" t="s">
        <v>644</v>
      </c>
      <c r="AG103" s="747" t="str">
        <f>ASC(【マスター】!$D$57)</f>
        <v>20</v>
      </c>
      <c r="AH103" s="695" t="s">
        <v>639</v>
      </c>
      <c r="AI103" s="695"/>
    </row>
    <row r="104" spans="31:35">
      <c r="AE104" s="697" t="s">
        <v>209</v>
      </c>
      <c r="AF104" s="697" t="s">
        <v>209</v>
      </c>
      <c r="AG104" s="747" t="str">
        <f>ASC(【マスター】!$D$67)</f>
        <v>30</v>
      </c>
      <c r="AH104" s="695" t="s">
        <v>639</v>
      </c>
      <c r="AI104" s="695"/>
    </row>
    <row r="105" spans="31:35">
      <c r="AE105" s="697" t="s">
        <v>210</v>
      </c>
      <c r="AF105" s="697" t="s">
        <v>210</v>
      </c>
      <c r="AG105" s="747" t="str">
        <f>ASC(【マスター】!$D$68)</f>
        <v>60</v>
      </c>
      <c r="AH105" s="695" t="s">
        <v>639</v>
      </c>
      <c r="AI105" s="695"/>
    </row>
    <row r="106" spans="31:35">
      <c r="AE106" s="697" t="s">
        <v>1757</v>
      </c>
      <c r="AF106" s="697" t="s">
        <v>1757</v>
      </c>
      <c r="AG106" s="747" t="str">
        <f>ASC(【マスター】!$D$69)</f>
        <v>3</v>
      </c>
      <c r="AH106" s="695" t="s">
        <v>1770</v>
      </c>
      <c r="AI106" s="695"/>
    </row>
    <row r="107" spans="31:35">
      <c r="AE107" s="697" t="s">
        <v>647</v>
      </c>
      <c r="AF107" s="697" t="s">
        <v>647</v>
      </c>
      <c r="AG107" s="747" t="str">
        <f>ASC(【マスター】!$D$52)</f>
        <v>60</v>
      </c>
      <c r="AH107" s="695" t="s">
        <v>641</v>
      </c>
      <c r="AI107" s="695"/>
    </row>
    <row r="108" spans="31:35">
      <c r="AE108" s="697" t="s">
        <v>649</v>
      </c>
      <c r="AF108" s="697" t="s">
        <v>649</v>
      </c>
      <c r="AG108" s="747" t="str">
        <f>ASC(【マスター】!$D$53)</f>
        <v>60</v>
      </c>
      <c r="AH108" s="695" t="s">
        <v>641</v>
      </c>
      <c r="AI108" s="695"/>
    </row>
    <row r="109" spans="31:35">
      <c r="AE109" s="697" t="s">
        <v>651</v>
      </c>
      <c r="AF109" s="697" t="s">
        <v>1803</v>
      </c>
      <c r="AG109" s="747" t="str">
        <f>ASC(【マスター】!$D$61)</f>
        <v>200</v>
      </c>
      <c r="AH109" s="695" t="s">
        <v>600</v>
      </c>
      <c r="AI109" s="695" t="s">
        <v>652</v>
      </c>
    </row>
    <row r="110" spans="31:35">
      <c r="AE110" s="697" t="s">
        <v>1758</v>
      </c>
      <c r="AF110" s="697" t="s">
        <v>1758</v>
      </c>
      <c r="AG110" s="747" t="str">
        <f>ASC(【マスター】!$D$61)</f>
        <v>200</v>
      </c>
      <c r="AH110" s="695" t="s">
        <v>705</v>
      </c>
      <c r="AI110" s="695"/>
    </row>
    <row r="111" spans="31:35">
      <c r="AE111" s="697" t="s">
        <v>1879</v>
      </c>
      <c r="AF111" s="697" t="s">
        <v>1804</v>
      </c>
      <c r="AG111" s="747" t="str">
        <f>ASC(【マスター】!$D$63)</f>
        <v>20</v>
      </c>
      <c r="AH111" s="695" t="s">
        <v>600</v>
      </c>
      <c r="AI111" s="697" t="s">
        <v>1759</v>
      </c>
    </row>
    <row r="112" spans="31:35">
      <c r="AE112" s="697" t="s">
        <v>1880</v>
      </c>
      <c r="AF112" s="697" t="s">
        <v>1805</v>
      </c>
      <c r="AG112" s="747" t="str">
        <f>ASC(【マスター】!$D$64)</f>
        <v>5</v>
      </c>
      <c r="AH112" s="695" t="s">
        <v>692</v>
      </c>
      <c r="AI112" s="697" t="s">
        <v>1759</v>
      </c>
    </row>
    <row r="113" spans="31:36">
      <c r="AE113" s="697" t="s">
        <v>1760</v>
      </c>
      <c r="AF113" s="697" t="s">
        <v>1806</v>
      </c>
      <c r="AG113" s="747" t="str">
        <f>ASC(【マスター】!$D$65)</f>
        <v>150</v>
      </c>
      <c r="AH113" s="695" t="s">
        <v>600</v>
      </c>
      <c r="AI113" s="695" t="s">
        <v>652</v>
      </c>
    </row>
    <row r="114" spans="31:36">
      <c r="AE114" s="697" t="s">
        <v>1761</v>
      </c>
      <c r="AF114" s="697" t="s">
        <v>1807</v>
      </c>
      <c r="AG114" s="747" t="str">
        <f>ASC(【マスター】!$D$66)</f>
        <v>160</v>
      </c>
      <c r="AH114" s="695" t="s">
        <v>600</v>
      </c>
      <c r="AI114" s="695" t="s">
        <v>652</v>
      </c>
    </row>
    <row r="115" spans="31:36">
      <c r="AE115" s="697" t="s">
        <v>1871</v>
      </c>
      <c r="AF115" s="697" t="s">
        <v>1872</v>
      </c>
      <c r="AG115" s="695" t="str">
        <f>ASC(【マスター】!$D$73)</f>
        <v>40</v>
      </c>
      <c r="AH115" s="695" t="s">
        <v>1873</v>
      </c>
      <c r="AI115" s="695"/>
    </row>
    <row r="116" spans="31:36">
      <c r="AE116" s="697" t="s">
        <v>169</v>
      </c>
      <c r="AF116" s="697" t="s">
        <v>1808</v>
      </c>
      <c r="AG116" s="747" t="str">
        <f>ASC("-"&amp;【マスター】!$K$53)</f>
        <v>-47</v>
      </c>
      <c r="AH116" s="695" t="s">
        <v>600</v>
      </c>
      <c r="AI116" s="695" t="s">
        <v>654</v>
      </c>
    </row>
    <row r="117" spans="31:36">
      <c r="AE117" s="695" t="s">
        <v>1909</v>
      </c>
      <c r="AF117" s="695" t="s">
        <v>1909</v>
      </c>
      <c r="AG117" s="747" t="str">
        <f>ASC("-"&amp;【マスター】!$K$54)</f>
        <v>-94</v>
      </c>
      <c r="AH117" s="747" t="s">
        <v>91</v>
      </c>
      <c r="AI117" s="747"/>
      <c r="AJ117" s="748"/>
    </row>
    <row r="118" spans="31:36">
      <c r="AE118" s="484" t="s">
        <v>608</v>
      </c>
    </row>
    <row r="119" spans="31:36">
      <c r="AE119" s="729" t="s">
        <v>595</v>
      </c>
      <c r="AF119" s="320" t="s">
        <v>588</v>
      </c>
      <c r="AG119" s="320" t="s">
        <v>589</v>
      </c>
      <c r="AH119" s="320" t="s">
        <v>590</v>
      </c>
      <c r="AI119" s="320" t="s">
        <v>596</v>
      </c>
    </row>
    <row r="120" spans="31:36">
      <c r="AE120" s="730" t="s">
        <v>690</v>
      </c>
      <c r="AF120" s="315" t="s">
        <v>691</v>
      </c>
      <c r="AG120" s="694">
        <f>$AG$122*0.7</f>
        <v>440.29999999999995</v>
      </c>
      <c r="AH120" s="315" t="s">
        <v>692</v>
      </c>
      <c r="AI120" s="315"/>
      <c r="AJ120" s="315"/>
    </row>
    <row r="121" spans="31:36">
      <c r="AE121" s="730" t="s">
        <v>693</v>
      </c>
      <c r="AF121" s="315" t="s">
        <v>694</v>
      </c>
      <c r="AG121" s="315">
        <f>【マスター】!$Y$18</f>
        <v>600</v>
      </c>
      <c r="AH121" s="315" t="s">
        <v>692</v>
      </c>
      <c r="AI121" s="315"/>
      <c r="AJ121" s="315"/>
    </row>
    <row r="122" spans="31:36">
      <c r="AE122" s="730" t="s">
        <v>695</v>
      </c>
      <c r="AF122" s="315" t="s">
        <v>696</v>
      </c>
      <c r="AG122" s="315">
        <f>【マスター】!$AD$18</f>
        <v>629</v>
      </c>
      <c r="AH122" s="315" t="s">
        <v>692</v>
      </c>
      <c r="AI122" s="324"/>
      <c r="AJ122" s="324"/>
    </row>
    <row r="123" spans="31:36">
      <c r="AE123" s="730" t="s">
        <v>697</v>
      </c>
      <c r="AF123" s="315" t="s">
        <v>698</v>
      </c>
      <c r="AG123" s="315">
        <f>【マスター】!$AI$18</f>
        <v>1013</v>
      </c>
      <c r="AH123" s="315" t="s">
        <v>692</v>
      </c>
      <c r="AI123" s="315"/>
      <c r="AJ123" s="315"/>
    </row>
    <row r="124" spans="31:36">
      <c r="AE124" s="730" t="s">
        <v>699</v>
      </c>
      <c r="AF124" s="315" t="s">
        <v>700</v>
      </c>
      <c r="AG124" s="762">
        <f>【マスター】!$AN$18</f>
        <v>1049</v>
      </c>
      <c r="AH124" s="315" t="s">
        <v>692</v>
      </c>
      <c r="AI124" s="315"/>
      <c r="AJ124" s="315"/>
    </row>
    <row r="125" spans="31:36">
      <c r="AE125" s="730" t="s">
        <v>701</v>
      </c>
      <c r="AF125" s="315" t="s">
        <v>702</v>
      </c>
      <c r="AG125" s="315">
        <f>【マスター】!$AS$18</f>
        <v>1172</v>
      </c>
      <c r="AH125" s="315" t="s">
        <v>692</v>
      </c>
      <c r="AI125" s="315"/>
      <c r="AJ125" s="315"/>
    </row>
    <row r="126" spans="31:36">
      <c r="AE126" s="730" t="s">
        <v>703</v>
      </c>
      <c r="AF126" s="315" t="s">
        <v>704</v>
      </c>
      <c r="AG126" s="762">
        <f>【マスター】!$AX$18</f>
        <v>1220</v>
      </c>
      <c r="AH126" s="315" t="s">
        <v>692</v>
      </c>
      <c r="AI126" s="315"/>
      <c r="AJ126" s="315"/>
    </row>
    <row r="127" spans="31:36">
      <c r="AE127" s="730" t="s">
        <v>1852</v>
      </c>
      <c r="AF127" s="315" t="s">
        <v>1796</v>
      </c>
      <c r="AG127" s="315">
        <v>50</v>
      </c>
      <c r="AH127" s="315" t="s">
        <v>692</v>
      </c>
      <c r="AI127" s="315"/>
    </row>
    <row r="128" spans="31:36">
      <c r="AE128" s="730" t="s">
        <v>1853</v>
      </c>
      <c r="AF128" s="315" t="s">
        <v>1797</v>
      </c>
      <c r="AG128" s="315">
        <v>100</v>
      </c>
      <c r="AH128" s="315" t="s">
        <v>692</v>
      </c>
      <c r="AI128" s="315"/>
    </row>
    <row r="129" spans="31:35">
      <c r="AE129" s="730" t="s">
        <v>1854</v>
      </c>
      <c r="AF129" s="315" t="s">
        <v>1798</v>
      </c>
      <c r="AG129" s="315">
        <v>150</v>
      </c>
      <c r="AH129" s="315" t="s">
        <v>692</v>
      </c>
      <c r="AI129" s="325"/>
    </row>
    <row r="130" spans="31:35">
      <c r="AE130" s="730" t="s">
        <v>1855</v>
      </c>
      <c r="AF130" s="315" t="s">
        <v>1799</v>
      </c>
      <c r="AG130" s="315">
        <v>200</v>
      </c>
      <c r="AH130" s="315" t="s">
        <v>692</v>
      </c>
      <c r="AI130" s="315"/>
    </row>
    <row r="131" spans="31:35">
      <c r="AE131" s="730" t="s">
        <v>1856</v>
      </c>
      <c r="AF131" s="315" t="s">
        <v>1800</v>
      </c>
      <c r="AG131" s="315">
        <v>250</v>
      </c>
      <c r="AH131" s="315" t="s">
        <v>692</v>
      </c>
      <c r="AI131" s="315"/>
    </row>
    <row r="132" spans="31:35">
      <c r="AE132" s="697" t="s">
        <v>1751</v>
      </c>
      <c r="AF132" s="695" t="s">
        <v>1751</v>
      </c>
      <c r="AG132" s="747" t="str">
        <f>ASC(【マスター】!$D$50)</f>
        <v>40</v>
      </c>
      <c r="AH132" s="695" t="s">
        <v>1769</v>
      </c>
      <c r="AI132" s="695"/>
    </row>
    <row r="133" spans="31:35">
      <c r="AE133" s="697" t="s">
        <v>1752</v>
      </c>
      <c r="AF133" s="695" t="s">
        <v>1752</v>
      </c>
      <c r="AG133" s="747" t="str">
        <f>ASC(【マスター】!$D$51)</f>
        <v>55</v>
      </c>
      <c r="AH133" s="695" t="s">
        <v>1769</v>
      </c>
      <c r="AI133" s="695"/>
    </row>
    <row r="134" spans="31:35">
      <c r="AE134" s="697" t="s">
        <v>638</v>
      </c>
      <c r="AF134" s="695" t="s">
        <v>638</v>
      </c>
      <c r="AG134" s="761" t="str">
        <f>ASC(【マスター】!$D$54)</f>
        <v>45</v>
      </c>
      <c r="AH134" s="695" t="s">
        <v>600</v>
      </c>
      <c r="AI134" s="696"/>
    </row>
    <row r="135" spans="31:35">
      <c r="AE135" s="697" t="s">
        <v>1753</v>
      </c>
      <c r="AF135" s="697" t="s">
        <v>1802</v>
      </c>
      <c r="AG135" s="747" t="str">
        <f>ASC(【マスター】!$D$70)</f>
        <v>100</v>
      </c>
      <c r="AH135" s="695" t="s">
        <v>639</v>
      </c>
      <c r="AI135" s="716" t="s">
        <v>1801</v>
      </c>
    </row>
    <row r="136" spans="31:35">
      <c r="AE136" s="697" t="s">
        <v>1754</v>
      </c>
      <c r="AF136" s="697" t="s">
        <v>1754</v>
      </c>
      <c r="AG136" s="747" t="str">
        <f>ASC(【マスター】!$D$71)</f>
        <v>100</v>
      </c>
      <c r="AH136" s="695" t="s">
        <v>639</v>
      </c>
      <c r="AI136" s="695"/>
    </row>
    <row r="137" spans="31:35">
      <c r="AE137" s="697" t="s">
        <v>1755</v>
      </c>
      <c r="AF137" s="697" t="s">
        <v>1755</v>
      </c>
      <c r="AG137" s="747" t="str">
        <f>ASC(【マスター】!$D$55)</f>
        <v>56</v>
      </c>
      <c r="AH137" s="695" t="s">
        <v>641</v>
      </c>
      <c r="AI137" s="695"/>
    </row>
    <row r="138" spans="31:35">
      <c r="AE138" s="697" t="s">
        <v>1756</v>
      </c>
      <c r="AF138" s="697" t="s">
        <v>1756</v>
      </c>
      <c r="AG138" s="747" t="str">
        <f>ASC(【マスター】!$D$56)</f>
        <v>76</v>
      </c>
      <c r="AH138" s="695" t="s">
        <v>706</v>
      </c>
      <c r="AI138" s="695"/>
    </row>
    <row r="139" spans="31:35">
      <c r="AE139" s="697" t="s">
        <v>644</v>
      </c>
      <c r="AF139" s="697" t="s">
        <v>644</v>
      </c>
      <c r="AG139" s="747" t="str">
        <f>ASC(【マスター】!$D$57)</f>
        <v>20</v>
      </c>
      <c r="AH139" s="695" t="s">
        <v>639</v>
      </c>
      <c r="AI139" s="695"/>
    </row>
    <row r="140" spans="31:35">
      <c r="AE140" s="697" t="s">
        <v>209</v>
      </c>
      <c r="AF140" s="697" t="s">
        <v>209</v>
      </c>
      <c r="AG140" s="747" t="str">
        <f>ASC(【マスター】!$D$67)</f>
        <v>30</v>
      </c>
      <c r="AH140" s="695" t="s">
        <v>639</v>
      </c>
      <c r="AI140" s="695"/>
    </row>
    <row r="141" spans="31:35">
      <c r="AE141" s="697" t="s">
        <v>210</v>
      </c>
      <c r="AF141" s="697" t="s">
        <v>210</v>
      </c>
      <c r="AG141" s="747" t="str">
        <f>ASC(【マスター】!$D$68)</f>
        <v>60</v>
      </c>
      <c r="AH141" s="695" t="s">
        <v>639</v>
      </c>
      <c r="AI141" s="695"/>
    </row>
    <row r="142" spans="31:35">
      <c r="AE142" s="697" t="s">
        <v>1757</v>
      </c>
      <c r="AF142" s="697" t="s">
        <v>1757</v>
      </c>
      <c r="AG142" s="747" t="str">
        <f>ASC(【マスター】!$D$69)</f>
        <v>3</v>
      </c>
      <c r="AH142" s="695" t="s">
        <v>1770</v>
      </c>
      <c r="AI142" s="695"/>
    </row>
    <row r="143" spans="31:35">
      <c r="AE143" s="697" t="s">
        <v>647</v>
      </c>
      <c r="AF143" s="697" t="s">
        <v>647</v>
      </c>
      <c r="AG143" s="747" t="str">
        <f>ASC(【マスター】!$D$52)</f>
        <v>60</v>
      </c>
      <c r="AH143" s="695" t="s">
        <v>641</v>
      </c>
      <c r="AI143" s="695"/>
    </row>
    <row r="144" spans="31:35">
      <c r="AE144" s="697" t="s">
        <v>649</v>
      </c>
      <c r="AF144" s="697" t="s">
        <v>649</v>
      </c>
      <c r="AG144" s="747" t="str">
        <f>ASC(【マスター】!$D$53)</f>
        <v>60</v>
      </c>
      <c r="AH144" s="695" t="s">
        <v>641</v>
      </c>
      <c r="AI144" s="695"/>
    </row>
    <row r="145" spans="31:36">
      <c r="AE145" s="697" t="s">
        <v>651</v>
      </c>
      <c r="AF145" s="697" t="s">
        <v>1803</v>
      </c>
      <c r="AG145" s="747" t="str">
        <f>ASC(【マスター】!$D$61)</f>
        <v>200</v>
      </c>
      <c r="AH145" s="695" t="s">
        <v>600</v>
      </c>
      <c r="AI145" s="695" t="s">
        <v>652</v>
      </c>
    </row>
    <row r="146" spans="31:36">
      <c r="AE146" s="697" t="s">
        <v>1758</v>
      </c>
      <c r="AF146" s="697" t="s">
        <v>1758</v>
      </c>
      <c r="AG146" s="747" t="str">
        <f>ASC(【マスター】!$D$61)</f>
        <v>200</v>
      </c>
      <c r="AH146" s="695" t="s">
        <v>705</v>
      </c>
      <c r="AI146" s="695"/>
    </row>
    <row r="147" spans="31:36">
      <c r="AE147" s="697" t="s">
        <v>1879</v>
      </c>
      <c r="AF147" s="697" t="s">
        <v>1804</v>
      </c>
      <c r="AG147" s="747" t="str">
        <f>ASC(【マスター】!$D$63)</f>
        <v>20</v>
      </c>
      <c r="AH147" s="695" t="s">
        <v>600</v>
      </c>
      <c r="AI147" s="697" t="s">
        <v>1759</v>
      </c>
    </row>
    <row r="148" spans="31:36">
      <c r="AE148" s="697" t="s">
        <v>1880</v>
      </c>
      <c r="AF148" s="697" t="s">
        <v>1805</v>
      </c>
      <c r="AG148" s="747" t="str">
        <f>ASC(【マスター】!$D$64)</f>
        <v>5</v>
      </c>
      <c r="AH148" s="695" t="s">
        <v>692</v>
      </c>
      <c r="AI148" s="697" t="s">
        <v>1759</v>
      </c>
    </row>
    <row r="149" spans="31:36">
      <c r="AE149" s="697" t="s">
        <v>1760</v>
      </c>
      <c r="AF149" s="697" t="s">
        <v>1806</v>
      </c>
      <c r="AG149" s="747" t="str">
        <f>ASC(【マスター】!$D$65)</f>
        <v>150</v>
      </c>
      <c r="AH149" s="695" t="s">
        <v>600</v>
      </c>
      <c r="AI149" s="695" t="s">
        <v>652</v>
      </c>
    </row>
    <row r="150" spans="31:36">
      <c r="AE150" s="697" t="s">
        <v>1761</v>
      </c>
      <c r="AF150" s="697" t="s">
        <v>1807</v>
      </c>
      <c r="AG150" s="747" t="str">
        <f>ASC(【マスター】!$D$66)</f>
        <v>160</v>
      </c>
      <c r="AH150" s="695" t="s">
        <v>600</v>
      </c>
      <c r="AI150" s="695" t="s">
        <v>652</v>
      </c>
    </row>
    <row r="151" spans="31:36">
      <c r="AE151" s="697" t="s">
        <v>1871</v>
      </c>
      <c r="AF151" s="697" t="s">
        <v>1872</v>
      </c>
      <c r="AG151" s="695" t="str">
        <f>ASC(【マスター】!$D$73)</f>
        <v>40</v>
      </c>
      <c r="AH151" s="695" t="s">
        <v>1873</v>
      </c>
      <c r="AI151" s="695"/>
    </row>
    <row r="152" spans="31:36">
      <c r="AE152" s="697" t="s">
        <v>169</v>
      </c>
      <c r="AF152" s="697" t="s">
        <v>1808</v>
      </c>
      <c r="AG152" s="747" t="str">
        <f>ASC("-"&amp;【マスター】!$K$53)</f>
        <v>-47</v>
      </c>
      <c r="AH152" s="695" t="s">
        <v>600</v>
      </c>
      <c r="AI152" s="695" t="s">
        <v>654</v>
      </c>
    </row>
    <row r="153" spans="31:36">
      <c r="AE153" s="695" t="s">
        <v>1909</v>
      </c>
      <c r="AF153" s="695" t="s">
        <v>1909</v>
      </c>
      <c r="AG153" s="747" t="str">
        <f>ASC("-"&amp;【マスター】!$K$54)</f>
        <v>-94</v>
      </c>
      <c r="AH153" s="747" t="s">
        <v>91</v>
      </c>
      <c r="AI153" s="747"/>
      <c r="AJ153" s="748"/>
    </row>
    <row r="154" spans="31:36">
      <c r="AE154" s="484" t="s">
        <v>613</v>
      </c>
    </row>
    <row r="155" spans="31:36">
      <c r="AE155" s="729" t="s">
        <v>595</v>
      </c>
      <c r="AF155" s="320" t="s">
        <v>588</v>
      </c>
      <c r="AG155" s="320" t="s">
        <v>589</v>
      </c>
      <c r="AH155" s="320" t="s">
        <v>590</v>
      </c>
      <c r="AI155" s="320" t="s">
        <v>596</v>
      </c>
    </row>
    <row r="156" spans="31:36">
      <c r="AE156" s="730" t="s">
        <v>707</v>
      </c>
      <c r="AF156" s="315" t="s">
        <v>708</v>
      </c>
      <c r="AG156" s="694">
        <f>$AG$158*0.7</f>
        <v>486.49999999999994</v>
      </c>
      <c r="AH156" s="315" t="s">
        <v>692</v>
      </c>
      <c r="AI156" s="315"/>
      <c r="AJ156" s="315"/>
    </row>
    <row r="157" spans="31:36">
      <c r="AE157" s="730" t="s">
        <v>709</v>
      </c>
      <c r="AF157" s="315" t="s">
        <v>710</v>
      </c>
      <c r="AG157" s="315">
        <f>【マスター】!$Z$18</f>
        <v>663</v>
      </c>
      <c r="AH157" s="315" t="s">
        <v>692</v>
      </c>
      <c r="AI157" s="325"/>
      <c r="AJ157" s="324"/>
    </row>
    <row r="158" spans="31:36">
      <c r="AE158" s="730" t="s">
        <v>711</v>
      </c>
      <c r="AF158" s="315" t="s">
        <v>712</v>
      </c>
      <c r="AG158" s="315">
        <f>【マスター】!$AE$18</f>
        <v>695</v>
      </c>
      <c r="AH158" s="315" t="s">
        <v>692</v>
      </c>
      <c r="AI158" s="315"/>
      <c r="AJ158" s="315"/>
    </row>
    <row r="159" spans="31:36">
      <c r="AE159" s="730" t="s">
        <v>713</v>
      </c>
      <c r="AF159" s="324" t="s">
        <v>714</v>
      </c>
      <c r="AG159" s="762">
        <f>【マスター】!$AJ$18</f>
        <v>1134</v>
      </c>
      <c r="AH159" s="315" t="s">
        <v>692</v>
      </c>
      <c r="AI159" s="315"/>
      <c r="AJ159" s="315"/>
    </row>
    <row r="160" spans="31:36">
      <c r="AE160" s="730" t="s">
        <v>715</v>
      </c>
      <c r="AF160" s="315" t="s">
        <v>716</v>
      </c>
      <c r="AG160" s="762">
        <f>【マスター】!$AO$18</f>
        <v>1172</v>
      </c>
      <c r="AH160" s="315" t="s">
        <v>692</v>
      </c>
      <c r="AI160" s="315"/>
      <c r="AJ160" s="315"/>
    </row>
    <row r="161" spans="31:36">
      <c r="AE161" s="730" t="s">
        <v>717</v>
      </c>
      <c r="AF161" s="315" t="s">
        <v>718</v>
      </c>
      <c r="AG161" s="315">
        <f>【マスター】!$AT$18</f>
        <v>1312</v>
      </c>
      <c r="AH161" s="315" t="s">
        <v>692</v>
      </c>
      <c r="AI161" s="315"/>
      <c r="AJ161" s="315"/>
    </row>
    <row r="162" spans="31:36">
      <c r="AE162" s="730" t="s">
        <v>593</v>
      </c>
      <c r="AF162" s="315" t="s">
        <v>719</v>
      </c>
      <c r="AG162" s="762">
        <f>【マスター】!$AY$18</f>
        <v>1365</v>
      </c>
      <c r="AH162" s="315" t="s">
        <v>692</v>
      </c>
      <c r="AI162" s="315"/>
      <c r="AJ162" s="315"/>
    </row>
    <row r="163" spans="31:36">
      <c r="AE163" s="730" t="s">
        <v>1857</v>
      </c>
      <c r="AF163" s="315" t="s">
        <v>1796</v>
      </c>
      <c r="AG163" s="315">
        <v>50</v>
      </c>
      <c r="AH163" s="315" t="s">
        <v>692</v>
      </c>
      <c r="AI163" s="315"/>
    </row>
    <row r="164" spans="31:36">
      <c r="AE164" s="730" t="s">
        <v>1858</v>
      </c>
      <c r="AF164" s="315" t="s">
        <v>1797</v>
      </c>
      <c r="AG164" s="315">
        <v>100</v>
      </c>
      <c r="AH164" s="315" t="s">
        <v>692</v>
      </c>
      <c r="AI164" s="315"/>
    </row>
    <row r="165" spans="31:36">
      <c r="AE165" s="730" t="s">
        <v>1859</v>
      </c>
      <c r="AF165" s="315" t="s">
        <v>1798</v>
      </c>
      <c r="AG165" s="315">
        <v>150</v>
      </c>
      <c r="AH165" s="315" t="s">
        <v>692</v>
      </c>
      <c r="AI165" s="325"/>
    </row>
    <row r="166" spans="31:36">
      <c r="AE166" s="730" t="s">
        <v>1860</v>
      </c>
      <c r="AF166" s="315" t="s">
        <v>1799</v>
      </c>
      <c r="AG166" s="315">
        <v>200</v>
      </c>
      <c r="AH166" s="315" t="s">
        <v>692</v>
      </c>
      <c r="AI166" s="315"/>
    </row>
    <row r="167" spans="31:36">
      <c r="AE167" s="730" t="s">
        <v>1861</v>
      </c>
      <c r="AF167" s="315" t="s">
        <v>1800</v>
      </c>
      <c r="AG167" s="315">
        <v>250</v>
      </c>
      <c r="AH167" s="315" t="s">
        <v>692</v>
      </c>
      <c r="AI167" s="315"/>
    </row>
    <row r="168" spans="31:36">
      <c r="AE168" s="697" t="s">
        <v>1751</v>
      </c>
      <c r="AF168" s="695" t="s">
        <v>1751</v>
      </c>
      <c r="AG168" s="747" t="str">
        <f>ASC(【マスター】!$D$50)</f>
        <v>40</v>
      </c>
      <c r="AH168" s="695" t="s">
        <v>1769</v>
      </c>
      <c r="AI168" s="695"/>
    </row>
    <row r="169" spans="31:36">
      <c r="AE169" s="697" t="s">
        <v>1752</v>
      </c>
      <c r="AF169" s="695" t="s">
        <v>1752</v>
      </c>
      <c r="AG169" s="747" t="str">
        <f>ASC(【マスター】!$D$51)</f>
        <v>55</v>
      </c>
      <c r="AH169" s="695" t="s">
        <v>1769</v>
      </c>
      <c r="AI169" s="695"/>
    </row>
    <row r="170" spans="31:36">
      <c r="AE170" s="697" t="s">
        <v>638</v>
      </c>
      <c r="AF170" s="695" t="s">
        <v>638</v>
      </c>
      <c r="AG170" s="761" t="str">
        <f>ASC(【マスター】!$D$54)</f>
        <v>45</v>
      </c>
      <c r="AH170" s="695" t="s">
        <v>600</v>
      </c>
      <c r="AI170" s="696"/>
    </row>
    <row r="171" spans="31:36">
      <c r="AE171" s="697" t="s">
        <v>1753</v>
      </c>
      <c r="AF171" s="697" t="s">
        <v>1802</v>
      </c>
      <c r="AG171" s="747" t="str">
        <f>ASC(【マスター】!$D$70)</f>
        <v>100</v>
      </c>
      <c r="AH171" s="695" t="s">
        <v>639</v>
      </c>
      <c r="AI171" s="716" t="s">
        <v>1801</v>
      </c>
    </row>
    <row r="172" spans="31:36">
      <c r="AE172" s="697" t="s">
        <v>1754</v>
      </c>
      <c r="AF172" s="697" t="s">
        <v>1754</v>
      </c>
      <c r="AG172" s="747" t="str">
        <f>ASC(【マスター】!$D$71)</f>
        <v>100</v>
      </c>
      <c r="AH172" s="695" t="s">
        <v>639</v>
      </c>
      <c r="AI172" s="695"/>
    </row>
    <row r="173" spans="31:36">
      <c r="AE173" s="697" t="s">
        <v>1755</v>
      </c>
      <c r="AF173" s="697" t="s">
        <v>1755</v>
      </c>
      <c r="AG173" s="747" t="str">
        <f>ASC(【マスター】!$D$55)</f>
        <v>56</v>
      </c>
      <c r="AH173" s="695" t="s">
        <v>641</v>
      </c>
      <c r="AI173" s="695"/>
    </row>
    <row r="174" spans="31:36">
      <c r="AE174" s="697" t="s">
        <v>1756</v>
      </c>
      <c r="AF174" s="697" t="s">
        <v>1756</v>
      </c>
      <c r="AG174" s="747" t="str">
        <f>ASC(【マスター】!$D$56)</f>
        <v>76</v>
      </c>
      <c r="AH174" s="695" t="s">
        <v>706</v>
      </c>
      <c r="AI174" s="695"/>
    </row>
    <row r="175" spans="31:36">
      <c r="AE175" s="697" t="s">
        <v>644</v>
      </c>
      <c r="AF175" s="697" t="s">
        <v>644</v>
      </c>
      <c r="AG175" s="747" t="str">
        <f>ASC(【マスター】!$D$57)</f>
        <v>20</v>
      </c>
      <c r="AH175" s="695" t="s">
        <v>639</v>
      </c>
      <c r="AI175" s="695"/>
    </row>
    <row r="176" spans="31:36">
      <c r="AE176" s="697" t="s">
        <v>209</v>
      </c>
      <c r="AF176" s="697" t="s">
        <v>209</v>
      </c>
      <c r="AG176" s="747" t="str">
        <f>ASC(【マスター】!$D$67)</f>
        <v>30</v>
      </c>
      <c r="AH176" s="695" t="s">
        <v>639</v>
      </c>
      <c r="AI176" s="695"/>
    </row>
    <row r="177" spans="31:36">
      <c r="AE177" s="697" t="s">
        <v>210</v>
      </c>
      <c r="AF177" s="697" t="s">
        <v>210</v>
      </c>
      <c r="AG177" s="747" t="str">
        <f>ASC(【マスター】!$D$68)</f>
        <v>60</v>
      </c>
      <c r="AH177" s="695" t="s">
        <v>639</v>
      </c>
      <c r="AI177" s="695"/>
    </row>
    <row r="178" spans="31:36">
      <c r="AE178" s="697" t="s">
        <v>1757</v>
      </c>
      <c r="AF178" s="697" t="s">
        <v>1757</v>
      </c>
      <c r="AG178" s="747" t="str">
        <f>ASC(【マスター】!$D$69)</f>
        <v>3</v>
      </c>
      <c r="AH178" s="695" t="s">
        <v>1770</v>
      </c>
      <c r="AI178" s="695"/>
    </row>
    <row r="179" spans="31:36">
      <c r="AE179" s="697" t="s">
        <v>647</v>
      </c>
      <c r="AF179" s="697" t="s">
        <v>647</v>
      </c>
      <c r="AG179" s="747" t="str">
        <f>ASC(【マスター】!$D$52)</f>
        <v>60</v>
      </c>
      <c r="AH179" s="695" t="s">
        <v>641</v>
      </c>
      <c r="AI179" s="695"/>
    </row>
    <row r="180" spans="31:36">
      <c r="AE180" s="697" t="s">
        <v>649</v>
      </c>
      <c r="AF180" s="697" t="s">
        <v>649</v>
      </c>
      <c r="AG180" s="747" t="str">
        <f>ASC(【マスター】!$D$53)</f>
        <v>60</v>
      </c>
      <c r="AH180" s="695" t="s">
        <v>641</v>
      </c>
      <c r="AI180" s="695"/>
    </row>
    <row r="181" spans="31:36">
      <c r="AE181" s="697" t="s">
        <v>651</v>
      </c>
      <c r="AF181" s="697" t="s">
        <v>1803</v>
      </c>
      <c r="AG181" s="747" t="str">
        <f>ASC(【マスター】!$D$61)</f>
        <v>200</v>
      </c>
      <c r="AH181" s="695" t="s">
        <v>600</v>
      </c>
      <c r="AI181" s="695" t="s">
        <v>652</v>
      </c>
    </row>
    <row r="182" spans="31:36">
      <c r="AE182" s="697" t="s">
        <v>1758</v>
      </c>
      <c r="AF182" s="697" t="s">
        <v>1758</v>
      </c>
      <c r="AG182" s="747" t="str">
        <f>ASC(【マスター】!$D$61)</f>
        <v>200</v>
      </c>
      <c r="AH182" s="695" t="s">
        <v>705</v>
      </c>
      <c r="AI182" s="695"/>
    </row>
    <row r="183" spans="31:36">
      <c r="AE183" s="697" t="s">
        <v>1879</v>
      </c>
      <c r="AF183" s="697" t="s">
        <v>1804</v>
      </c>
      <c r="AG183" s="747" t="str">
        <f>ASC(【マスター】!$D$63)</f>
        <v>20</v>
      </c>
      <c r="AH183" s="695" t="s">
        <v>600</v>
      </c>
      <c r="AI183" s="697" t="s">
        <v>1759</v>
      </c>
    </row>
    <row r="184" spans="31:36">
      <c r="AE184" s="697" t="s">
        <v>1880</v>
      </c>
      <c r="AF184" s="697" t="s">
        <v>1805</v>
      </c>
      <c r="AG184" s="747" t="str">
        <f>ASC(【マスター】!$D$64)</f>
        <v>5</v>
      </c>
      <c r="AH184" s="695" t="s">
        <v>692</v>
      </c>
      <c r="AI184" s="697" t="s">
        <v>1759</v>
      </c>
    </row>
    <row r="185" spans="31:36">
      <c r="AE185" s="697" t="s">
        <v>1760</v>
      </c>
      <c r="AF185" s="697" t="s">
        <v>1806</v>
      </c>
      <c r="AG185" s="747" t="str">
        <f>ASC(【マスター】!$D$65)</f>
        <v>150</v>
      </c>
      <c r="AH185" s="695" t="s">
        <v>600</v>
      </c>
      <c r="AI185" s="695" t="s">
        <v>652</v>
      </c>
    </row>
    <row r="186" spans="31:36">
      <c r="AE186" s="697" t="s">
        <v>1761</v>
      </c>
      <c r="AF186" s="697" t="s">
        <v>1807</v>
      </c>
      <c r="AG186" s="747" t="str">
        <f>ASC(【マスター】!$D$66)</f>
        <v>160</v>
      </c>
      <c r="AH186" s="695" t="s">
        <v>600</v>
      </c>
      <c r="AI186" s="695" t="s">
        <v>652</v>
      </c>
    </row>
    <row r="187" spans="31:36">
      <c r="AE187" s="697" t="s">
        <v>1871</v>
      </c>
      <c r="AF187" s="697" t="s">
        <v>1872</v>
      </c>
      <c r="AG187" s="695" t="str">
        <f>ASC(【マスター】!$D$73)</f>
        <v>40</v>
      </c>
      <c r="AH187" s="695" t="s">
        <v>1873</v>
      </c>
      <c r="AI187" s="695"/>
    </row>
    <row r="188" spans="31:36">
      <c r="AE188" s="697" t="s">
        <v>169</v>
      </c>
      <c r="AF188" s="697" t="s">
        <v>1808</v>
      </c>
      <c r="AG188" s="747" t="str">
        <f>ASC("-"&amp;【マスター】!$K$53)</f>
        <v>-47</v>
      </c>
      <c r="AH188" s="695" t="s">
        <v>600</v>
      </c>
      <c r="AI188" s="695" t="s">
        <v>654</v>
      </c>
    </row>
    <row r="189" spans="31:36">
      <c r="AE189" s="695" t="s">
        <v>1909</v>
      </c>
      <c r="AF189" s="695" t="s">
        <v>1909</v>
      </c>
      <c r="AG189" s="747" t="str">
        <f>ASC("-"&amp;【マスター】!$K$54)</f>
        <v>-94</v>
      </c>
      <c r="AH189" s="747" t="s">
        <v>91</v>
      </c>
      <c r="AI189" s="747"/>
      <c r="AJ189" s="748"/>
    </row>
  </sheetData>
  <sheetProtection formatCells="0" formatColumns="0" formatRows="0" insertColumns="0" insertRows="0" insertHyperlinks="0" selectLockedCells="1"/>
  <mergeCells count="122">
    <mergeCell ref="O6:Q7"/>
    <mergeCell ref="R6:T7"/>
    <mergeCell ref="R8:T8"/>
    <mergeCell ref="O8:Q8"/>
    <mergeCell ref="K6:N7"/>
    <mergeCell ref="K8:N8"/>
    <mergeCell ref="AF2:AG2"/>
    <mergeCell ref="A2:X2"/>
    <mergeCell ref="A4:X4"/>
    <mergeCell ref="D5:X5"/>
    <mergeCell ref="A7:C8"/>
    <mergeCell ref="A5:C6"/>
    <mergeCell ref="D6:F7"/>
    <mergeCell ref="D8:F8"/>
    <mergeCell ref="G6:J7"/>
    <mergeCell ref="G8:J8"/>
    <mergeCell ref="U6:X7"/>
    <mergeCell ref="U8:X8"/>
    <mergeCell ref="R10:S10"/>
    <mergeCell ref="T11:X11"/>
    <mergeCell ref="B12:H12"/>
    <mergeCell ref="B10:H10"/>
    <mergeCell ref="I10:N10"/>
    <mergeCell ref="B15:H15"/>
    <mergeCell ref="I15:N15"/>
    <mergeCell ref="I11:N11"/>
    <mergeCell ref="T10:X10"/>
    <mergeCell ref="O14:Q14"/>
    <mergeCell ref="O15:Q15"/>
    <mergeCell ref="O10:Q10"/>
    <mergeCell ref="T12:X12"/>
    <mergeCell ref="T13:X13"/>
    <mergeCell ref="T14:X14"/>
    <mergeCell ref="O11:Q11"/>
    <mergeCell ref="A40:F40"/>
    <mergeCell ref="A41:F42"/>
    <mergeCell ref="H40:M40"/>
    <mergeCell ref="H41:M42"/>
    <mergeCell ref="B33:N33"/>
    <mergeCell ref="O40:X40"/>
    <mergeCell ref="O41:X42"/>
    <mergeCell ref="G40:G42"/>
    <mergeCell ref="B34:N34"/>
    <mergeCell ref="B35:N35"/>
    <mergeCell ref="B36:N36"/>
    <mergeCell ref="B37:N37"/>
    <mergeCell ref="N40:N42"/>
    <mergeCell ref="T33:X33"/>
    <mergeCell ref="T34:X34"/>
    <mergeCell ref="T35:X35"/>
    <mergeCell ref="T36:X36"/>
    <mergeCell ref="T37:X37"/>
    <mergeCell ref="O38:S38"/>
    <mergeCell ref="T38:X38"/>
    <mergeCell ref="O37:Q37"/>
    <mergeCell ref="O33:Q33"/>
    <mergeCell ref="O34:Q34"/>
    <mergeCell ref="O35:Q35"/>
    <mergeCell ref="O36:Q36"/>
    <mergeCell ref="T32:X32"/>
    <mergeCell ref="O32:Q32"/>
    <mergeCell ref="T18:X18"/>
    <mergeCell ref="T17:X17"/>
    <mergeCell ref="Q22:S22"/>
    <mergeCell ref="O18:S18"/>
    <mergeCell ref="W20:X22"/>
    <mergeCell ref="B32:N32"/>
    <mergeCell ref="D28:D30"/>
    <mergeCell ref="I30:L30"/>
    <mergeCell ref="E28:G28"/>
    <mergeCell ref="D20:D22"/>
    <mergeCell ref="N28:X28"/>
    <mergeCell ref="N29:X30"/>
    <mergeCell ref="I28:L29"/>
    <mergeCell ref="A20:C21"/>
    <mergeCell ref="E21:G21"/>
    <mergeCell ref="R32:S32"/>
    <mergeCell ref="H28:H30"/>
    <mergeCell ref="E29:G29"/>
    <mergeCell ref="A28:C28"/>
    <mergeCell ref="A29:C29"/>
    <mergeCell ref="A22:C22"/>
    <mergeCell ref="A30:C30"/>
    <mergeCell ref="E30:G30"/>
    <mergeCell ref="A24:D25"/>
    <mergeCell ref="E24:E26"/>
    <mergeCell ref="F24:H25"/>
    <mergeCell ref="I24:I26"/>
    <mergeCell ref="E20:G20"/>
    <mergeCell ref="J24:L24"/>
    <mergeCell ref="J25:L25"/>
    <mergeCell ref="A26:D26"/>
    <mergeCell ref="F26:H26"/>
    <mergeCell ref="J26:L26"/>
    <mergeCell ref="H20:J20"/>
    <mergeCell ref="K20:M21"/>
    <mergeCell ref="N20:P20"/>
    <mergeCell ref="Q20:S21"/>
    <mergeCell ref="T20:V21"/>
    <mergeCell ref="E22:G22"/>
    <mergeCell ref="H21:J21"/>
    <mergeCell ref="N21:P21"/>
    <mergeCell ref="H22:J22"/>
    <mergeCell ref="N22:P22"/>
    <mergeCell ref="T22:V22"/>
    <mergeCell ref="K22:M22"/>
    <mergeCell ref="O17:Q17"/>
    <mergeCell ref="O12:Q12"/>
    <mergeCell ref="B11:H11"/>
    <mergeCell ref="T15:X15"/>
    <mergeCell ref="I12:N12"/>
    <mergeCell ref="T16:X16"/>
    <mergeCell ref="O16:Q16"/>
    <mergeCell ref="B17:H17"/>
    <mergeCell ref="I17:N17"/>
    <mergeCell ref="B13:H13"/>
    <mergeCell ref="I13:N13"/>
    <mergeCell ref="B14:H14"/>
    <mergeCell ref="I14:N14"/>
    <mergeCell ref="B16:H16"/>
    <mergeCell ref="I16:N16"/>
    <mergeCell ref="O13:Q13"/>
  </mergeCells>
  <phoneticPr fontId="16"/>
  <conditionalFormatting sqref="T18">
    <cfRule type="expression" dxfId="2" priority="6">
      <formula>$T$18&gt;$AB$30</formula>
    </cfRule>
  </conditionalFormatting>
  <dataValidations count="5">
    <dataValidation type="list" allowBlank="1" showInputMessage="1" showErrorMessage="1" sqref="AE2" xr:uid="{00000000-0002-0000-0400-000000000000}">
      <formula1>$AA$5:$AA$8</formula1>
    </dataValidation>
    <dataValidation type="list" allowBlank="1" showInputMessage="1" showErrorMessage="1" sqref="A7:C8" xr:uid="{00000000-0002-0000-0400-000001000000}">
      <formula1>$AD$12:$AD$16</formula1>
    </dataValidation>
    <dataValidation type="list" allowBlank="1" showInputMessage="1" showErrorMessage="1" sqref="B11:B17" xr:uid="{00000000-0002-0000-0400-000002000000}">
      <formula1>INDIRECT($A$7)</formula1>
    </dataValidation>
    <dataValidation type="list" allowBlank="1" showInputMessage="1" showErrorMessage="1" sqref="U8" xr:uid="{00000000-0002-0000-0400-000003000000}">
      <formula1>"有,算定なし"</formula1>
    </dataValidation>
    <dataValidation type="list" allowBlank="1" showInputMessage="1" showErrorMessage="1" sqref="B33:N37" xr:uid="{00000000-0002-0000-0400-000004000000}">
      <formula1>$AK$31:$AK$40</formula1>
    </dataValidation>
  </dataValidations>
  <printOptions horizontalCentered="1"/>
  <pageMargins left="0.59055118110236227" right="0.59055118110236227" top="0.59055118110236227" bottom="0.39370078740157483" header="0.31496062992125984" footer="0.19685039370078741"/>
  <pageSetup paperSize="9" scale="9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rgb="FFFDD0C7"/>
    <pageSetUpPr fitToPage="1"/>
  </sheetPr>
  <dimension ref="A1:U67"/>
  <sheetViews>
    <sheetView view="pageBreakPreview" topLeftCell="A22" zoomScaleNormal="100" zoomScaleSheetLayoutView="100" workbookViewId="0">
      <selection activeCell="E43" sqref="E43"/>
    </sheetView>
  </sheetViews>
  <sheetFormatPr defaultColWidth="9" defaultRowHeight="14.25"/>
  <cols>
    <col min="1" max="20" width="4.625" style="30" customWidth="1"/>
    <col min="21" max="16384" width="9" style="30"/>
  </cols>
  <sheetData>
    <row r="1" spans="1:20">
      <c r="T1" s="525"/>
    </row>
    <row r="2" spans="1:20" ht="15" customHeight="1">
      <c r="A2" s="1404" t="s">
        <v>952</v>
      </c>
      <c r="B2" s="1404"/>
      <c r="C2" s="1404"/>
      <c r="D2" s="1404"/>
      <c r="E2" s="1404"/>
      <c r="F2" s="1404"/>
      <c r="G2" s="1404"/>
      <c r="H2" s="1404"/>
      <c r="I2" s="1404"/>
      <c r="J2" s="1404"/>
      <c r="K2" s="1404"/>
      <c r="L2" s="1404"/>
      <c r="M2" s="1404"/>
      <c r="N2" s="1404"/>
      <c r="O2" s="1404"/>
      <c r="P2" s="1404"/>
      <c r="Q2" s="1404"/>
      <c r="R2" s="1404"/>
      <c r="S2" s="1404"/>
      <c r="T2" s="1404"/>
    </row>
    <row r="3" spans="1:20" ht="15" customHeight="1">
      <c r="A3" s="1404"/>
      <c r="B3" s="1404"/>
      <c r="C3" s="1404"/>
      <c r="D3" s="1404"/>
      <c r="E3" s="1404"/>
      <c r="F3" s="1404"/>
      <c r="G3" s="1404"/>
      <c r="H3" s="1404"/>
      <c r="I3" s="1404"/>
      <c r="J3" s="1404"/>
      <c r="K3" s="1404"/>
      <c r="L3" s="1404"/>
      <c r="M3" s="1404"/>
      <c r="N3" s="1404"/>
      <c r="O3" s="1404"/>
      <c r="P3" s="1404"/>
      <c r="Q3" s="1404"/>
      <c r="R3" s="1404"/>
      <c r="S3" s="1404"/>
      <c r="T3" s="1404"/>
    </row>
    <row r="4" spans="1:20" ht="15" customHeight="1">
      <c r="A4" s="28" t="str">
        <f>IF(【マスター】!C22="","",【マスター】!C22)</f>
        <v>株式会社ケアサポート</v>
      </c>
      <c r="B4" s="29"/>
      <c r="C4" s="29"/>
      <c r="D4" s="29"/>
      <c r="E4" s="29"/>
      <c r="F4" s="29"/>
      <c r="G4" s="29"/>
      <c r="H4" s="29"/>
      <c r="I4" s="29"/>
      <c r="J4" s="29"/>
      <c r="K4" s="29"/>
      <c r="L4" s="29"/>
      <c r="M4" s="29"/>
      <c r="N4" s="29"/>
      <c r="O4" s="29"/>
      <c r="P4" s="29"/>
      <c r="Q4" s="29"/>
      <c r="R4" s="29"/>
      <c r="S4" s="29"/>
      <c r="T4" s="29"/>
    </row>
    <row r="5" spans="1:20" ht="15" customHeight="1">
      <c r="A5" s="28" t="str">
        <f>IF(【マスター】!C7="","",【マスター】!C7)</f>
        <v>デイサービスさくら亭</v>
      </c>
      <c r="B5" s="29"/>
      <c r="C5" s="29"/>
      <c r="D5" s="29"/>
      <c r="E5" s="29"/>
      <c r="F5" s="29"/>
      <c r="G5" s="29"/>
      <c r="H5" s="29"/>
      <c r="I5" s="29"/>
      <c r="J5" s="29"/>
      <c r="K5" s="29"/>
      <c r="L5" s="29"/>
      <c r="M5" s="29"/>
      <c r="N5" s="29"/>
      <c r="O5" s="29"/>
      <c r="P5" s="29"/>
      <c r="Q5" s="29"/>
      <c r="R5" s="29"/>
      <c r="S5" s="29"/>
      <c r="T5" s="29"/>
    </row>
    <row r="6" spans="1:20" ht="15" customHeight="1">
      <c r="A6" s="30" t="s">
        <v>953</v>
      </c>
      <c r="C6" s="28"/>
      <c r="D6" s="29"/>
      <c r="E6" s="29"/>
      <c r="F6" s="29"/>
      <c r="G6" s="29"/>
      <c r="H6" s="29"/>
      <c r="I6" s="29"/>
      <c r="J6" s="29"/>
      <c r="K6" s="29"/>
      <c r="L6" s="29"/>
      <c r="M6" s="29"/>
      <c r="N6" s="29"/>
      <c r="O6" s="29"/>
      <c r="P6" s="29"/>
      <c r="Q6" s="29"/>
      <c r="R6" s="29"/>
      <c r="S6" s="29"/>
      <c r="T6" s="29"/>
    </row>
    <row r="7" spans="1:20" ht="15" customHeight="1">
      <c r="A7" s="28"/>
      <c r="B7" s="29"/>
      <c r="C7" s="29"/>
      <c r="D7" s="29"/>
      <c r="E7" s="29"/>
      <c r="F7" s="29"/>
      <c r="G7" s="29"/>
      <c r="H7" s="29"/>
      <c r="I7" s="29"/>
      <c r="J7" s="29"/>
      <c r="K7" s="29"/>
      <c r="L7" s="29"/>
      <c r="M7" s="29"/>
      <c r="N7" s="29"/>
      <c r="O7" s="29"/>
      <c r="P7" s="29"/>
      <c r="Q7" s="29"/>
      <c r="R7" s="29"/>
      <c r="S7" s="29"/>
      <c r="T7" s="29"/>
    </row>
    <row r="8" spans="1:20" ht="30" customHeight="1">
      <c r="A8" s="1405" t="s">
        <v>954</v>
      </c>
      <c r="B8" s="1405"/>
      <c r="C8" s="1405"/>
      <c r="D8" s="1405"/>
      <c r="E8" s="1405"/>
      <c r="F8" s="1405"/>
      <c r="G8" s="1405"/>
      <c r="H8" s="1405"/>
      <c r="I8" s="1405"/>
      <c r="J8" s="1405"/>
      <c r="K8" s="1405"/>
      <c r="L8" s="1405"/>
      <c r="M8" s="1405"/>
      <c r="N8" s="1405"/>
      <c r="O8" s="1405"/>
      <c r="P8" s="1405"/>
      <c r="Q8" s="1405"/>
      <c r="R8" s="1405"/>
      <c r="S8" s="1405"/>
      <c r="T8" s="1405"/>
    </row>
    <row r="9" spans="1:20" ht="15" customHeight="1">
      <c r="A9" s="523"/>
      <c r="B9" s="523"/>
      <c r="C9" s="523"/>
      <c r="D9" s="523"/>
      <c r="E9" s="523"/>
      <c r="F9" s="523"/>
      <c r="G9" s="523"/>
      <c r="H9" s="523"/>
      <c r="I9" s="523"/>
      <c r="J9" s="523"/>
      <c r="K9" s="523"/>
      <c r="L9" s="523"/>
      <c r="M9" s="523"/>
      <c r="N9" s="523"/>
      <c r="O9" s="523"/>
      <c r="P9" s="523"/>
      <c r="Q9" s="523"/>
      <c r="R9" s="523"/>
      <c r="S9" s="523"/>
      <c r="T9" s="523"/>
    </row>
    <row r="10" spans="1:20" ht="15" customHeight="1">
      <c r="A10" s="1406" t="s">
        <v>955</v>
      </c>
      <c r="B10" s="1406"/>
      <c r="C10" s="1406"/>
      <c r="D10" s="1406"/>
      <c r="E10" s="1406"/>
      <c r="F10" s="1406"/>
      <c r="G10" s="1406"/>
      <c r="H10" s="1406"/>
      <c r="I10" s="1406"/>
      <c r="J10" s="1406"/>
      <c r="K10" s="1406"/>
      <c r="L10" s="1406"/>
      <c r="M10" s="1406"/>
      <c r="N10" s="1406"/>
      <c r="O10" s="1406"/>
      <c r="P10" s="1406"/>
      <c r="Q10" s="1406"/>
      <c r="R10" s="1406"/>
      <c r="S10" s="1406"/>
      <c r="T10" s="1406"/>
    </row>
    <row r="11" spans="1:20" s="181" customFormat="1" ht="16.350000000000001" customHeight="1">
      <c r="A11" s="1407" t="s">
        <v>956</v>
      </c>
      <c r="B11" s="1407"/>
      <c r="C11" s="1407"/>
      <c r="D11" s="1407"/>
      <c r="E11" s="1407"/>
      <c r="F11" s="1407"/>
      <c r="G11" s="1407"/>
      <c r="H11" s="1407"/>
      <c r="I11" s="1407"/>
      <c r="J11" s="1407"/>
      <c r="K11" s="1407"/>
      <c r="L11" s="1407"/>
      <c r="M11" s="1407"/>
      <c r="N11" s="1407"/>
      <c r="O11" s="1407"/>
      <c r="P11" s="1407"/>
      <c r="Q11" s="1407"/>
      <c r="R11" s="1407"/>
      <c r="S11" s="1407"/>
      <c r="T11" s="1407"/>
    </row>
    <row r="12" spans="1:20" s="181" customFormat="1" ht="16.350000000000001" customHeight="1">
      <c r="A12" s="1403" t="s">
        <v>745</v>
      </c>
      <c r="B12" s="1403"/>
      <c r="C12" s="181" t="s">
        <v>957</v>
      </c>
    </row>
    <row r="13" spans="1:20" s="181" customFormat="1" ht="30" customHeight="1">
      <c r="A13" s="1403" t="s">
        <v>934</v>
      </c>
      <c r="B13" s="1403"/>
      <c r="C13" s="1405" t="s">
        <v>958</v>
      </c>
      <c r="D13" s="1405"/>
      <c r="E13" s="1405"/>
      <c r="F13" s="1405"/>
      <c r="G13" s="1405"/>
      <c r="H13" s="1405"/>
      <c r="I13" s="1405"/>
      <c r="J13" s="1405"/>
      <c r="K13" s="1405"/>
      <c r="L13" s="1405"/>
      <c r="M13" s="1405"/>
      <c r="N13" s="1405"/>
      <c r="O13" s="1405"/>
      <c r="P13" s="1405"/>
      <c r="Q13" s="1405"/>
      <c r="R13" s="1405"/>
      <c r="S13" s="1405"/>
      <c r="T13" s="1405"/>
    </row>
    <row r="14" spans="1:20" s="181" customFormat="1" ht="16.350000000000001" customHeight="1">
      <c r="A14" s="1403" t="s">
        <v>936</v>
      </c>
      <c r="B14" s="1403"/>
      <c r="C14" s="181" t="s">
        <v>959</v>
      </c>
    </row>
    <row r="15" spans="1:20" s="181" customFormat="1" ht="16.350000000000001" customHeight="1">
      <c r="A15" s="1403" t="s">
        <v>960</v>
      </c>
      <c r="B15" s="1403"/>
      <c r="C15" s="181" t="s">
        <v>961</v>
      </c>
    </row>
    <row r="16" spans="1:20" s="181" customFormat="1" ht="16.350000000000001" customHeight="1">
      <c r="A16" s="1403" t="s">
        <v>826</v>
      </c>
      <c r="B16" s="1403"/>
      <c r="C16" s="181" t="s">
        <v>962</v>
      </c>
    </row>
    <row r="17" spans="1:20" s="181" customFormat="1" ht="16.350000000000001" customHeight="1">
      <c r="A17" s="1403" t="s">
        <v>963</v>
      </c>
      <c r="B17" s="1403"/>
      <c r="C17" s="181" t="s">
        <v>964</v>
      </c>
    </row>
    <row r="18" spans="1:20" s="181" customFormat="1" ht="16.350000000000001" customHeight="1">
      <c r="A18" s="1403" t="s">
        <v>965</v>
      </c>
      <c r="B18" s="1403"/>
      <c r="C18" s="181" t="s">
        <v>966</v>
      </c>
    </row>
    <row r="19" spans="1:20" s="181" customFormat="1" ht="16.350000000000001" customHeight="1">
      <c r="A19" s="1403" t="s">
        <v>967</v>
      </c>
      <c r="B19" s="1403"/>
      <c r="C19" s="181" t="s">
        <v>968</v>
      </c>
    </row>
    <row r="20" spans="1:20" s="181" customFormat="1" ht="16.350000000000001" customHeight="1">
      <c r="A20" s="1407" t="s">
        <v>969</v>
      </c>
      <c r="B20" s="1407"/>
      <c r="C20" s="1407"/>
      <c r="D20" s="1407"/>
      <c r="E20" s="1407"/>
      <c r="F20" s="1407"/>
      <c r="G20" s="1407"/>
      <c r="H20" s="1407"/>
      <c r="I20" s="1407"/>
      <c r="J20" s="1407"/>
      <c r="K20" s="1407"/>
      <c r="L20" s="1407"/>
      <c r="M20" s="1407"/>
      <c r="N20" s="1407"/>
      <c r="O20" s="1407"/>
      <c r="P20" s="1407"/>
      <c r="Q20" s="1407"/>
      <c r="R20" s="1407"/>
      <c r="S20" s="1407"/>
      <c r="T20" s="1407"/>
    </row>
    <row r="21" spans="1:20" s="181" customFormat="1" ht="16.350000000000001" customHeight="1">
      <c r="B21" s="524"/>
      <c r="C21" s="524" t="s">
        <v>970</v>
      </c>
      <c r="D21" s="524"/>
      <c r="E21" s="524"/>
      <c r="F21" s="524"/>
      <c r="G21" s="524"/>
      <c r="H21" s="524"/>
      <c r="I21" s="524"/>
      <c r="J21" s="524"/>
      <c r="K21" s="524"/>
      <c r="L21" s="524"/>
      <c r="M21" s="524"/>
      <c r="N21" s="524"/>
      <c r="O21" s="524"/>
      <c r="P21" s="524"/>
      <c r="Q21" s="524"/>
      <c r="R21" s="524"/>
      <c r="S21" s="524"/>
      <c r="T21" s="524"/>
    </row>
    <row r="22" spans="1:20" s="181" customFormat="1" ht="16.350000000000001" customHeight="1">
      <c r="A22" s="1407" t="s">
        <v>971</v>
      </c>
      <c r="B22" s="1407"/>
      <c r="C22" s="1407"/>
      <c r="D22" s="1407"/>
      <c r="E22" s="1407"/>
      <c r="F22" s="1407"/>
      <c r="G22" s="1407"/>
      <c r="H22" s="1407"/>
      <c r="I22" s="1407"/>
      <c r="J22" s="1407"/>
      <c r="K22" s="1407"/>
      <c r="L22" s="1407"/>
      <c r="M22" s="1407"/>
      <c r="N22" s="1407"/>
      <c r="O22" s="1407"/>
      <c r="P22" s="1407"/>
      <c r="Q22" s="1407"/>
      <c r="R22" s="1407"/>
      <c r="S22" s="1407"/>
      <c r="T22" s="1407"/>
    </row>
    <row r="23" spans="1:20" s="181" customFormat="1" ht="30" customHeight="1">
      <c r="B23" s="182"/>
      <c r="C23" s="1405" t="s">
        <v>972</v>
      </c>
      <c r="D23" s="1405"/>
      <c r="E23" s="1405"/>
      <c r="F23" s="1405"/>
      <c r="G23" s="1405"/>
      <c r="H23" s="1405"/>
      <c r="I23" s="1405"/>
      <c r="J23" s="1405"/>
      <c r="K23" s="1405"/>
      <c r="L23" s="1405"/>
      <c r="M23" s="1405"/>
      <c r="N23" s="1405"/>
      <c r="O23" s="1405"/>
      <c r="P23" s="1405"/>
      <c r="Q23" s="1405"/>
      <c r="R23" s="1405"/>
      <c r="S23" s="1405"/>
      <c r="T23" s="1405"/>
    </row>
    <row r="24" spans="1:20" s="181" customFormat="1" ht="45" customHeight="1">
      <c r="B24" s="182"/>
      <c r="C24" s="1405" t="s">
        <v>973</v>
      </c>
      <c r="D24" s="1405"/>
      <c r="E24" s="1405"/>
      <c r="F24" s="1405"/>
      <c r="G24" s="1405"/>
      <c r="H24" s="1405"/>
      <c r="I24" s="1405"/>
      <c r="J24" s="1405"/>
      <c r="K24" s="1405"/>
      <c r="L24" s="1405"/>
      <c r="M24" s="1405"/>
      <c r="N24" s="1405"/>
      <c r="O24" s="1405"/>
      <c r="P24" s="1405"/>
      <c r="Q24" s="1405"/>
      <c r="R24" s="1405"/>
      <c r="S24" s="1405"/>
      <c r="T24" s="1405"/>
    </row>
    <row r="25" spans="1:20" ht="15" customHeight="1">
      <c r="A25" s="1410" t="s">
        <v>974</v>
      </c>
      <c r="B25" s="1410"/>
      <c r="C25" s="1410"/>
      <c r="D25" s="1410"/>
      <c r="E25" s="1410" t="s">
        <v>975</v>
      </c>
      <c r="F25" s="1410"/>
      <c r="G25" s="1410"/>
      <c r="H25" s="1410"/>
      <c r="I25" s="1410"/>
      <c r="J25" s="1410"/>
      <c r="K25" s="1410"/>
      <c r="L25" s="1410"/>
      <c r="M25" s="1410"/>
      <c r="N25" s="1410"/>
      <c r="O25" s="1410" t="s">
        <v>976</v>
      </c>
      <c r="P25" s="1410"/>
      <c r="Q25" s="1410"/>
      <c r="R25" s="1410"/>
      <c r="S25" s="1410"/>
      <c r="T25" s="1410"/>
    </row>
    <row r="26" spans="1:20" ht="15" customHeight="1">
      <c r="A26" s="1410"/>
      <c r="B26" s="1410"/>
      <c r="C26" s="1410"/>
      <c r="D26" s="1410"/>
      <c r="E26" s="1411"/>
      <c r="F26" s="1411"/>
      <c r="G26" s="1411"/>
      <c r="H26" s="1411"/>
      <c r="I26" s="1411"/>
      <c r="J26" s="1411"/>
      <c r="K26" s="1411"/>
      <c r="L26" s="1411"/>
      <c r="M26" s="1411"/>
      <c r="N26" s="1411"/>
      <c r="O26" s="1410" t="s">
        <v>977</v>
      </c>
      <c r="P26" s="1410"/>
      <c r="Q26" s="1410"/>
      <c r="R26" s="1410" t="s">
        <v>978</v>
      </c>
      <c r="S26" s="1410"/>
      <c r="T26" s="1410"/>
    </row>
    <row r="27" spans="1:20" ht="15" customHeight="1">
      <c r="A27" s="1416" t="s">
        <v>979</v>
      </c>
      <c r="B27" s="1416"/>
      <c r="C27" s="1416"/>
      <c r="D27" s="1417"/>
      <c r="E27" s="1418" t="s">
        <v>980</v>
      </c>
      <c r="F27" s="1419"/>
      <c r="G27" s="1419"/>
      <c r="H27" s="1419"/>
      <c r="I27" s="1419"/>
      <c r="J27" s="1419"/>
      <c r="K27" s="1419"/>
      <c r="L27" s="1419"/>
      <c r="M27" s="1419"/>
      <c r="N27" s="1420"/>
      <c r="O27" s="1427" t="s">
        <v>981</v>
      </c>
      <c r="P27" s="1428"/>
      <c r="Q27" s="1429"/>
      <c r="R27" s="1427" t="s">
        <v>981</v>
      </c>
      <c r="S27" s="1428"/>
      <c r="T27" s="1429"/>
    </row>
    <row r="28" spans="1:20" ht="15" customHeight="1">
      <c r="A28" s="1416"/>
      <c r="B28" s="1416"/>
      <c r="C28" s="1416"/>
      <c r="D28" s="1417"/>
      <c r="E28" s="1421"/>
      <c r="F28" s="1422"/>
      <c r="G28" s="1422"/>
      <c r="H28" s="1422"/>
      <c r="I28" s="1422"/>
      <c r="J28" s="1422"/>
      <c r="K28" s="1422"/>
      <c r="L28" s="1422"/>
      <c r="M28" s="1422"/>
      <c r="N28" s="1423"/>
      <c r="O28" s="1430"/>
      <c r="P28" s="1431"/>
      <c r="Q28" s="1432"/>
      <c r="R28" s="1430"/>
      <c r="S28" s="1431"/>
      <c r="T28" s="1432"/>
    </row>
    <row r="29" spans="1:20" ht="15" customHeight="1">
      <c r="A29" s="1416"/>
      <c r="B29" s="1416"/>
      <c r="C29" s="1416"/>
      <c r="D29" s="1417"/>
      <c r="E29" s="1424"/>
      <c r="F29" s="1425"/>
      <c r="G29" s="1425"/>
      <c r="H29" s="1425"/>
      <c r="I29" s="1425"/>
      <c r="J29" s="1425"/>
      <c r="K29" s="1425"/>
      <c r="L29" s="1425"/>
      <c r="M29" s="1425"/>
      <c r="N29" s="1426"/>
      <c r="O29" s="1433"/>
      <c r="P29" s="1434"/>
      <c r="Q29" s="1435"/>
      <c r="R29" s="1433"/>
      <c r="S29" s="1434"/>
      <c r="T29" s="1435"/>
    </row>
    <row r="30" spans="1:20" ht="15" customHeight="1">
      <c r="A30" s="1410" t="s">
        <v>974</v>
      </c>
      <c r="B30" s="1410"/>
      <c r="C30" s="1410"/>
      <c r="D30" s="1410"/>
      <c r="E30" s="1410" t="s">
        <v>975</v>
      </c>
      <c r="F30" s="1410"/>
      <c r="G30" s="1410"/>
      <c r="H30" s="1410"/>
      <c r="I30" s="1410"/>
      <c r="J30" s="1410"/>
      <c r="K30" s="1410"/>
      <c r="L30" s="1410"/>
      <c r="M30" s="1410"/>
      <c r="N30" s="1410"/>
      <c r="O30" s="1410" t="s">
        <v>976</v>
      </c>
      <c r="P30" s="1410"/>
      <c r="Q30" s="1410"/>
      <c r="R30" s="1410"/>
      <c r="S30" s="1410"/>
      <c r="T30" s="1410"/>
    </row>
    <row r="31" spans="1:20" ht="15" customHeight="1">
      <c r="A31" s="1410"/>
      <c r="B31" s="1410"/>
      <c r="C31" s="1410"/>
      <c r="D31" s="1410"/>
      <c r="E31" s="1411"/>
      <c r="F31" s="1411"/>
      <c r="G31" s="1411"/>
      <c r="H31" s="1411"/>
      <c r="I31" s="1411"/>
      <c r="J31" s="1411"/>
      <c r="K31" s="1411"/>
      <c r="L31" s="1411"/>
      <c r="M31" s="1411"/>
      <c r="N31" s="1411"/>
      <c r="O31" s="1410" t="s">
        <v>977</v>
      </c>
      <c r="P31" s="1410"/>
      <c r="Q31" s="1410"/>
      <c r="R31" s="1410" t="s">
        <v>978</v>
      </c>
      <c r="S31" s="1410"/>
      <c r="T31" s="1410"/>
    </row>
    <row r="32" spans="1:20" ht="18" customHeight="1">
      <c r="A32" s="1416" t="s">
        <v>982</v>
      </c>
      <c r="B32" s="1416"/>
      <c r="C32" s="1416"/>
      <c r="D32" s="1416"/>
      <c r="E32" s="1409" t="s">
        <v>983</v>
      </c>
      <c r="F32" s="1409"/>
      <c r="G32" s="1409"/>
      <c r="H32" s="1409"/>
      <c r="I32" s="1409"/>
      <c r="J32" s="1409"/>
      <c r="K32" s="1409"/>
      <c r="L32" s="1409"/>
      <c r="M32" s="1409"/>
      <c r="N32" s="1409"/>
      <c r="O32" s="1412" t="s">
        <v>981</v>
      </c>
      <c r="P32" s="1412"/>
      <c r="Q32" s="1412"/>
      <c r="R32" s="1408"/>
      <c r="S32" s="1408"/>
      <c r="T32" s="1408"/>
    </row>
    <row r="33" spans="1:21" ht="18" customHeight="1">
      <c r="A33" s="1416"/>
      <c r="B33" s="1416"/>
      <c r="C33" s="1416"/>
      <c r="D33" s="1416"/>
      <c r="E33" s="1409" t="s">
        <v>984</v>
      </c>
      <c r="F33" s="1409"/>
      <c r="G33" s="1409"/>
      <c r="H33" s="1409"/>
      <c r="I33" s="1409"/>
      <c r="J33" s="1409"/>
      <c r="K33" s="1409"/>
      <c r="L33" s="1409"/>
      <c r="M33" s="1409"/>
      <c r="N33" s="1409"/>
      <c r="O33" s="1412" t="s">
        <v>981</v>
      </c>
      <c r="P33" s="1412"/>
      <c r="Q33" s="1412"/>
      <c r="R33" s="1408"/>
      <c r="S33" s="1408"/>
      <c r="T33" s="1408"/>
    </row>
    <row r="34" spans="1:21" ht="18" customHeight="1">
      <c r="A34" s="1416" t="s">
        <v>985</v>
      </c>
      <c r="B34" s="1416"/>
      <c r="C34" s="1416"/>
      <c r="D34" s="1416"/>
      <c r="E34" s="1409" t="s">
        <v>986</v>
      </c>
      <c r="F34" s="1409"/>
      <c r="G34" s="1409"/>
      <c r="H34" s="1409"/>
      <c r="I34" s="1409"/>
      <c r="J34" s="1409"/>
      <c r="K34" s="1409"/>
      <c r="L34" s="1409"/>
      <c r="M34" s="1409"/>
      <c r="N34" s="1409"/>
      <c r="O34" s="1412" t="s">
        <v>981</v>
      </c>
      <c r="P34" s="1412"/>
      <c r="Q34" s="1412"/>
      <c r="R34" s="1412" t="s">
        <v>981</v>
      </c>
      <c r="S34" s="1412"/>
      <c r="T34" s="1412"/>
    </row>
    <row r="35" spans="1:21" ht="18" customHeight="1">
      <c r="A35" s="1416"/>
      <c r="B35" s="1416"/>
      <c r="C35" s="1416"/>
      <c r="D35" s="1416"/>
      <c r="E35" s="1413" t="s">
        <v>987</v>
      </c>
      <c r="F35" s="1414"/>
      <c r="G35" s="1414"/>
      <c r="H35" s="1414"/>
      <c r="I35" s="1414"/>
      <c r="J35" s="1414"/>
      <c r="K35" s="1414"/>
      <c r="L35" s="1414"/>
      <c r="M35" s="1414"/>
      <c r="N35" s="1415"/>
      <c r="O35" s="1436" t="s">
        <v>981</v>
      </c>
      <c r="P35" s="1437"/>
      <c r="Q35" s="1438"/>
      <c r="R35" s="1436" t="s">
        <v>981</v>
      </c>
      <c r="S35" s="1437"/>
      <c r="T35" s="1438"/>
    </row>
    <row r="36" spans="1:21" ht="18" customHeight="1">
      <c r="A36" s="1416"/>
      <c r="B36" s="1416"/>
      <c r="C36" s="1416"/>
      <c r="D36" s="1416"/>
      <c r="E36" s="1413" t="s">
        <v>988</v>
      </c>
      <c r="F36" s="1414"/>
      <c r="G36" s="1414"/>
      <c r="H36" s="1414"/>
      <c r="I36" s="1414"/>
      <c r="J36" s="1414"/>
      <c r="K36" s="1414"/>
      <c r="L36" s="1414"/>
      <c r="M36" s="1414"/>
      <c r="N36" s="1415"/>
      <c r="O36" s="1436" t="s">
        <v>981</v>
      </c>
      <c r="P36" s="1437"/>
      <c r="Q36" s="1438"/>
      <c r="R36" s="1436" t="s">
        <v>981</v>
      </c>
      <c r="S36" s="1437"/>
      <c r="T36" s="1438"/>
    </row>
    <row r="37" spans="1:21" ht="18" customHeight="1">
      <c r="A37" s="1416"/>
      <c r="B37" s="1416"/>
      <c r="C37" s="1416"/>
      <c r="D37" s="1416"/>
      <c r="E37" s="1440" t="s">
        <v>989</v>
      </c>
      <c r="F37" s="470"/>
      <c r="G37" s="1443" t="s">
        <v>990</v>
      </c>
      <c r="H37" s="1443"/>
      <c r="I37" s="1443"/>
      <c r="J37" s="1443"/>
      <c r="K37" s="1443"/>
      <c r="L37" s="1443"/>
      <c r="M37" s="1443"/>
      <c r="N37" s="1443"/>
      <c r="O37" s="1443"/>
      <c r="P37" s="1443"/>
      <c r="Q37" s="1443"/>
      <c r="R37" s="1443"/>
      <c r="S37" s="1443"/>
      <c r="T37" s="1444"/>
    </row>
    <row r="38" spans="1:21" ht="18" customHeight="1">
      <c r="A38" s="1416"/>
      <c r="B38" s="1416"/>
      <c r="C38" s="1416"/>
      <c r="D38" s="1416"/>
      <c r="E38" s="1441"/>
      <c r="F38" s="183"/>
      <c r="G38" s="1445" t="s">
        <v>991</v>
      </c>
      <c r="H38" s="1445"/>
      <c r="I38" s="1445"/>
      <c r="J38" s="1445"/>
      <c r="K38" s="1445"/>
      <c r="L38" s="1445"/>
      <c r="M38" s="1445"/>
      <c r="N38" s="1445"/>
      <c r="O38" s="1445"/>
      <c r="P38" s="1445"/>
      <c r="Q38" s="1445"/>
      <c r="R38" s="1445"/>
      <c r="S38" s="1445"/>
      <c r="T38" s="1446"/>
    </row>
    <row r="39" spans="1:21" ht="18" customHeight="1">
      <c r="A39" s="1416"/>
      <c r="B39" s="1416"/>
      <c r="C39" s="1416"/>
      <c r="D39" s="1416"/>
      <c r="E39" s="1442"/>
      <c r="F39" s="184"/>
      <c r="G39" s="1447" t="s">
        <v>992</v>
      </c>
      <c r="H39" s="1447"/>
      <c r="I39" s="1447"/>
      <c r="J39" s="1447"/>
      <c r="K39" s="1447"/>
      <c r="L39" s="1447"/>
      <c r="M39" s="1447"/>
      <c r="N39" s="1447"/>
      <c r="O39" s="1447"/>
      <c r="P39" s="1447"/>
      <c r="Q39" s="1447"/>
      <c r="R39" s="1447"/>
      <c r="S39" s="1447"/>
      <c r="T39" s="1448"/>
    </row>
    <row r="40" spans="1:21" ht="18" customHeight="1">
      <c r="A40" s="1416"/>
      <c r="B40" s="1416"/>
      <c r="C40" s="1416"/>
      <c r="D40" s="1416"/>
      <c r="E40" s="1409" t="s">
        <v>993</v>
      </c>
      <c r="F40" s="1409"/>
      <c r="G40" s="1409"/>
      <c r="H40" s="1409"/>
      <c r="I40" s="1409"/>
      <c r="J40" s="1409"/>
      <c r="K40" s="1409"/>
      <c r="L40" s="1409"/>
      <c r="M40" s="1409"/>
      <c r="N40" s="1409"/>
      <c r="O40" s="1412" t="s">
        <v>981</v>
      </c>
      <c r="P40" s="1412"/>
      <c r="Q40" s="1412"/>
      <c r="R40" s="1412" t="s">
        <v>981</v>
      </c>
      <c r="S40" s="1412"/>
      <c r="T40" s="1412"/>
    </row>
    <row r="41" spans="1:21" ht="15" customHeight="1">
      <c r="A41" s="30" t="s">
        <v>994</v>
      </c>
    </row>
    <row r="42" spans="1:21" ht="7.5" customHeight="1"/>
    <row r="43" spans="1:21" ht="15" customHeight="1">
      <c r="A43" s="1439" t="s">
        <v>79</v>
      </c>
      <c r="B43" s="1439"/>
      <c r="C43" s="525">
        <v>7</v>
      </c>
      <c r="D43" s="525" t="s">
        <v>666</v>
      </c>
      <c r="E43" s="525"/>
      <c r="F43" s="525" t="s">
        <v>667</v>
      </c>
      <c r="G43" s="525"/>
      <c r="H43" s="525" t="s">
        <v>668</v>
      </c>
      <c r="U43" s="486"/>
    </row>
    <row r="44" spans="1:21" ht="7.5" customHeight="1">
      <c r="A44" s="525"/>
      <c r="B44" s="525"/>
      <c r="C44" s="525"/>
      <c r="D44" s="525"/>
      <c r="E44" s="525"/>
      <c r="F44" s="525"/>
      <c r="G44" s="525"/>
      <c r="H44" s="525"/>
    </row>
    <row r="45" spans="1:21" ht="15" customHeight="1">
      <c r="A45" s="181" t="s">
        <v>995</v>
      </c>
      <c r="B45" s="181"/>
      <c r="C45" s="181"/>
      <c r="D45" s="181"/>
      <c r="E45" s="181"/>
      <c r="F45" s="181"/>
      <c r="G45" s="181"/>
      <c r="J45" s="504" t="s">
        <v>675</v>
      </c>
      <c r="K45" s="504"/>
      <c r="L45" s="504"/>
      <c r="M45" s="504"/>
      <c r="N45" s="504"/>
      <c r="O45" s="504"/>
      <c r="P45" s="504"/>
      <c r="Q45" s="504"/>
      <c r="R45" s="504"/>
      <c r="S45" s="504"/>
      <c r="T45" s="505" t="s">
        <v>506</v>
      </c>
    </row>
    <row r="46" spans="1:21" ht="15" customHeight="1">
      <c r="A46" s="185"/>
      <c r="B46" s="182"/>
      <c r="C46" s="182"/>
      <c r="D46" s="182"/>
      <c r="E46" s="182"/>
      <c r="F46" s="182"/>
      <c r="G46" s="182"/>
      <c r="J46" s="182"/>
      <c r="K46" s="182"/>
      <c r="L46" s="182"/>
      <c r="M46" s="182"/>
      <c r="N46" s="182"/>
      <c r="O46" s="182"/>
      <c r="P46" s="182"/>
      <c r="Q46" s="182"/>
      <c r="R46" s="182"/>
      <c r="S46" s="182"/>
      <c r="T46" s="182"/>
    </row>
    <row r="47" spans="1:21" ht="15" customHeight="1">
      <c r="A47" s="181" t="s">
        <v>996</v>
      </c>
      <c r="B47" s="181"/>
      <c r="C47" s="181"/>
      <c r="D47" s="181"/>
      <c r="E47" s="181"/>
      <c r="F47" s="181"/>
      <c r="G47" s="181"/>
      <c r="J47" s="504" t="s">
        <v>675</v>
      </c>
      <c r="K47" s="504"/>
      <c r="L47" s="504"/>
      <c r="M47" s="504"/>
      <c r="N47" s="504"/>
      <c r="O47" s="504"/>
      <c r="P47" s="504"/>
      <c r="Q47" s="504"/>
      <c r="R47" s="504"/>
      <c r="S47" s="504"/>
      <c r="T47" s="505" t="s">
        <v>506</v>
      </c>
    </row>
    <row r="48" spans="1:21" ht="15" customHeight="1">
      <c r="A48" s="185"/>
      <c r="B48" s="182"/>
      <c r="C48" s="182"/>
      <c r="D48" s="182"/>
      <c r="E48" s="182"/>
      <c r="F48" s="182"/>
      <c r="G48" s="182"/>
      <c r="J48" s="182"/>
      <c r="K48" s="182"/>
      <c r="L48" s="182"/>
      <c r="M48" s="182"/>
      <c r="N48" s="182"/>
      <c r="O48" s="182"/>
      <c r="P48" s="182"/>
      <c r="Q48" s="182"/>
      <c r="R48" s="182"/>
      <c r="S48" s="182"/>
      <c r="T48" s="182"/>
    </row>
    <row r="49" spans="1:20" ht="15" customHeight="1">
      <c r="A49" s="181" t="s">
        <v>997</v>
      </c>
      <c r="B49" s="181"/>
      <c r="C49" s="181"/>
      <c r="D49" s="181"/>
      <c r="E49" s="181"/>
      <c r="F49" s="181"/>
      <c r="G49" s="181"/>
      <c r="J49" s="504" t="s">
        <v>675</v>
      </c>
      <c r="K49" s="504"/>
      <c r="L49" s="504"/>
      <c r="M49" s="504"/>
      <c r="N49" s="504"/>
      <c r="O49" s="504"/>
      <c r="P49" s="504"/>
      <c r="Q49" s="504"/>
      <c r="R49" s="504"/>
      <c r="S49" s="504"/>
      <c r="T49" s="505" t="s">
        <v>506</v>
      </c>
    </row>
    <row r="50" spans="1:20" ht="15" customHeight="1"/>
    <row r="51" spans="1:20" ht="15" customHeight="1"/>
    <row r="52" spans="1:20" ht="15" customHeight="1"/>
    <row r="53" spans="1:20" ht="15" customHeight="1"/>
    <row r="54" spans="1:20" ht="15" customHeight="1"/>
    <row r="55" spans="1:20" ht="15" customHeight="1"/>
    <row r="56" spans="1:20" ht="15" customHeight="1"/>
    <row r="57" spans="1:20" ht="15" customHeight="1"/>
    <row r="58" spans="1:20" ht="15" customHeight="1"/>
    <row r="59" spans="1:20" ht="15" customHeight="1"/>
    <row r="67" spans="3:3">
      <c r="C67" s="30" t="s">
        <v>998</v>
      </c>
    </row>
  </sheetData>
  <sheetProtection selectLockedCells="1"/>
  <mergeCells count="56">
    <mergeCell ref="O36:Q36"/>
    <mergeCell ref="R36:T36"/>
    <mergeCell ref="A43:B43"/>
    <mergeCell ref="A34:D40"/>
    <mergeCell ref="E34:N34"/>
    <mergeCell ref="O34:Q34"/>
    <mergeCell ref="R34:T34"/>
    <mergeCell ref="E35:N35"/>
    <mergeCell ref="O35:Q35"/>
    <mergeCell ref="R35:T35"/>
    <mergeCell ref="E37:E39"/>
    <mergeCell ref="G37:T37"/>
    <mergeCell ref="G38:T38"/>
    <mergeCell ref="G39:T39"/>
    <mergeCell ref="E40:N40"/>
    <mergeCell ref="O40:Q40"/>
    <mergeCell ref="R40:T40"/>
    <mergeCell ref="E36:N36"/>
    <mergeCell ref="O33:Q33"/>
    <mergeCell ref="R33:T33"/>
    <mergeCell ref="A27:D29"/>
    <mergeCell ref="E27:N29"/>
    <mergeCell ref="O27:Q29"/>
    <mergeCell ref="R27:T29"/>
    <mergeCell ref="A30:D31"/>
    <mergeCell ref="E30:N31"/>
    <mergeCell ref="O30:T30"/>
    <mergeCell ref="O31:Q31"/>
    <mergeCell ref="R31:T31"/>
    <mergeCell ref="A32:D33"/>
    <mergeCell ref="E32:N32"/>
    <mergeCell ref="O32:Q32"/>
    <mergeCell ref="R32:T32"/>
    <mergeCell ref="E33:N33"/>
    <mergeCell ref="A20:T20"/>
    <mergeCell ref="A22:T22"/>
    <mergeCell ref="C24:T24"/>
    <mergeCell ref="A25:D26"/>
    <mergeCell ref="E25:N26"/>
    <mergeCell ref="O25:T25"/>
    <mergeCell ref="O26:Q26"/>
    <mergeCell ref="R26:T26"/>
    <mergeCell ref="C23:T23"/>
    <mergeCell ref="A19:B19"/>
    <mergeCell ref="A2:T3"/>
    <mergeCell ref="A8:T8"/>
    <mergeCell ref="A10:T10"/>
    <mergeCell ref="A11:T11"/>
    <mergeCell ref="A12:B12"/>
    <mergeCell ref="A13:B13"/>
    <mergeCell ref="C13:T13"/>
    <mergeCell ref="A14:B14"/>
    <mergeCell ref="A15:B15"/>
    <mergeCell ref="A16:B16"/>
    <mergeCell ref="A17:B17"/>
    <mergeCell ref="A18:B18"/>
  </mergeCells>
  <phoneticPr fontId="16"/>
  <printOptions horizontalCentered="1"/>
  <pageMargins left="0.59055118110236227" right="0.59055118110236227" top="0.59055118110236227" bottom="0.39370078740157483" header="0.31496062992125984" footer="0.19685039370078741"/>
  <pageSetup paperSize="9" scale="9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FDD0C7"/>
    <pageSetUpPr fitToPage="1"/>
  </sheetPr>
  <dimension ref="A1:U65"/>
  <sheetViews>
    <sheetView view="pageBreakPreview" zoomScaleNormal="100" zoomScaleSheetLayoutView="100" workbookViewId="0">
      <selection activeCell="X143" sqref="X143"/>
    </sheetView>
  </sheetViews>
  <sheetFormatPr defaultColWidth="9" defaultRowHeight="14.25"/>
  <cols>
    <col min="1" max="20" width="4.625" style="23" customWidth="1"/>
    <col min="21" max="21" width="5.625" style="23" customWidth="1"/>
    <col min="22" max="16384" width="9" style="23"/>
  </cols>
  <sheetData>
    <row r="1" spans="1:20" ht="15" customHeight="1">
      <c r="T1" s="26"/>
    </row>
    <row r="2" spans="1:20" ht="15" customHeight="1">
      <c r="A2" s="23" t="s">
        <v>999</v>
      </c>
    </row>
    <row r="3" spans="1:20" ht="15" customHeight="1">
      <c r="A3" s="1454" t="s">
        <v>1000</v>
      </c>
      <c r="B3" s="1454"/>
      <c r="C3" s="1454"/>
      <c r="D3" s="1454"/>
      <c r="E3" s="1454"/>
      <c r="F3" s="1454"/>
      <c r="G3" s="1454"/>
      <c r="H3" s="1454"/>
      <c r="I3" s="1454"/>
      <c r="J3" s="1454"/>
      <c r="K3" s="1454"/>
      <c r="L3" s="1454"/>
      <c r="M3" s="1454"/>
      <c r="N3" s="1454"/>
      <c r="O3" s="1454"/>
      <c r="P3" s="1454"/>
      <c r="Q3" s="1454"/>
      <c r="R3" s="1454"/>
      <c r="S3" s="1454"/>
      <c r="T3" s="1454"/>
    </row>
    <row r="4" spans="1:20" ht="15" customHeight="1">
      <c r="A4" s="1454"/>
      <c r="B4" s="1454"/>
      <c r="C4" s="1454"/>
      <c r="D4" s="1454"/>
      <c r="E4" s="1454"/>
      <c r="F4" s="1454"/>
      <c r="G4" s="1454"/>
      <c r="H4" s="1454"/>
      <c r="I4" s="1454"/>
      <c r="J4" s="1454"/>
      <c r="K4" s="1454"/>
      <c r="L4" s="1454"/>
      <c r="M4" s="1454"/>
      <c r="N4" s="1454"/>
      <c r="O4" s="1454"/>
      <c r="P4" s="1454"/>
      <c r="Q4" s="1454"/>
      <c r="R4" s="1454"/>
      <c r="S4" s="1454"/>
      <c r="T4" s="1454"/>
    </row>
    <row r="5" spans="1:20" ht="15" customHeight="1">
      <c r="A5" s="526"/>
      <c r="B5" s="526"/>
      <c r="C5" s="526"/>
      <c r="D5" s="526"/>
      <c r="E5" s="526"/>
      <c r="F5" s="526"/>
      <c r="G5" s="526"/>
      <c r="H5" s="526"/>
      <c r="I5" s="526"/>
      <c r="J5" s="526"/>
      <c r="K5" s="526"/>
      <c r="L5" s="526"/>
      <c r="M5" s="526"/>
      <c r="N5" s="526"/>
      <c r="O5" s="526"/>
      <c r="P5" s="526"/>
      <c r="Q5" s="526"/>
      <c r="R5" s="526"/>
      <c r="S5" s="526"/>
      <c r="T5" s="526"/>
    </row>
    <row r="6" spans="1:20" ht="15" customHeight="1">
      <c r="A6" s="28" t="str">
        <f>IF(【マスター】!C22="","",【マスター】!C22)</f>
        <v>株式会社ケアサポート</v>
      </c>
      <c r="B6" s="29"/>
      <c r="C6" s="29"/>
      <c r="D6" s="527"/>
      <c r="E6" s="527"/>
      <c r="F6" s="527"/>
      <c r="G6" s="527"/>
      <c r="H6" s="527"/>
      <c r="I6" s="527"/>
      <c r="J6" s="527"/>
      <c r="K6" s="527"/>
      <c r="L6" s="527"/>
      <c r="M6" s="527"/>
      <c r="N6" s="527"/>
      <c r="O6" s="527"/>
      <c r="P6" s="527"/>
      <c r="Q6" s="527"/>
      <c r="R6" s="527"/>
      <c r="S6" s="527"/>
      <c r="T6" s="527"/>
    </row>
    <row r="7" spans="1:20" ht="15" customHeight="1">
      <c r="A7" s="28" t="str">
        <f>IF(【マスター】!C7="","",【マスター】!C7)</f>
        <v>デイサービスさくら亭</v>
      </c>
      <c r="B7" s="29"/>
      <c r="C7" s="29"/>
    </row>
    <row r="8" spans="1:20" ht="15" customHeight="1">
      <c r="A8" s="30" t="s">
        <v>953</v>
      </c>
      <c r="B8" s="30"/>
      <c r="C8" s="28"/>
      <c r="D8" s="24"/>
      <c r="E8" s="24"/>
      <c r="F8" s="25"/>
    </row>
    <row r="9" spans="1:20" ht="15" customHeight="1"/>
    <row r="10" spans="1:20" ht="15" customHeight="1"/>
    <row r="11" spans="1:20" ht="15" customHeight="1">
      <c r="B11" s="23" t="str">
        <f>IF(【マスター】!B156="","私、　　　　　　　　　　　が貴事業所に代理を委任する事項は下記の通りです。","私、 "&amp;【マスター】!B156&amp;" が貴事業所に代理を委任する事項は下記の通りです。")</f>
        <v>私、　　　　　　　　　　　が貴事業所に代理を委任する事項は下記の通りです。</v>
      </c>
    </row>
    <row r="12" spans="1:20" ht="15" customHeight="1">
      <c r="A12" s="1455" t="s">
        <v>1001</v>
      </c>
      <c r="B12" s="1455"/>
      <c r="C12" s="1455"/>
      <c r="D12" s="1455"/>
      <c r="E12" s="1455"/>
      <c r="F12" s="1455"/>
      <c r="G12" s="1455"/>
      <c r="H12" s="1455"/>
      <c r="I12" s="1455"/>
      <c r="J12" s="1455"/>
      <c r="K12" s="1455"/>
      <c r="L12" s="1455"/>
      <c r="M12" s="1455"/>
      <c r="N12" s="1455"/>
      <c r="O12" s="1455"/>
      <c r="P12" s="1455"/>
      <c r="Q12" s="1455"/>
      <c r="R12" s="1455"/>
      <c r="S12" s="1455"/>
      <c r="T12" s="1455"/>
    </row>
    <row r="13" spans="1:20" ht="15" customHeight="1">
      <c r="A13" s="1455"/>
      <c r="B13" s="1455"/>
      <c r="C13" s="1455"/>
      <c r="D13" s="1455"/>
      <c r="E13" s="1455"/>
      <c r="F13" s="1455"/>
      <c r="G13" s="1455"/>
      <c r="H13" s="1455"/>
      <c r="I13" s="1455"/>
      <c r="J13" s="1455"/>
      <c r="K13" s="1455"/>
      <c r="L13" s="1455"/>
      <c r="M13" s="1455"/>
      <c r="N13" s="1455"/>
      <c r="O13" s="1455"/>
      <c r="P13" s="1455"/>
      <c r="Q13" s="1455"/>
      <c r="R13" s="1455"/>
      <c r="S13" s="1455"/>
      <c r="T13" s="1455"/>
    </row>
    <row r="14" spans="1:20" ht="15" customHeight="1">
      <c r="A14" s="1455"/>
      <c r="B14" s="1455"/>
      <c r="C14" s="1455"/>
      <c r="D14" s="1455"/>
      <c r="E14" s="1455"/>
      <c r="F14" s="1455"/>
      <c r="G14" s="1455"/>
      <c r="H14" s="1455"/>
      <c r="I14" s="1455"/>
      <c r="J14" s="1455"/>
      <c r="K14" s="1455"/>
      <c r="L14" s="1455"/>
      <c r="M14" s="1455"/>
      <c r="N14" s="1455"/>
      <c r="O14" s="1455"/>
      <c r="P14" s="1455"/>
      <c r="Q14" s="1455"/>
      <c r="R14" s="1455"/>
      <c r="S14" s="1455"/>
      <c r="T14" s="1455"/>
    </row>
    <row r="15" spans="1:20" ht="15" customHeight="1">
      <c r="A15" s="27" t="s">
        <v>1002</v>
      </c>
      <c r="B15" s="23" t="s">
        <v>1003</v>
      </c>
    </row>
    <row r="16" spans="1:20" ht="15" customHeight="1">
      <c r="A16" s="27"/>
    </row>
    <row r="17" spans="1:20" ht="15" customHeight="1"/>
    <row r="18" spans="1:20" ht="15" customHeight="1">
      <c r="A18" s="27" t="s">
        <v>1004</v>
      </c>
      <c r="B18" s="23" t="s">
        <v>1005</v>
      </c>
    </row>
    <row r="19" spans="1:20" ht="15" customHeight="1">
      <c r="A19" s="27"/>
    </row>
    <row r="20" spans="1:20" ht="15" customHeight="1"/>
    <row r="21" spans="1:20" ht="15" customHeight="1">
      <c r="A21" s="27" t="s">
        <v>1006</v>
      </c>
      <c r="B21" s="23" t="s">
        <v>1007</v>
      </c>
    </row>
    <row r="22" spans="1:20" ht="15" customHeight="1">
      <c r="A22" s="27"/>
    </row>
    <row r="23" spans="1:20" ht="15" customHeight="1"/>
    <row r="24" spans="1:20" ht="15" customHeight="1">
      <c r="A24" s="27" t="s">
        <v>1008</v>
      </c>
      <c r="B24" s="23" t="s">
        <v>1009</v>
      </c>
    </row>
    <row r="25" spans="1:20" ht="15" customHeight="1">
      <c r="A25" s="27"/>
    </row>
    <row r="26" spans="1:20" ht="15" customHeight="1">
      <c r="A26" s="27"/>
    </row>
    <row r="27" spans="1:20" ht="15" customHeight="1">
      <c r="A27" s="27" t="s">
        <v>1010</v>
      </c>
      <c r="B27" s="23" t="s">
        <v>1011</v>
      </c>
    </row>
    <row r="28" spans="1:20" ht="15" customHeight="1">
      <c r="A28" s="27"/>
    </row>
    <row r="29" spans="1:20" ht="15" customHeight="1">
      <c r="A29" s="27"/>
    </row>
    <row r="30" spans="1:20" ht="15" customHeight="1">
      <c r="A30" s="1450" t="s">
        <v>1012</v>
      </c>
      <c r="B30" s="1450"/>
      <c r="C30" s="1450"/>
      <c r="D30" s="1450"/>
      <c r="E30" s="1452"/>
      <c r="F30" s="1452"/>
      <c r="G30" s="1452"/>
      <c r="H30" s="1452"/>
      <c r="I30" s="1452"/>
      <c r="J30" s="1452"/>
      <c r="K30" s="1452"/>
      <c r="L30" s="1452"/>
      <c r="M30" s="1452"/>
      <c r="N30" s="1452"/>
      <c r="O30" s="1452"/>
      <c r="P30" s="1452"/>
      <c r="Q30" s="1452"/>
      <c r="R30" s="1452"/>
      <c r="S30" s="1452"/>
      <c r="T30" s="1452"/>
    </row>
    <row r="31" spans="1:20" ht="15" customHeight="1">
      <c r="A31" s="1450"/>
      <c r="B31" s="1450"/>
      <c r="C31" s="1450"/>
      <c r="D31" s="1450"/>
      <c r="E31" s="1452"/>
      <c r="F31" s="1452"/>
      <c r="G31" s="1452"/>
      <c r="H31" s="1452"/>
      <c r="I31" s="1452"/>
      <c r="J31" s="1452"/>
      <c r="K31" s="1452"/>
      <c r="L31" s="1452"/>
      <c r="M31" s="1452"/>
      <c r="N31" s="1452"/>
      <c r="O31" s="1452"/>
      <c r="P31" s="1452"/>
      <c r="Q31" s="1452"/>
      <c r="R31" s="1452"/>
      <c r="S31" s="1452"/>
      <c r="T31" s="1452"/>
    </row>
    <row r="32" spans="1:20" ht="15" customHeight="1">
      <c r="A32" s="1451"/>
      <c r="B32" s="1451"/>
      <c r="C32" s="1451"/>
      <c r="D32" s="1451"/>
      <c r="E32" s="1453"/>
      <c r="F32" s="1453"/>
      <c r="G32" s="1453"/>
      <c r="H32" s="1453"/>
      <c r="I32" s="1453"/>
      <c r="J32" s="1453"/>
      <c r="K32" s="1453"/>
      <c r="L32" s="1453"/>
      <c r="M32" s="1453"/>
      <c r="N32" s="1453"/>
      <c r="O32" s="1453"/>
      <c r="P32" s="1453"/>
      <c r="Q32" s="1453"/>
      <c r="R32" s="1453"/>
      <c r="S32" s="1453"/>
      <c r="T32" s="1453"/>
    </row>
    <row r="33" spans="1:21" ht="15" customHeight="1">
      <c r="A33" s="27"/>
    </row>
    <row r="34" spans="1:21" ht="15" customHeight="1">
      <c r="A34" s="1456" t="s">
        <v>1013</v>
      </c>
      <c r="B34" s="1456"/>
      <c r="C34" s="1456"/>
      <c r="D34" s="1456"/>
      <c r="E34" s="1456"/>
      <c r="F34" s="1456"/>
      <c r="G34" s="1456"/>
      <c r="H34" s="1456"/>
      <c r="I34" s="1456"/>
      <c r="J34" s="1456"/>
      <c r="K34" s="1456"/>
      <c r="L34" s="1456"/>
      <c r="M34" s="1456"/>
      <c r="N34" s="1456"/>
      <c r="O34" s="1456"/>
      <c r="P34" s="1456"/>
      <c r="Q34" s="1456"/>
      <c r="R34" s="1456"/>
      <c r="S34" s="1456"/>
      <c r="T34" s="1456"/>
    </row>
    <row r="35" spans="1:21" ht="15" customHeight="1">
      <c r="A35" s="1456"/>
      <c r="B35" s="1456"/>
      <c r="C35" s="1456"/>
      <c r="D35" s="1456"/>
      <c r="E35" s="1456"/>
      <c r="F35" s="1456"/>
      <c r="G35" s="1456"/>
      <c r="H35" s="1456"/>
      <c r="I35" s="1456"/>
      <c r="J35" s="1456"/>
      <c r="K35" s="1456"/>
      <c r="L35" s="1456"/>
      <c r="M35" s="1456"/>
      <c r="N35" s="1456"/>
      <c r="O35" s="1456"/>
      <c r="P35" s="1456"/>
      <c r="Q35" s="1456"/>
      <c r="R35" s="1456"/>
      <c r="S35" s="1456"/>
      <c r="T35" s="1456"/>
    </row>
    <row r="36" spans="1:21" ht="15" customHeight="1">
      <c r="A36" s="1456" t="s">
        <v>1014</v>
      </c>
      <c r="B36" s="1456"/>
      <c r="C36" s="1456"/>
      <c r="D36" s="1456"/>
      <c r="E36" s="1456"/>
      <c r="F36" s="1456"/>
      <c r="G36" s="1456"/>
      <c r="H36" s="1456"/>
      <c r="I36" s="1456"/>
      <c r="J36" s="1456"/>
      <c r="K36" s="1456"/>
      <c r="L36" s="1456"/>
      <c r="M36" s="1456"/>
      <c r="N36" s="1456"/>
      <c r="O36" s="1456"/>
      <c r="P36" s="1456"/>
      <c r="Q36" s="1456"/>
      <c r="R36" s="1456"/>
      <c r="S36" s="1456"/>
      <c r="T36" s="1456"/>
    </row>
    <row r="37" spans="1:21" ht="15" customHeight="1">
      <c r="A37" s="1456"/>
      <c r="B37" s="1456"/>
      <c r="C37" s="1456"/>
      <c r="D37" s="1456"/>
      <c r="E37" s="1456"/>
      <c r="F37" s="1456"/>
      <c r="G37" s="1456"/>
      <c r="H37" s="1456"/>
      <c r="I37" s="1456"/>
      <c r="J37" s="1456"/>
      <c r="K37" s="1456"/>
      <c r="L37" s="1456"/>
      <c r="M37" s="1456"/>
      <c r="N37" s="1456"/>
      <c r="O37" s="1456"/>
      <c r="P37" s="1456"/>
      <c r="Q37" s="1456"/>
      <c r="R37" s="1456"/>
      <c r="S37" s="1456"/>
      <c r="T37" s="1456"/>
    </row>
    <row r="38" spans="1:21" ht="15" customHeight="1">
      <c r="A38" s="28"/>
      <c r="B38" s="28"/>
      <c r="C38" s="28"/>
      <c r="D38" s="24"/>
      <c r="E38" s="24"/>
      <c r="F38" s="25"/>
    </row>
    <row r="39" spans="1:21" ht="15" customHeight="1">
      <c r="A39" s="28"/>
      <c r="B39" s="28"/>
      <c r="C39" s="28"/>
      <c r="D39" s="24"/>
      <c r="E39" s="24"/>
      <c r="F39" s="25"/>
    </row>
    <row r="40" spans="1:21" ht="15" customHeight="1"/>
    <row r="41" spans="1:21" ht="15" customHeight="1">
      <c r="A41" s="1439"/>
      <c r="B41" s="1439"/>
      <c r="C41" s="86"/>
      <c r="D41" s="525" t="s">
        <v>666</v>
      </c>
      <c r="E41" s="86"/>
      <c r="F41" s="525" t="s">
        <v>667</v>
      </c>
      <c r="G41" s="86"/>
      <c r="H41" s="525" t="s">
        <v>668</v>
      </c>
      <c r="U41" s="487"/>
    </row>
    <row r="42" spans="1:21" ht="15" customHeight="1">
      <c r="A42" s="525"/>
      <c r="B42" s="525"/>
      <c r="C42" s="525"/>
      <c r="D42" s="525"/>
      <c r="E42" s="525"/>
      <c r="F42" s="525"/>
      <c r="G42" s="525"/>
      <c r="H42" s="525"/>
    </row>
    <row r="43" spans="1:21" ht="15" customHeight="1"/>
    <row r="44" spans="1:21" s="31" customFormat="1" ht="15" customHeight="1">
      <c r="B44" s="32"/>
      <c r="C44" s="32" t="s">
        <v>1015</v>
      </c>
      <c r="H44" s="2" t="s">
        <v>503</v>
      </c>
      <c r="J44" s="1449" t="str">
        <f>DBCS(【マスター】!B157&amp;【マスター】!B158)</f>
        <v/>
      </c>
      <c r="K44" s="1449"/>
      <c r="L44" s="1449"/>
      <c r="M44" s="1449"/>
      <c r="N44" s="1449"/>
      <c r="O44" s="1449"/>
      <c r="P44" s="1449"/>
      <c r="Q44" s="1449"/>
      <c r="R44" s="1449"/>
      <c r="S44" s="1449"/>
      <c r="T44" s="1449"/>
    </row>
    <row r="45" spans="1:21" s="31" customFormat="1" ht="15" customHeight="1">
      <c r="B45" s="34"/>
      <c r="C45" s="34"/>
      <c r="D45" s="34"/>
      <c r="E45" s="34"/>
      <c r="F45" s="34"/>
      <c r="G45" s="34"/>
      <c r="H45" s="34"/>
      <c r="I45" s="34"/>
      <c r="J45" s="34"/>
    </row>
    <row r="46" spans="1:21" s="31" customFormat="1" ht="15" customHeight="1">
      <c r="B46" s="34"/>
      <c r="C46" s="34"/>
      <c r="D46" s="34"/>
      <c r="E46" s="34"/>
      <c r="F46" s="34"/>
      <c r="G46" s="34"/>
      <c r="H46" s="32" t="s">
        <v>510</v>
      </c>
      <c r="I46" s="34"/>
      <c r="J46" s="506"/>
      <c r="K46" s="506"/>
      <c r="L46" s="506"/>
      <c r="M46" s="506"/>
      <c r="N46" s="506"/>
      <c r="O46" s="506"/>
      <c r="P46" s="506"/>
      <c r="Q46" s="506"/>
      <c r="R46" s="506"/>
      <c r="S46" s="506"/>
      <c r="T46" s="243" t="s">
        <v>506</v>
      </c>
    </row>
    <row r="47" spans="1:21" s="31" customFormat="1" ht="15" customHeight="1">
      <c r="B47" s="32"/>
      <c r="C47" s="32"/>
    </row>
    <row r="48" spans="1:21" s="31" customFormat="1" ht="15" customHeight="1">
      <c r="B48" s="32"/>
      <c r="C48" s="32" t="s">
        <v>1016</v>
      </c>
    </row>
    <row r="49" spans="1:20" s="31" customFormat="1" ht="15" customHeight="1">
      <c r="B49" s="32"/>
      <c r="C49" s="32"/>
      <c r="H49" s="2" t="s">
        <v>503</v>
      </c>
      <c r="J49" s="1449" t="str">
        <f>DBCS(【マスター】!B159&amp;【マスター】!B160)</f>
        <v/>
      </c>
      <c r="K49" s="1449"/>
      <c r="L49" s="1449"/>
      <c r="M49" s="1449"/>
      <c r="N49" s="1449"/>
      <c r="O49" s="1449"/>
      <c r="P49" s="1449"/>
      <c r="Q49" s="1449"/>
      <c r="R49" s="1449"/>
      <c r="S49" s="1449"/>
      <c r="T49" s="1449"/>
    </row>
    <row r="50" spans="1:20" s="31" customFormat="1" ht="15" customHeight="1">
      <c r="B50" s="32"/>
      <c r="C50" s="32"/>
      <c r="H50" s="34"/>
    </row>
    <row r="51" spans="1:20" s="31" customFormat="1" ht="15" customHeight="1">
      <c r="B51" s="32"/>
      <c r="C51" s="32"/>
      <c r="H51" s="32" t="s">
        <v>510</v>
      </c>
      <c r="J51" s="506"/>
      <c r="K51" s="506"/>
      <c r="L51" s="506"/>
      <c r="M51" s="506"/>
      <c r="N51" s="506"/>
      <c r="O51" s="506"/>
      <c r="P51" s="506"/>
      <c r="Q51" s="506"/>
      <c r="R51" s="506"/>
      <c r="S51" s="506"/>
      <c r="T51" s="243" t="s">
        <v>506</v>
      </c>
    </row>
    <row r="52" spans="1:20" s="31" customFormat="1" ht="15" customHeight="1">
      <c r="B52" s="32"/>
      <c r="C52" s="32"/>
      <c r="H52" s="32"/>
      <c r="J52" s="34"/>
      <c r="K52" s="34"/>
      <c r="L52" s="34"/>
      <c r="M52" s="34"/>
      <c r="N52" s="34"/>
      <c r="O52" s="34"/>
      <c r="P52" s="34"/>
      <c r="Q52" s="34"/>
      <c r="R52" s="34"/>
      <c r="S52" s="34"/>
      <c r="T52" s="41"/>
    </row>
    <row r="53" spans="1:20" ht="20.100000000000001" customHeight="1">
      <c r="A53" s="27"/>
    </row>
    <row r="54" spans="1:20" ht="20.100000000000001" customHeight="1">
      <c r="A54" s="27"/>
    </row>
    <row r="55" spans="1:20" ht="20.100000000000001" customHeight="1">
      <c r="A55" s="27"/>
    </row>
    <row r="56" spans="1:20" ht="20.100000000000001" customHeight="1">
      <c r="A56" s="27"/>
    </row>
    <row r="57" spans="1:20" ht="20.100000000000001" customHeight="1"/>
    <row r="58" spans="1:20" ht="20.100000000000001" customHeight="1"/>
    <row r="59" spans="1:20" ht="20.100000000000001" customHeight="1"/>
    <row r="60" spans="1:20" ht="20.100000000000001" customHeight="1"/>
    <row r="61" spans="1:20" ht="20.100000000000001" customHeight="1"/>
    <row r="62" spans="1:20" ht="20.100000000000001" customHeight="1"/>
    <row r="63" spans="1:20" ht="20.100000000000001" customHeight="1"/>
    <row r="64" spans="1:20" ht="20.100000000000001" customHeight="1"/>
    <row r="65" ht="20.100000000000001" customHeight="1"/>
  </sheetData>
  <sheetProtection selectLockedCells="1"/>
  <mergeCells count="9">
    <mergeCell ref="J49:T49"/>
    <mergeCell ref="A30:D32"/>
    <mergeCell ref="E30:T32"/>
    <mergeCell ref="A41:B41"/>
    <mergeCell ref="A3:T4"/>
    <mergeCell ref="A12:T14"/>
    <mergeCell ref="A34:T35"/>
    <mergeCell ref="A36:T37"/>
    <mergeCell ref="J44:T44"/>
  </mergeCells>
  <phoneticPr fontId="16"/>
  <printOptions horizontalCentered="1"/>
  <pageMargins left="0.59055118110236227" right="0.59055118110236227" top="0.59055118110236227" bottom="0.39370078740157483" header="0.31496062992125984" footer="0.19685039370078741"/>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pageSetUpPr fitToPage="1"/>
  </sheetPr>
  <dimension ref="A1:AQ47"/>
  <sheetViews>
    <sheetView showGridLines="0" view="pageBreakPreview" zoomScaleNormal="100" zoomScaleSheetLayoutView="100" workbookViewId="0">
      <selection activeCell="X143" sqref="X143"/>
    </sheetView>
  </sheetViews>
  <sheetFormatPr defaultColWidth="3.125" defaultRowHeight="13.5"/>
  <cols>
    <col min="1" max="16384" width="3.125" style="21"/>
  </cols>
  <sheetData>
    <row r="1" spans="1:34" ht="15" customHeight="1">
      <c r="AG1" s="22"/>
    </row>
    <row r="2" spans="1:34" s="112" customFormat="1" ht="27" customHeight="1">
      <c r="A2" s="191" t="s">
        <v>1150</v>
      </c>
      <c r="B2" s="191"/>
      <c r="C2" s="191"/>
      <c r="D2" s="191"/>
      <c r="E2" s="191"/>
      <c r="F2" s="191"/>
      <c r="G2" s="191"/>
      <c r="H2" s="191"/>
      <c r="I2" s="191"/>
      <c r="J2" s="191"/>
      <c r="AG2" s="22" t="s">
        <v>1151</v>
      </c>
      <c r="AH2" s="488"/>
    </row>
    <row r="3" spans="1:34" s="112" customFormat="1" ht="27" customHeight="1" thickBot="1">
      <c r="A3" s="191"/>
      <c r="B3" s="191"/>
      <c r="C3" s="191"/>
      <c r="D3" s="191"/>
      <c r="E3" s="191"/>
      <c r="F3" s="191"/>
      <c r="G3" s="191"/>
      <c r="H3" s="191"/>
      <c r="I3" s="191"/>
      <c r="J3" s="191"/>
      <c r="AG3" s="22"/>
    </row>
    <row r="4" spans="1:34" ht="39.75" customHeight="1" thickBot="1">
      <c r="A4" s="1532" t="s">
        <v>1152</v>
      </c>
      <c r="B4" s="1533"/>
      <c r="C4" s="1533"/>
      <c r="D4" s="1533"/>
      <c r="E4" s="1533"/>
      <c r="F4" s="1533"/>
      <c r="G4" s="1533"/>
      <c r="H4" s="1533"/>
      <c r="I4" s="1533"/>
      <c r="J4" s="1533"/>
      <c r="K4" s="1533"/>
      <c r="L4" s="1533"/>
      <c r="M4" s="1533"/>
      <c r="N4" s="1533"/>
      <c r="O4" s="1533"/>
      <c r="P4" s="1533"/>
      <c r="Q4" s="1533"/>
      <c r="R4" s="1533"/>
      <c r="S4" s="1533"/>
      <c r="T4" s="1533"/>
      <c r="U4" s="1533"/>
      <c r="V4" s="1533"/>
      <c r="W4" s="1533"/>
      <c r="X4" s="1533"/>
      <c r="Y4" s="1533"/>
      <c r="Z4" s="1533"/>
      <c r="AA4" s="1533"/>
      <c r="AB4" s="1533"/>
      <c r="AC4" s="1533"/>
      <c r="AD4" s="1533"/>
      <c r="AE4" s="1533"/>
      <c r="AF4" s="1533"/>
      <c r="AG4" s="1534"/>
    </row>
    <row r="5" spans="1:34" ht="22.5" customHeight="1" thickTop="1" thickBot="1">
      <c r="A5" s="1544" t="s">
        <v>1153</v>
      </c>
      <c r="B5" s="1545"/>
      <c r="C5" s="1545"/>
      <c r="D5" s="1545"/>
      <c r="E5" s="1545"/>
      <c r="F5" s="1545"/>
      <c r="G5" s="1545"/>
      <c r="H5" s="1545"/>
      <c r="I5" s="1545"/>
      <c r="J5" s="1545"/>
      <c r="K5" s="1545"/>
      <c r="L5" s="1545"/>
      <c r="M5" s="1545"/>
      <c r="N5" s="1545"/>
      <c r="O5" s="1545"/>
      <c r="P5" s="1545"/>
      <c r="Q5" s="1545"/>
      <c r="R5" s="1545"/>
      <c r="S5" s="1545"/>
      <c r="T5" s="1545"/>
      <c r="U5" s="1545"/>
      <c r="V5" s="1545"/>
      <c r="W5" s="1545"/>
      <c r="X5" s="1545"/>
      <c r="Y5" s="1545"/>
      <c r="Z5" s="1545"/>
      <c r="AA5" s="1545"/>
      <c r="AB5" s="1545"/>
      <c r="AC5" s="1545"/>
      <c r="AD5" s="1545"/>
      <c r="AE5" s="1545"/>
      <c r="AF5" s="1545"/>
      <c r="AG5" s="1546"/>
    </row>
    <row r="6" spans="1:34" ht="22.5" customHeight="1">
      <c r="A6" s="201" t="s">
        <v>1154</v>
      </c>
      <c r="B6" s="1500" t="s">
        <v>1155</v>
      </c>
      <c r="C6" s="1500"/>
      <c r="D6" s="1500"/>
      <c r="E6" s="1500"/>
      <c r="F6" s="1500"/>
      <c r="G6" s="1500"/>
      <c r="H6" s="1500"/>
      <c r="I6" s="1500"/>
      <c r="J6" s="1500"/>
      <c r="K6" s="1500"/>
      <c r="L6" s="1500"/>
      <c r="M6" s="1500"/>
      <c r="N6" s="1500"/>
      <c r="O6" s="1500"/>
      <c r="P6" s="1500"/>
      <c r="Q6" s="1500"/>
      <c r="R6" s="1500"/>
      <c r="S6" s="1500"/>
      <c r="T6" s="207" t="s">
        <v>1156</v>
      </c>
      <c r="U6" s="203"/>
      <c r="V6" s="203"/>
      <c r="W6" s="203"/>
      <c r="X6" s="203"/>
      <c r="Y6" s="203"/>
      <c r="Z6" s="203"/>
      <c r="AA6" s="203"/>
      <c r="AB6" s="203"/>
      <c r="AC6" s="203"/>
      <c r="AD6" s="203"/>
      <c r="AE6" s="203"/>
      <c r="AF6" s="203"/>
      <c r="AG6" s="204"/>
    </row>
    <row r="7" spans="1:34" ht="22.5" customHeight="1">
      <c r="A7" s="199" t="s">
        <v>1154</v>
      </c>
      <c r="B7" s="1502" t="s">
        <v>1157</v>
      </c>
      <c r="C7" s="1502"/>
      <c r="D7" s="1502"/>
      <c r="E7" s="1502"/>
      <c r="F7" s="1502"/>
      <c r="G7" s="1502"/>
      <c r="H7" s="1502"/>
      <c r="I7" s="1502"/>
      <c r="J7" s="1502"/>
      <c r="K7" s="1502"/>
      <c r="L7" s="1502"/>
      <c r="M7" s="1502"/>
      <c r="N7" s="1502"/>
      <c r="O7" s="1502"/>
      <c r="P7" s="1502"/>
      <c r="Q7" s="1502"/>
      <c r="R7" s="1502"/>
      <c r="S7" s="1502"/>
      <c r="T7" s="208" t="s">
        <v>1158</v>
      </c>
      <c r="U7" s="113"/>
      <c r="V7" s="113"/>
      <c r="W7" s="113"/>
      <c r="X7" s="113"/>
      <c r="Y7" s="113"/>
      <c r="Z7" s="113"/>
      <c r="AA7" s="113"/>
      <c r="AB7" s="113"/>
      <c r="AC7" s="113"/>
      <c r="AD7" s="113"/>
      <c r="AE7" s="113"/>
      <c r="AF7" s="113"/>
      <c r="AG7" s="200"/>
    </row>
    <row r="8" spans="1:34" ht="22.5" customHeight="1">
      <c r="A8" s="199" t="s">
        <v>1154</v>
      </c>
      <c r="B8" s="1460" t="s">
        <v>1159</v>
      </c>
      <c r="C8" s="1460"/>
      <c r="D8" s="1460"/>
      <c r="E8" s="1460"/>
      <c r="F8" s="1460"/>
      <c r="G8" s="1460"/>
      <c r="H8" s="1460"/>
      <c r="I8" s="1460"/>
      <c r="J8" s="1460"/>
      <c r="K8" s="1460"/>
      <c r="L8" s="1460"/>
      <c r="M8" s="1460"/>
      <c r="N8" s="1460"/>
      <c r="O8" s="1460"/>
      <c r="P8" s="1460"/>
      <c r="Q8" s="1460"/>
      <c r="R8" s="1460"/>
      <c r="S8" s="1460"/>
      <c r="T8" s="208" t="s">
        <v>1160</v>
      </c>
      <c r="U8" s="113"/>
      <c r="V8" s="113"/>
      <c r="W8" s="113"/>
      <c r="X8" s="113"/>
      <c r="Y8" s="113"/>
      <c r="Z8" s="113"/>
      <c r="AA8" s="113"/>
      <c r="AB8" s="113"/>
      <c r="AC8" s="113"/>
      <c r="AD8" s="113"/>
      <c r="AE8" s="113"/>
      <c r="AF8" s="113"/>
      <c r="AG8" s="200"/>
    </row>
    <row r="9" spans="1:34" ht="22.5" customHeight="1">
      <c r="A9" s="199" t="s">
        <v>1154</v>
      </c>
      <c r="B9" s="1460" t="s">
        <v>1161</v>
      </c>
      <c r="C9" s="1460"/>
      <c r="D9" s="1460"/>
      <c r="E9" s="1460"/>
      <c r="F9" s="1460"/>
      <c r="G9" s="1460"/>
      <c r="H9" s="1460"/>
      <c r="I9" s="1460"/>
      <c r="J9" s="1460"/>
      <c r="K9" s="1460"/>
      <c r="L9" s="1460"/>
      <c r="M9" s="1460"/>
      <c r="N9" s="1460"/>
      <c r="O9" s="1460"/>
      <c r="P9" s="1460"/>
      <c r="Q9" s="1460"/>
      <c r="R9" s="1460"/>
      <c r="S9" s="1460"/>
      <c r="T9" s="208" t="s">
        <v>1162</v>
      </c>
      <c r="U9" s="113"/>
      <c r="V9" s="113"/>
      <c r="W9" s="113"/>
      <c r="X9" s="113"/>
      <c r="Y9" s="113"/>
      <c r="Z9" s="113"/>
      <c r="AA9" s="113"/>
      <c r="AB9" s="113"/>
      <c r="AC9" s="113"/>
      <c r="AD9" s="113"/>
      <c r="AE9" s="113"/>
      <c r="AF9" s="113"/>
      <c r="AG9" s="200"/>
    </row>
    <row r="10" spans="1:34" ht="22.5" customHeight="1" thickBot="1">
      <c r="A10" s="202" t="s">
        <v>1154</v>
      </c>
      <c r="B10" s="1501" t="s">
        <v>1163</v>
      </c>
      <c r="C10" s="1501"/>
      <c r="D10" s="1501"/>
      <c r="E10" s="1501"/>
      <c r="F10" s="1501"/>
      <c r="G10" s="1501"/>
      <c r="H10" s="1501"/>
      <c r="I10" s="1501"/>
      <c r="J10" s="1501"/>
      <c r="K10" s="1501"/>
      <c r="L10" s="1501"/>
      <c r="M10" s="1501"/>
      <c r="N10" s="1501"/>
      <c r="O10" s="1501"/>
      <c r="P10" s="1501"/>
      <c r="Q10" s="1501"/>
      <c r="R10" s="1501"/>
      <c r="S10" s="1501"/>
      <c r="T10" s="209" t="s">
        <v>1164</v>
      </c>
      <c r="U10" s="205"/>
      <c r="V10" s="205"/>
      <c r="W10" s="205"/>
      <c r="X10" s="205"/>
      <c r="Y10" s="205"/>
      <c r="Z10" s="205"/>
      <c r="AA10" s="205"/>
      <c r="AB10" s="205"/>
      <c r="AC10" s="205"/>
      <c r="AD10" s="205"/>
      <c r="AE10" s="205"/>
      <c r="AF10" s="205"/>
      <c r="AG10" s="206"/>
    </row>
    <row r="11" spans="1:34" ht="26.1" customHeight="1">
      <c r="A11" s="1503" t="s">
        <v>1165</v>
      </c>
      <c r="B11" s="1504"/>
      <c r="C11" s="1504"/>
      <c r="D11" s="1504"/>
      <c r="E11" s="1504"/>
      <c r="F11" s="1504"/>
      <c r="G11" s="1504"/>
      <c r="H11" s="1504"/>
      <c r="I11" s="1504"/>
      <c r="J11" s="1541" t="s">
        <v>1166</v>
      </c>
      <c r="K11" s="1542"/>
      <c r="L11" s="1542"/>
      <c r="M11" s="1542"/>
      <c r="N11" s="1542"/>
      <c r="O11" s="1542"/>
      <c r="P11" s="1542"/>
      <c r="Q11" s="1542"/>
      <c r="R11" s="1542"/>
      <c r="S11" s="1542"/>
      <c r="T11" s="1542"/>
      <c r="U11" s="1542"/>
      <c r="V11" s="1542"/>
      <c r="W11" s="1542"/>
      <c r="X11" s="1542"/>
      <c r="Y11" s="1542"/>
      <c r="Z11" s="1542"/>
      <c r="AA11" s="1542"/>
      <c r="AB11" s="1542"/>
      <c r="AC11" s="1542"/>
      <c r="AD11" s="1542"/>
      <c r="AE11" s="1542"/>
      <c r="AF11" s="1542"/>
      <c r="AG11" s="1543"/>
    </row>
    <row r="12" spans="1:34" ht="26.1" customHeight="1">
      <c r="A12" s="1498" t="s">
        <v>1167</v>
      </c>
      <c r="B12" s="1499"/>
      <c r="C12" s="1499"/>
      <c r="D12" s="1499"/>
      <c r="E12" s="1499"/>
      <c r="F12" s="1499"/>
      <c r="G12" s="1499"/>
      <c r="H12" s="1499"/>
      <c r="I12" s="1499"/>
      <c r="J12" s="1480" t="s">
        <v>1166</v>
      </c>
      <c r="K12" s="1481"/>
      <c r="L12" s="1481"/>
      <c r="M12" s="1481"/>
      <c r="N12" s="1481"/>
      <c r="O12" s="1481"/>
      <c r="P12" s="1481"/>
      <c r="Q12" s="1481"/>
      <c r="R12" s="1481"/>
      <c r="S12" s="1481"/>
      <c r="T12" s="1481"/>
      <c r="U12" s="1481"/>
      <c r="V12" s="1481"/>
      <c r="W12" s="1481"/>
      <c r="X12" s="1481"/>
      <c r="Y12" s="1481"/>
      <c r="Z12" s="1481"/>
      <c r="AA12" s="1481"/>
      <c r="AB12" s="1481"/>
      <c r="AC12" s="1481"/>
      <c r="AD12" s="1481"/>
      <c r="AE12" s="1481"/>
      <c r="AF12" s="1481"/>
      <c r="AG12" s="1482"/>
    </row>
    <row r="13" spans="1:34" ht="26.1" customHeight="1" thickBot="1">
      <c r="A13" s="1526" t="s">
        <v>1168</v>
      </c>
      <c r="B13" s="1527"/>
      <c r="C13" s="1527"/>
      <c r="D13" s="1527"/>
      <c r="E13" s="1527"/>
      <c r="F13" s="1527"/>
      <c r="G13" s="1527"/>
      <c r="H13" s="1527"/>
      <c r="I13" s="1527"/>
      <c r="J13" s="1551" t="s">
        <v>1169</v>
      </c>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2"/>
    </row>
    <row r="14" spans="1:34" ht="22.5" customHeight="1">
      <c r="A14" s="1461" t="s">
        <v>1170</v>
      </c>
      <c r="B14" s="1462"/>
      <c r="C14" s="1462"/>
      <c r="D14" s="1462"/>
      <c r="E14" s="1463"/>
      <c r="F14" s="1528" t="s">
        <v>1171</v>
      </c>
      <c r="G14" s="1528"/>
      <c r="H14" s="1528"/>
      <c r="I14" s="1528"/>
      <c r="J14" s="1538"/>
      <c r="K14" s="1539"/>
      <c r="L14" s="1539"/>
      <c r="M14" s="1539"/>
      <c r="N14" s="1539"/>
      <c r="O14" s="1539"/>
      <c r="P14" s="1539"/>
      <c r="Q14" s="1539"/>
      <c r="R14" s="1539"/>
      <c r="S14" s="1539"/>
      <c r="T14" s="1539"/>
      <c r="U14" s="1539"/>
      <c r="V14" s="1540"/>
      <c r="W14" s="1528" t="s">
        <v>1172</v>
      </c>
      <c r="X14" s="1528"/>
      <c r="Y14" s="1528"/>
      <c r="Z14" s="1528"/>
      <c r="AA14" s="1541"/>
      <c r="AB14" s="1542"/>
      <c r="AC14" s="1542"/>
      <c r="AD14" s="1542"/>
      <c r="AE14" s="1542"/>
      <c r="AF14" s="1542"/>
      <c r="AG14" s="1543"/>
    </row>
    <row r="15" spans="1:34" ht="22.5" customHeight="1">
      <c r="A15" s="1464"/>
      <c r="B15" s="1465"/>
      <c r="C15" s="1465"/>
      <c r="D15" s="1465"/>
      <c r="E15" s="1466"/>
      <c r="F15" s="1457" t="s">
        <v>1028</v>
      </c>
      <c r="G15" s="1457"/>
      <c r="H15" s="1457"/>
      <c r="I15" s="1457"/>
      <c r="J15" s="1480" t="s">
        <v>1173</v>
      </c>
      <c r="K15" s="1481"/>
      <c r="L15" s="1481"/>
      <c r="M15" s="210"/>
      <c r="N15" s="210" t="s">
        <v>67</v>
      </c>
      <c r="O15" s="210"/>
      <c r="P15" s="210" t="s">
        <v>68</v>
      </c>
      <c r="Q15" s="210"/>
      <c r="R15" s="210" t="s">
        <v>91</v>
      </c>
      <c r="S15" s="192" t="s">
        <v>1174</v>
      </c>
      <c r="T15" s="192"/>
      <c r="U15" s="1496" t="s">
        <v>1175</v>
      </c>
      <c r="V15" s="1497"/>
      <c r="W15" s="1457" t="s">
        <v>1176</v>
      </c>
      <c r="X15" s="1457"/>
      <c r="Y15" s="1457"/>
      <c r="Z15" s="1457"/>
      <c r="AA15" s="1480" t="s">
        <v>1177</v>
      </c>
      <c r="AB15" s="1481"/>
      <c r="AC15" s="1481"/>
      <c r="AD15" s="1481"/>
      <c r="AE15" s="1481"/>
      <c r="AF15" s="1481"/>
      <c r="AG15" s="1482"/>
    </row>
    <row r="16" spans="1:34" ht="22.5" customHeight="1">
      <c r="A16" s="1464"/>
      <c r="B16" s="1465"/>
      <c r="C16" s="1465"/>
      <c r="D16" s="1465"/>
      <c r="E16" s="1466"/>
      <c r="F16" s="1484" t="s">
        <v>1178</v>
      </c>
      <c r="G16" s="1485"/>
      <c r="H16" s="1485"/>
      <c r="I16" s="1486"/>
      <c r="J16" s="1547" t="s">
        <v>1179</v>
      </c>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9"/>
    </row>
    <row r="17" spans="1:43" ht="22.5" customHeight="1">
      <c r="A17" s="1464"/>
      <c r="B17" s="1465"/>
      <c r="C17" s="1465"/>
      <c r="D17" s="1465"/>
      <c r="E17" s="1466"/>
      <c r="F17" s="1487"/>
      <c r="G17" s="1488"/>
      <c r="H17" s="1488"/>
      <c r="I17" s="1489"/>
      <c r="J17" s="535"/>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211"/>
    </row>
    <row r="18" spans="1:43" ht="22.5" customHeight="1">
      <c r="A18" s="1464"/>
      <c r="B18" s="1465"/>
      <c r="C18" s="1465"/>
      <c r="D18" s="1465"/>
      <c r="E18" s="1466"/>
      <c r="F18" s="1535" t="s">
        <v>1180</v>
      </c>
      <c r="G18" s="1536"/>
      <c r="H18" s="1536"/>
      <c r="I18" s="1537"/>
      <c r="J18" s="1480" t="s">
        <v>1181</v>
      </c>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2"/>
    </row>
    <row r="19" spans="1:43" ht="22.5" customHeight="1">
      <c r="A19" s="1464"/>
      <c r="B19" s="1465"/>
      <c r="C19" s="1465"/>
      <c r="D19" s="1465"/>
      <c r="E19" s="1466"/>
      <c r="F19" s="1457" t="s">
        <v>576</v>
      </c>
      <c r="G19" s="1457"/>
      <c r="H19" s="1457"/>
      <c r="I19" s="1457"/>
      <c r="J19" s="1480" t="s">
        <v>1182</v>
      </c>
      <c r="K19" s="1481"/>
      <c r="L19" s="1481"/>
      <c r="M19" s="1481"/>
      <c r="N19" s="1481"/>
      <c r="O19" s="1481"/>
      <c r="P19" s="1481"/>
      <c r="Q19" s="1481"/>
      <c r="R19" s="1481"/>
      <c r="S19" s="1481"/>
      <c r="T19" s="1481"/>
      <c r="U19" s="1481"/>
      <c r="V19" s="1550"/>
      <c r="W19" s="1484" t="s">
        <v>1183</v>
      </c>
      <c r="X19" s="1485"/>
      <c r="Y19" s="1485"/>
      <c r="Z19" s="1486"/>
      <c r="AA19" s="1480" t="s">
        <v>1184</v>
      </c>
      <c r="AB19" s="1481"/>
      <c r="AC19" s="1481"/>
      <c r="AD19" s="1481"/>
      <c r="AE19" s="1481"/>
      <c r="AF19" s="1481"/>
      <c r="AG19" s="1482"/>
    </row>
    <row r="20" spans="1:43" ht="22.5" customHeight="1">
      <c r="A20" s="1464"/>
      <c r="B20" s="1465"/>
      <c r="C20" s="1465"/>
      <c r="D20" s="1465"/>
      <c r="E20" s="1466"/>
      <c r="F20" s="1457" t="s">
        <v>1185</v>
      </c>
      <c r="G20" s="1457"/>
      <c r="H20" s="1457"/>
      <c r="I20" s="1457"/>
      <c r="J20" s="1458" t="s">
        <v>1186</v>
      </c>
      <c r="K20" s="1458"/>
      <c r="L20" s="1458"/>
      <c r="M20" s="1458"/>
      <c r="N20" s="1458"/>
      <c r="O20" s="1458"/>
      <c r="P20" s="1458"/>
      <c r="Q20" s="1458"/>
      <c r="R20" s="1458"/>
      <c r="S20" s="1458"/>
      <c r="T20" s="1458"/>
      <c r="U20" s="1458"/>
      <c r="V20" s="1458"/>
      <c r="W20" s="1458"/>
      <c r="X20" s="1458"/>
      <c r="Y20" s="1458"/>
      <c r="Z20" s="1458"/>
      <c r="AA20" s="1458"/>
      <c r="AB20" s="1458"/>
      <c r="AC20" s="1458"/>
      <c r="AD20" s="1458"/>
      <c r="AE20" s="1458"/>
      <c r="AF20" s="1458"/>
      <c r="AG20" s="1459"/>
    </row>
    <row r="21" spans="1:43" ht="22.5" customHeight="1">
      <c r="A21" s="1464"/>
      <c r="B21" s="1465"/>
      <c r="C21" s="1465"/>
      <c r="D21" s="1465"/>
      <c r="E21" s="1466"/>
      <c r="F21" s="1484" t="s">
        <v>1187</v>
      </c>
      <c r="G21" s="1485"/>
      <c r="H21" s="1485"/>
      <c r="I21" s="1486"/>
      <c r="J21" s="1490" t="s">
        <v>1188</v>
      </c>
      <c r="K21" s="1491"/>
      <c r="L21" s="1491"/>
      <c r="M21" s="1491"/>
      <c r="N21" s="1491"/>
      <c r="O21" s="1491"/>
      <c r="P21" s="1491"/>
      <c r="Q21" s="1491"/>
      <c r="R21" s="1491"/>
      <c r="S21" s="1491"/>
      <c r="T21" s="1491"/>
      <c r="U21" s="1491"/>
      <c r="V21" s="1491"/>
      <c r="W21" s="1491"/>
      <c r="X21" s="1491"/>
      <c r="Y21" s="1491"/>
      <c r="Z21" s="1491"/>
      <c r="AA21" s="1491"/>
      <c r="AB21" s="1491"/>
      <c r="AC21" s="1491"/>
      <c r="AD21" s="1491"/>
      <c r="AE21" s="1491"/>
      <c r="AF21" s="1491"/>
      <c r="AG21" s="1492"/>
      <c r="AQ21" s="21" ph="1"/>
    </row>
    <row r="22" spans="1:43" ht="22.5" customHeight="1">
      <c r="A22" s="1464"/>
      <c r="B22" s="1465"/>
      <c r="C22" s="1465"/>
      <c r="D22" s="1465"/>
      <c r="E22" s="1466"/>
      <c r="F22" s="1487"/>
      <c r="G22" s="1488"/>
      <c r="H22" s="1488"/>
      <c r="I22" s="1489"/>
      <c r="J22" s="1493" t="s">
        <v>1189</v>
      </c>
      <c r="K22" s="1494"/>
      <c r="L22" s="1494"/>
      <c r="M22" s="1494"/>
      <c r="N22" s="1494"/>
      <c r="O22" s="1494"/>
      <c r="P22" s="1494"/>
      <c r="Q22" s="1494"/>
      <c r="R22" s="1494"/>
      <c r="S22" s="1494"/>
      <c r="T22" s="1494"/>
      <c r="U22" s="1494"/>
      <c r="V22" s="1494"/>
      <c r="W22" s="1494"/>
      <c r="X22" s="1494"/>
      <c r="Y22" s="1494"/>
      <c r="Z22" s="1494"/>
      <c r="AA22" s="1494"/>
      <c r="AB22" s="1494"/>
      <c r="AC22" s="1494"/>
      <c r="AD22" s="1494"/>
      <c r="AE22" s="1494"/>
      <c r="AF22" s="1494"/>
      <c r="AG22" s="1495"/>
    </row>
    <row r="23" spans="1:43" ht="22.5" customHeight="1">
      <c r="A23" s="1464"/>
      <c r="B23" s="1465"/>
      <c r="C23" s="1465"/>
      <c r="D23" s="1465"/>
      <c r="E23" s="1466"/>
      <c r="F23" s="1483" t="s">
        <v>1190</v>
      </c>
      <c r="G23" s="1483"/>
      <c r="H23" s="1483"/>
      <c r="I23" s="1483"/>
      <c r="J23" s="1480" t="s">
        <v>1191</v>
      </c>
      <c r="K23" s="1481"/>
      <c r="L23" s="1481"/>
      <c r="M23" s="1481"/>
      <c r="N23" s="1481"/>
      <c r="O23" s="1481"/>
      <c r="P23" s="1481"/>
      <c r="Q23" s="1481"/>
      <c r="R23" s="1481"/>
      <c r="S23" s="1481"/>
      <c r="T23" s="1481"/>
      <c r="U23" s="1481"/>
      <c r="V23" s="1481"/>
      <c r="W23" s="1481"/>
      <c r="X23" s="1481"/>
      <c r="Y23" s="1481"/>
      <c r="Z23" s="1481"/>
      <c r="AA23" s="1481"/>
      <c r="AB23" s="1481"/>
      <c r="AC23" s="1481"/>
      <c r="AD23" s="1481"/>
      <c r="AE23" s="1481"/>
      <c r="AF23" s="1481"/>
      <c r="AG23" s="1482"/>
    </row>
    <row r="24" spans="1:43" ht="22.5" customHeight="1">
      <c r="A24" s="1464"/>
      <c r="B24" s="1465"/>
      <c r="C24" s="1465"/>
      <c r="D24" s="1465"/>
      <c r="E24" s="1466"/>
      <c r="F24" s="1470" t="s">
        <v>1192</v>
      </c>
      <c r="G24" s="1471"/>
      <c r="H24" s="1471"/>
      <c r="I24" s="1472"/>
      <c r="J24" s="1476"/>
      <c r="K24" s="1476"/>
      <c r="L24" s="1476"/>
      <c r="M24" s="1476"/>
      <c r="N24" s="1476"/>
      <c r="O24" s="1476"/>
      <c r="P24" s="1476"/>
      <c r="Q24" s="1476"/>
      <c r="R24" s="1476"/>
      <c r="S24" s="1476"/>
      <c r="T24" s="1476"/>
      <c r="U24" s="1476"/>
      <c r="V24" s="1476"/>
      <c r="W24" s="1476"/>
      <c r="X24" s="1476"/>
      <c r="Y24" s="1476"/>
      <c r="Z24" s="1476"/>
      <c r="AA24" s="1476"/>
      <c r="AB24" s="1476"/>
      <c r="AC24" s="1476"/>
      <c r="AD24" s="1476"/>
      <c r="AE24" s="1476"/>
      <c r="AF24" s="1476"/>
      <c r="AG24" s="1477"/>
    </row>
    <row r="25" spans="1:43" ht="22.5" customHeight="1" thickBot="1">
      <c r="A25" s="1467"/>
      <c r="B25" s="1468"/>
      <c r="C25" s="1468"/>
      <c r="D25" s="1468"/>
      <c r="E25" s="1469"/>
      <c r="F25" s="1473"/>
      <c r="G25" s="1474"/>
      <c r="H25" s="1474"/>
      <c r="I25" s="1475"/>
      <c r="J25" s="1478"/>
      <c r="K25" s="1478"/>
      <c r="L25" s="1478"/>
      <c r="M25" s="1478"/>
      <c r="N25" s="1478"/>
      <c r="O25" s="1478"/>
      <c r="P25" s="1478"/>
      <c r="Q25" s="1478"/>
      <c r="R25" s="1478"/>
      <c r="S25" s="1478"/>
      <c r="T25" s="1478"/>
      <c r="U25" s="1478"/>
      <c r="V25" s="1478"/>
      <c r="W25" s="1478"/>
      <c r="X25" s="1478"/>
      <c r="Y25" s="1478"/>
      <c r="Z25" s="1478"/>
      <c r="AA25" s="1478"/>
      <c r="AB25" s="1478"/>
      <c r="AC25" s="1478"/>
      <c r="AD25" s="1478"/>
      <c r="AE25" s="1478"/>
      <c r="AF25" s="1478"/>
      <c r="AG25" s="1479"/>
    </row>
    <row r="26" spans="1:43" ht="22.5" customHeight="1">
      <c r="A26" s="1508" t="s">
        <v>1193</v>
      </c>
      <c r="B26" s="1509"/>
      <c r="C26" s="1509"/>
      <c r="D26" s="1509"/>
      <c r="E26" s="1509"/>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3"/>
    </row>
    <row r="27" spans="1:43" ht="22.5" customHeight="1" thickBot="1">
      <c r="A27" s="1510"/>
      <c r="B27" s="1511"/>
      <c r="C27" s="1511"/>
      <c r="D27" s="1511"/>
      <c r="E27" s="1511"/>
      <c r="F27" s="1514"/>
      <c r="G27" s="1514"/>
      <c r="H27" s="1514"/>
      <c r="I27" s="1514"/>
      <c r="J27" s="1514"/>
      <c r="K27" s="1514"/>
      <c r="L27" s="1514"/>
      <c r="M27" s="1514"/>
      <c r="N27" s="1514"/>
      <c r="O27" s="1514"/>
      <c r="P27" s="1514"/>
      <c r="Q27" s="1514"/>
      <c r="R27" s="1514"/>
      <c r="S27" s="1514"/>
      <c r="T27" s="1514"/>
      <c r="U27" s="1514"/>
      <c r="V27" s="1514"/>
      <c r="W27" s="1514"/>
      <c r="X27" s="1514"/>
      <c r="Y27" s="1514"/>
      <c r="Z27" s="1514"/>
      <c r="AA27" s="1514"/>
      <c r="AB27" s="1514"/>
      <c r="AC27" s="1514"/>
      <c r="AD27" s="1514"/>
      <c r="AE27" s="1514"/>
      <c r="AF27" s="1514"/>
      <c r="AG27" s="1515"/>
    </row>
    <row r="28" spans="1:43" ht="22.5" customHeight="1">
      <c r="A28" s="1524" t="s">
        <v>1194</v>
      </c>
      <c r="B28" s="1525"/>
      <c r="C28" s="1525"/>
      <c r="D28" s="1525"/>
      <c r="E28" s="1525"/>
      <c r="F28" s="1528" t="s">
        <v>1195</v>
      </c>
      <c r="G28" s="1528"/>
      <c r="H28" s="1528"/>
      <c r="I28" s="1528"/>
      <c r="J28" s="1473"/>
      <c r="K28" s="1474"/>
      <c r="L28" s="1474"/>
      <c r="M28" s="1474"/>
      <c r="N28" s="1474"/>
      <c r="O28" s="1474"/>
      <c r="P28" s="1474"/>
      <c r="Q28" s="1474"/>
      <c r="R28" s="1474"/>
      <c r="S28" s="1474"/>
      <c r="T28" s="1474"/>
      <c r="U28" s="1474"/>
      <c r="V28" s="1475"/>
      <c r="W28" s="1473" t="s">
        <v>1196</v>
      </c>
      <c r="X28" s="1474"/>
      <c r="Y28" s="1474"/>
      <c r="Z28" s="1475"/>
      <c r="AA28" s="1473"/>
      <c r="AB28" s="1474"/>
      <c r="AC28" s="1474"/>
      <c r="AD28" s="1474"/>
      <c r="AE28" s="1474"/>
      <c r="AF28" s="1474"/>
      <c r="AG28" s="1522"/>
    </row>
    <row r="29" spans="1:43" ht="22.5" customHeight="1">
      <c r="A29" s="1498"/>
      <c r="B29" s="1499"/>
      <c r="C29" s="1499"/>
      <c r="D29" s="1499"/>
      <c r="E29" s="1499"/>
      <c r="F29" s="1457" t="s">
        <v>1197</v>
      </c>
      <c r="G29" s="1457"/>
      <c r="H29" s="1457"/>
      <c r="I29" s="1457"/>
      <c r="J29" s="1516"/>
      <c r="K29" s="1517"/>
      <c r="L29" s="1517"/>
      <c r="M29" s="1517"/>
      <c r="N29" s="1517"/>
      <c r="O29" s="1517"/>
      <c r="P29" s="1517"/>
      <c r="Q29" s="1517"/>
      <c r="R29" s="1517"/>
      <c r="S29" s="1517"/>
      <c r="T29" s="1517"/>
      <c r="U29" s="1517"/>
      <c r="V29" s="1518"/>
      <c r="W29" s="1516" t="s">
        <v>1198</v>
      </c>
      <c r="X29" s="1517"/>
      <c r="Y29" s="1517"/>
      <c r="Z29" s="1518"/>
      <c r="AA29" s="1516"/>
      <c r="AB29" s="1517"/>
      <c r="AC29" s="1517"/>
      <c r="AD29" s="1517"/>
      <c r="AE29" s="1517"/>
      <c r="AF29" s="1517"/>
      <c r="AG29" s="1519"/>
    </row>
    <row r="30" spans="1:43" ht="22.5" customHeight="1" thickBot="1">
      <c r="A30" s="1526"/>
      <c r="B30" s="1527"/>
      <c r="C30" s="1527"/>
      <c r="D30" s="1527"/>
      <c r="E30" s="1527"/>
      <c r="F30" s="1531" t="s">
        <v>1199</v>
      </c>
      <c r="G30" s="1531"/>
      <c r="H30" s="1531"/>
      <c r="I30" s="1531"/>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1"/>
    </row>
    <row r="31" spans="1:43" ht="13.5" customHeight="1">
      <c r="G31" s="51"/>
    </row>
    <row r="32" spans="1:43" ht="15" customHeight="1">
      <c r="A32" s="193" t="s">
        <v>1200</v>
      </c>
      <c r="B32" s="194"/>
      <c r="C32" s="194"/>
      <c r="D32" s="194"/>
      <c r="E32" s="194"/>
      <c r="R32" s="1529" t="s">
        <v>1201</v>
      </c>
      <c r="S32" s="1529"/>
      <c r="T32" s="1529"/>
      <c r="U32" s="1529"/>
      <c r="V32" s="1529"/>
      <c r="W32" s="1529"/>
      <c r="X32" s="1529"/>
      <c r="Y32" s="1529"/>
      <c r="Z32" s="1529"/>
      <c r="AA32" s="1529"/>
      <c r="AB32" s="1529"/>
      <c r="AC32" s="1529"/>
      <c r="AD32" s="1529"/>
      <c r="AE32" s="1529"/>
      <c r="AF32" s="1529"/>
      <c r="AG32" s="1529"/>
      <c r="AI32" s="283"/>
    </row>
    <row r="33" spans="1:33" ht="14.25">
      <c r="A33" s="194"/>
      <c r="B33" s="1530" t="str">
        <f>IF(【マスター】!C22="","",【マスター】!C22)</f>
        <v>株式会社ケアサポート</v>
      </c>
      <c r="C33" s="1530"/>
      <c r="D33" s="1530"/>
      <c r="E33" s="1530"/>
      <c r="F33" s="1530"/>
      <c r="G33" s="1530"/>
      <c r="H33" s="1530"/>
      <c r="I33" s="1530"/>
      <c r="J33" s="1530"/>
      <c r="K33" s="1530"/>
      <c r="L33" s="1530"/>
      <c r="M33" s="1530"/>
      <c r="N33" s="1530"/>
      <c r="O33" s="1530"/>
      <c r="P33" s="1530"/>
      <c r="Q33" s="1530"/>
      <c r="R33" s="1529"/>
      <c r="S33" s="1529"/>
      <c r="T33" s="1529"/>
      <c r="U33" s="1529"/>
      <c r="V33" s="1529"/>
      <c r="W33" s="1529"/>
      <c r="X33" s="1529"/>
      <c r="Y33" s="1529"/>
      <c r="Z33" s="1529"/>
      <c r="AA33" s="1529"/>
      <c r="AB33" s="1529"/>
      <c r="AC33" s="1529"/>
      <c r="AD33" s="1529"/>
      <c r="AE33" s="1529"/>
      <c r="AF33" s="1529"/>
      <c r="AG33" s="1529"/>
    </row>
    <row r="34" spans="1:33" ht="14.25">
      <c r="A34" s="194"/>
      <c r="B34" s="1506" t="str">
        <f>IF(【マスター】!C7="","",【マスター】!C7)</f>
        <v>デイサービスさくら亭</v>
      </c>
      <c r="C34" s="1506"/>
      <c r="D34" s="1506"/>
      <c r="E34" s="1506"/>
      <c r="F34" s="1506"/>
      <c r="G34" s="1506"/>
      <c r="H34" s="1506"/>
      <c r="I34" s="1506"/>
      <c r="J34" s="1506"/>
      <c r="K34" s="1506"/>
      <c r="L34" s="1506"/>
      <c r="M34" s="1506"/>
      <c r="N34" s="1506"/>
      <c r="O34" s="1506"/>
      <c r="P34" s="1506"/>
      <c r="Q34" s="1506"/>
      <c r="R34" s="1529"/>
      <c r="S34" s="1529"/>
      <c r="T34" s="1529"/>
      <c r="U34" s="1529"/>
      <c r="V34" s="1529"/>
      <c r="W34" s="1529"/>
      <c r="X34" s="1529"/>
      <c r="Y34" s="1529"/>
      <c r="Z34" s="1529"/>
      <c r="AA34" s="1529"/>
      <c r="AB34" s="1529"/>
      <c r="AC34" s="1529"/>
      <c r="AD34" s="1529"/>
      <c r="AE34" s="1529"/>
      <c r="AF34" s="1529"/>
      <c r="AG34" s="1529"/>
    </row>
    <row r="35" spans="1:33" ht="14.25">
      <c r="A35" s="194"/>
      <c r="B35" s="1506" t="str">
        <f>DBCS(【マスター】!C8&amp;【マスター】!D8&amp;【マスター】!E8)</f>
        <v>４４０－００６３</v>
      </c>
      <c r="C35" s="1506"/>
      <c r="D35" s="1506"/>
      <c r="E35" s="1506"/>
      <c r="F35" s="1506"/>
      <c r="G35" s="1506"/>
      <c r="H35" s="1506"/>
      <c r="I35" s="1506"/>
      <c r="J35" s="1506"/>
      <c r="K35" s="1506"/>
      <c r="L35" s="1506"/>
      <c r="M35" s="1506"/>
      <c r="N35" s="1506"/>
      <c r="O35" s="1506"/>
      <c r="P35" s="1506"/>
      <c r="Q35" s="1506"/>
    </row>
    <row r="36" spans="1:33" ht="14.25">
      <c r="A36" s="194"/>
      <c r="B36" s="1506" t="str">
        <f>DBCS(【マスター】!F8&amp;【マスター】!C9)</f>
        <v>愛知県豊橋市東田中郷町１１番</v>
      </c>
      <c r="C36" s="1506"/>
      <c r="D36" s="1506"/>
      <c r="E36" s="1506"/>
      <c r="F36" s="1506"/>
      <c r="G36" s="1506"/>
      <c r="H36" s="1506"/>
      <c r="I36" s="1506"/>
      <c r="J36" s="1506"/>
      <c r="K36" s="1506"/>
      <c r="L36" s="1506"/>
      <c r="M36" s="1506"/>
      <c r="N36" s="1506"/>
      <c r="O36" s="1506"/>
      <c r="P36" s="1506"/>
      <c r="Q36" s="1506"/>
    </row>
    <row r="37" spans="1:33" ht="14.25">
      <c r="A37" s="194"/>
      <c r="B37" s="1505" t="s">
        <v>1198</v>
      </c>
      <c r="C37" s="1505"/>
      <c r="D37" s="1506" t="str">
        <f>DBCS(【マスター】!C10)</f>
        <v>０５３２－３９－７８５５</v>
      </c>
      <c r="E37" s="1506"/>
      <c r="F37" s="1506"/>
      <c r="G37" s="1506"/>
      <c r="H37" s="1506"/>
      <c r="I37" s="1506"/>
      <c r="J37" s="1506"/>
      <c r="K37" s="1506"/>
      <c r="L37" s="1506"/>
      <c r="M37" s="1506"/>
      <c r="N37" s="1506"/>
      <c r="O37" s="1506"/>
      <c r="P37" s="1506"/>
      <c r="Q37" s="1506"/>
    </row>
    <row r="38" spans="1:33" ht="14.25">
      <c r="A38" s="194"/>
      <c r="B38" s="1505" t="s">
        <v>1202</v>
      </c>
      <c r="C38" s="1505"/>
      <c r="D38" s="1506" t="str">
        <f>DBCS(【マスター】!I10)</f>
        <v>０５３２－３９－７８５６</v>
      </c>
      <c r="E38" s="1506"/>
      <c r="F38" s="1506"/>
      <c r="G38" s="1506"/>
      <c r="H38" s="1506"/>
      <c r="I38" s="1506"/>
      <c r="J38" s="1506"/>
      <c r="K38" s="1506"/>
      <c r="L38" s="1506"/>
      <c r="M38" s="1506"/>
      <c r="N38" s="1506"/>
      <c r="O38" s="1506"/>
      <c r="P38" s="1506"/>
      <c r="Q38" s="1506"/>
    </row>
    <row r="39" spans="1:33" ht="15">
      <c r="A39" s="51"/>
      <c r="B39" s="1507" t="s">
        <v>1203</v>
      </c>
      <c r="C39" s="1507"/>
      <c r="D39" s="1506" t="str">
        <f>IF(【マスター】!C21="","",【マスター】!C21)</f>
        <v>小久保　幾生</v>
      </c>
      <c r="E39" s="1506"/>
      <c r="F39" s="1506"/>
      <c r="G39" s="1506"/>
      <c r="H39" s="1506"/>
      <c r="I39" s="1506"/>
      <c r="J39" s="1506"/>
      <c r="K39" s="1506"/>
      <c r="L39" s="1506"/>
      <c r="M39" s="1506"/>
      <c r="N39" s="1506"/>
      <c r="O39" s="1506"/>
      <c r="P39" s="1506"/>
      <c r="Q39" s="1506"/>
      <c r="R39" s="195"/>
      <c r="S39" s="195"/>
      <c r="T39" s="195"/>
      <c r="U39" s="195"/>
      <c r="V39" s="195"/>
      <c r="W39" s="195"/>
      <c r="X39" s="195"/>
      <c r="Y39" s="195"/>
      <c r="Z39" s="195"/>
      <c r="AA39" s="195"/>
      <c r="AB39" s="195"/>
      <c r="AC39" s="195"/>
      <c r="AD39" s="195"/>
      <c r="AE39" s="195"/>
      <c r="AF39" s="195"/>
      <c r="AG39" s="195"/>
    </row>
    <row r="40" spans="1:33" ht="32.25" customHeight="1">
      <c r="A40" s="1523"/>
      <c r="B40" s="1523"/>
      <c r="C40" s="1523"/>
      <c r="D40" s="1523"/>
      <c r="E40" s="1523"/>
      <c r="F40" s="1523"/>
      <c r="G40" s="1523"/>
      <c r="H40" s="1523"/>
      <c r="I40" s="1523"/>
      <c r="J40" s="1523"/>
      <c r="K40" s="1523"/>
      <c r="L40" s="1523"/>
      <c r="M40" s="1523"/>
      <c r="N40" s="1523"/>
      <c r="O40" s="1523"/>
      <c r="P40" s="1523"/>
      <c r="Q40" s="1523"/>
      <c r="R40" s="1523"/>
      <c r="S40" s="1523"/>
      <c r="T40" s="1523"/>
      <c r="U40" s="1523"/>
      <c r="V40" s="1523"/>
      <c r="W40" s="1523"/>
      <c r="X40" s="1523"/>
      <c r="Y40" s="1523"/>
      <c r="Z40" s="1523"/>
      <c r="AA40" s="1523"/>
      <c r="AB40" s="1523"/>
      <c r="AC40" s="1523"/>
      <c r="AD40" s="1523"/>
      <c r="AE40" s="1523"/>
      <c r="AF40" s="1523"/>
      <c r="AG40" s="1523"/>
    </row>
    <row r="41" spans="1:33" ht="15">
      <c r="B41" s="195"/>
      <c r="C41" s="195"/>
      <c r="D41" s="195"/>
      <c r="E41" s="195"/>
      <c r="F41" s="195"/>
      <c r="G41" s="195"/>
      <c r="H41" s="195"/>
      <c r="I41" s="195"/>
      <c r="J41" s="195"/>
      <c r="K41" s="195"/>
      <c r="L41" s="195"/>
      <c r="M41" s="195"/>
      <c r="N41" s="195"/>
      <c r="O41" s="195"/>
      <c r="P41" s="195"/>
      <c r="Q41" s="195"/>
    </row>
    <row r="47" spans="1:33" ht="122.25" customHeight="1"/>
  </sheetData>
  <sheetProtection formatCells="0" insertHyperlinks="0" selectLockedCells="1"/>
  <mergeCells count="67">
    <mergeCell ref="A4:AG4"/>
    <mergeCell ref="F14:I14"/>
    <mergeCell ref="F18:I18"/>
    <mergeCell ref="F19:I19"/>
    <mergeCell ref="J14:V14"/>
    <mergeCell ref="W14:Z14"/>
    <mergeCell ref="AA14:AG14"/>
    <mergeCell ref="A5:AG5"/>
    <mergeCell ref="J16:AG16"/>
    <mergeCell ref="J19:V19"/>
    <mergeCell ref="W19:Z19"/>
    <mergeCell ref="AA19:AG19"/>
    <mergeCell ref="J11:AG11"/>
    <mergeCell ref="J12:AG12"/>
    <mergeCell ref="A13:I13"/>
    <mergeCell ref="J13:AG13"/>
    <mergeCell ref="F16:I17"/>
    <mergeCell ref="J18:AG18"/>
    <mergeCell ref="F15:I15"/>
    <mergeCell ref="J15:L15"/>
    <mergeCell ref="A40:AG40"/>
    <mergeCell ref="B37:C37"/>
    <mergeCell ref="D37:Q37"/>
    <mergeCell ref="A28:E30"/>
    <mergeCell ref="F28:I28"/>
    <mergeCell ref="R32:AG34"/>
    <mergeCell ref="B33:Q33"/>
    <mergeCell ref="B34:Q34"/>
    <mergeCell ref="B35:Q35"/>
    <mergeCell ref="B36:Q36"/>
    <mergeCell ref="F29:I29"/>
    <mergeCell ref="F30:I30"/>
    <mergeCell ref="B38:C38"/>
    <mergeCell ref="D38:Q38"/>
    <mergeCell ref="B39:C39"/>
    <mergeCell ref="D39:Q39"/>
    <mergeCell ref="A26:E27"/>
    <mergeCell ref="F26:AG26"/>
    <mergeCell ref="F27:AG27"/>
    <mergeCell ref="J29:V29"/>
    <mergeCell ref="W29:Z29"/>
    <mergeCell ref="AA29:AG29"/>
    <mergeCell ref="J30:AG30"/>
    <mergeCell ref="J28:V28"/>
    <mergeCell ref="W28:Z28"/>
    <mergeCell ref="AA28:AG28"/>
    <mergeCell ref="B6:S6"/>
    <mergeCell ref="B9:S9"/>
    <mergeCell ref="B10:S10"/>
    <mergeCell ref="B7:S7"/>
    <mergeCell ref="A11:I11"/>
    <mergeCell ref="F20:I20"/>
    <mergeCell ref="J20:AG20"/>
    <mergeCell ref="B8:S8"/>
    <mergeCell ref="A14:E25"/>
    <mergeCell ref="F24:I25"/>
    <mergeCell ref="J24:AG24"/>
    <mergeCell ref="J25:AG25"/>
    <mergeCell ref="J23:AG23"/>
    <mergeCell ref="F23:I23"/>
    <mergeCell ref="F21:I22"/>
    <mergeCell ref="J21:AG21"/>
    <mergeCell ref="J22:AG22"/>
    <mergeCell ref="U15:V15"/>
    <mergeCell ref="W15:Z15"/>
    <mergeCell ref="AA15:AG15"/>
    <mergeCell ref="A12:I12"/>
  </mergeCells>
  <phoneticPr fontId="16" type="Hiragana" alignment="noControl"/>
  <printOptions horizontalCentered="1"/>
  <pageMargins left="0.59055118110236227" right="0.59055118110236227" top="0.59055118110236227" bottom="0.39370078740157483" header="0.31496062992125984" footer="0.19685039370078741"/>
  <pageSetup paperSize="9" scale="89" fitToHeight="0"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DD0C7"/>
    <pageSetUpPr fitToPage="1"/>
  </sheetPr>
  <dimension ref="A1:AG60"/>
  <sheetViews>
    <sheetView view="pageBreakPreview" topLeftCell="A13" zoomScaleNormal="100" zoomScaleSheetLayoutView="100" workbookViewId="0">
      <selection activeCell="AW17" sqref="AW17"/>
    </sheetView>
  </sheetViews>
  <sheetFormatPr defaultColWidth="8.875" defaultRowHeight="13.5"/>
  <cols>
    <col min="1" max="1" width="1.625" style="97" customWidth="1"/>
    <col min="2" max="31" width="3.125" style="97" customWidth="1"/>
    <col min="32" max="32" width="1.625" style="97" customWidth="1"/>
    <col min="33" max="127" width="3" style="97" customWidth="1"/>
    <col min="128" max="256" width="9" style="97"/>
    <col min="257" max="257" width="1.875" style="97" customWidth="1"/>
    <col min="258" max="264" width="3" style="97" customWidth="1"/>
    <col min="265" max="265" width="3.625" style="97" customWidth="1"/>
    <col min="266" max="266" width="2.625" style="97" customWidth="1"/>
    <col min="267" max="267" width="3.625" style="97" customWidth="1"/>
    <col min="268" max="268" width="2.625" style="97" customWidth="1"/>
    <col min="269" max="269" width="3.625" style="97" customWidth="1"/>
    <col min="270" max="270" width="2.625" style="97" customWidth="1"/>
    <col min="271" max="287" width="3" style="97" customWidth="1"/>
    <col min="288" max="288" width="1.875" style="97" customWidth="1"/>
    <col min="289" max="383" width="3" style="97" customWidth="1"/>
    <col min="384" max="512" width="9" style="97"/>
    <col min="513" max="513" width="1.875" style="97" customWidth="1"/>
    <col min="514" max="520" width="3" style="97" customWidth="1"/>
    <col min="521" max="521" width="3.625" style="97" customWidth="1"/>
    <col min="522" max="522" width="2.625" style="97" customWidth="1"/>
    <col min="523" max="523" width="3.625" style="97" customWidth="1"/>
    <col min="524" max="524" width="2.625" style="97" customWidth="1"/>
    <col min="525" max="525" width="3.625" style="97" customWidth="1"/>
    <col min="526" max="526" width="2.625" style="97" customWidth="1"/>
    <col min="527" max="543" width="3" style="97" customWidth="1"/>
    <col min="544" max="544" width="1.875" style="97" customWidth="1"/>
    <col min="545" max="639" width="3" style="97" customWidth="1"/>
    <col min="640" max="768" width="9" style="97"/>
    <col min="769" max="769" width="1.875" style="97" customWidth="1"/>
    <col min="770" max="776" width="3" style="97" customWidth="1"/>
    <col min="777" max="777" width="3.625" style="97" customWidth="1"/>
    <col min="778" max="778" width="2.625" style="97" customWidth="1"/>
    <col min="779" max="779" width="3.625" style="97" customWidth="1"/>
    <col min="780" max="780" width="2.625" style="97" customWidth="1"/>
    <col min="781" max="781" width="3.625" style="97" customWidth="1"/>
    <col min="782" max="782" width="2.625" style="97" customWidth="1"/>
    <col min="783" max="799" width="3" style="97" customWidth="1"/>
    <col min="800" max="800" width="1.875" style="97" customWidth="1"/>
    <col min="801" max="895" width="3" style="97" customWidth="1"/>
    <col min="896" max="1024" width="9" style="97"/>
    <col min="1025" max="1025" width="1.875" style="97" customWidth="1"/>
    <col min="1026" max="1032" width="3" style="97" customWidth="1"/>
    <col min="1033" max="1033" width="3.625" style="97" customWidth="1"/>
    <col min="1034" max="1034" width="2.625" style="97" customWidth="1"/>
    <col min="1035" max="1035" width="3.625" style="97" customWidth="1"/>
    <col min="1036" max="1036" width="2.625" style="97" customWidth="1"/>
    <col min="1037" max="1037" width="3.625" style="97" customWidth="1"/>
    <col min="1038" max="1038" width="2.625" style="97" customWidth="1"/>
    <col min="1039" max="1055" width="3" style="97" customWidth="1"/>
    <col min="1056" max="1056" width="1.875" style="97" customWidth="1"/>
    <col min="1057" max="1151" width="3" style="97" customWidth="1"/>
    <col min="1152" max="1280" width="9" style="97"/>
    <col min="1281" max="1281" width="1.875" style="97" customWidth="1"/>
    <col min="1282" max="1288" width="3" style="97" customWidth="1"/>
    <col min="1289" max="1289" width="3.625" style="97" customWidth="1"/>
    <col min="1290" max="1290" width="2.625" style="97" customWidth="1"/>
    <col min="1291" max="1291" width="3.625" style="97" customWidth="1"/>
    <col min="1292" max="1292" width="2.625" style="97" customWidth="1"/>
    <col min="1293" max="1293" width="3.625" style="97" customWidth="1"/>
    <col min="1294" max="1294" width="2.625" style="97" customWidth="1"/>
    <col min="1295" max="1311" width="3" style="97" customWidth="1"/>
    <col min="1312" max="1312" width="1.875" style="97" customWidth="1"/>
    <col min="1313" max="1407" width="3" style="97" customWidth="1"/>
    <col min="1408" max="1536" width="9" style="97"/>
    <col min="1537" max="1537" width="1.875" style="97" customWidth="1"/>
    <col min="1538" max="1544" width="3" style="97" customWidth="1"/>
    <col min="1545" max="1545" width="3.625" style="97" customWidth="1"/>
    <col min="1546" max="1546" width="2.625" style="97" customWidth="1"/>
    <col min="1547" max="1547" width="3.625" style="97" customWidth="1"/>
    <col min="1548" max="1548" width="2.625" style="97" customWidth="1"/>
    <col min="1549" max="1549" width="3.625" style="97" customWidth="1"/>
    <col min="1550" max="1550" width="2.625" style="97" customWidth="1"/>
    <col min="1551" max="1567" width="3" style="97" customWidth="1"/>
    <col min="1568" max="1568" width="1.875" style="97" customWidth="1"/>
    <col min="1569" max="1663" width="3" style="97" customWidth="1"/>
    <col min="1664" max="1792" width="9" style="97"/>
    <col min="1793" max="1793" width="1.875" style="97" customWidth="1"/>
    <col min="1794" max="1800" width="3" style="97" customWidth="1"/>
    <col min="1801" max="1801" width="3.625" style="97" customWidth="1"/>
    <col min="1802" max="1802" width="2.625" style="97" customWidth="1"/>
    <col min="1803" max="1803" width="3.625" style="97" customWidth="1"/>
    <col min="1804" max="1804" width="2.625" style="97" customWidth="1"/>
    <col min="1805" max="1805" width="3.625" style="97" customWidth="1"/>
    <col min="1806" max="1806" width="2.625" style="97" customWidth="1"/>
    <col min="1807" max="1823" width="3" style="97" customWidth="1"/>
    <col min="1824" max="1824" width="1.875" style="97" customWidth="1"/>
    <col min="1825" max="1919" width="3" style="97" customWidth="1"/>
    <col min="1920" max="2048" width="9" style="97"/>
    <col min="2049" max="2049" width="1.875" style="97" customWidth="1"/>
    <col min="2050" max="2056" width="3" style="97" customWidth="1"/>
    <col min="2057" max="2057" width="3.625" style="97" customWidth="1"/>
    <col min="2058" max="2058" width="2.625" style="97" customWidth="1"/>
    <col min="2059" max="2059" width="3.625" style="97" customWidth="1"/>
    <col min="2060" max="2060" width="2.625" style="97" customWidth="1"/>
    <col min="2061" max="2061" width="3.625" style="97" customWidth="1"/>
    <col min="2062" max="2062" width="2.625" style="97" customWidth="1"/>
    <col min="2063" max="2079" width="3" style="97" customWidth="1"/>
    <col min="2080" max="2080" width="1.875" style="97" customWidth="1"/>
    <col min="2081" max="2175" width="3" style="97" customWidth="1"/>
    <col min="2176" max="2304" width="9" style="97"/>
    <col min="2305" max="2305" width="1.875" style="97" customWidth="1"/>
    <col min="2306" max="2312" width="3" style="97" customWidth="1"/>
    <col min="2313" max="2313" width="3.625" style="97" customWidth="1"/>
    <col min="2314" max="2314" width="2.625" style="97" customWidth="1"/>
    <col min="2315" max="2315" width="3.625" style="97" customWidth="1"/>
    <col min="2316" max="2316" width="2.625" style="97" customWidth="1"/>
    <col min="2317" max="2317" width="3.625" style="97" customWidth="1"/>
    <col min="2318" max="2318" width="2.625" style="97" customWidth="1"/>
    <col min="2319" max="2335" width="3" style="97" customWidth="1"/>
    <col min="2336" max="2336" width="1.875" style="97" customWidth="1"/>
    <col min="2337" max="2431" width="3" style="97" customWidth="1"/>
    <col min="2432" max="2560" width="9" style="97"/>
    <col min="2561" max="2561" width="1.875" style="97" customWidth="1"/>
    <col min="2562" max="2568" width="3" style="97" customWidth="1"/>
    <col min="2569" max="2569" width="3.625" style="97" customWidth="1"/>
    <col min="2570" max="2570" width="2.625" style="97" customWidth="1"/>
    <col min="2571" max="2571" width="3.625" style="97" customWidth="1"/>
    <col min="2572" max="2572" width="2.625" style="97" customWidth="1"/>
    <col min="2573" max="2573" width="3.625" style="97" customWidth="1"/>
    <col min="2574" max="2574" width="2.625" style="97" customWidth="1"/>
    <col min="2575" max="2591" width="3" style="97" customWidth="1"/>
    <col min="2592" max="2592" width="1.875" style="97" customWidth="1"/>
    <col min="2593" max="2687" width="3" style="97" customWidth="1"/>
    <col min="2688" max="2816" width="9" style="97"/>
    <col min="2817" max="2817" width="1.875" style="97" customWidth="1"/>
    <col min="2818" max="2824" width="3" style="97" customWidth="1"/>
    <col min="2825" max="2825" width="3.625" style="97" customWidth="1"/>
    <col min="2826" max="2826" width="2.625" style="97" customWidth="1"/>
    <col min="2827" max="2827" width="3.625" style="97" customWidth="1"/>
    <col min="2828" max="2828" width="2.625" style="97" customWidth="1"/>
    <col min="2829" max="2829" width="3.625" style="97" customWidth="1"/>
    <col min="2830" max="2830" width="2.625" style="97" customWidth="1"/>
    <col min="2831" max="2847" width="3" style="97" customWidth="1"/>
    <col min="2848" max="2848" width="1.875" style="97" customWidth="1"/>
    <col min="2849" max="2943" width="3" style="97" customWidth="1"/>
    <col min="2944" max="3072" width="9" style="97"/>
    <col min="3073" max="3073" width="1.875" style="97" customWidth="1"/>
    <col min="3074" max="3080" width="3" style="97" customWidth="1"/>
    <col min="3081" max="3081" width="3.625" style="97" customWidth="1"/>
    <col min="3082" max="3082" width="2.625" style="97" customWidth="1"/>
    <col min="3083" max="3083" width="3.625" style="97" customWidth="1"/>
    <col min="3084" max="3084" width="2.625" style="97" customWidth="1"/>
    <col min="3085" max="3085" width="3.625" style="97" customWidth="1"/>
    <col min="3086" max="3086" width="2.625" style="97" customWidth="1"/>
    <col min="3087" max="3103" width="3" style="97" customWidth="1"/>
    <col min="3104" max="3104" width="1.875" style="97" customWidth="1"/>
    <col min="3105" max="3199" width="3" style="97" customWidth="1"/>
    <col min="3200" max="3328" width="9" style="97"/>
    <col min="3329" max="3329" width="1.875" style="97" customWidth="1"/>
    <col min="3330" max="3336" width="3" style="97" customWidth="1"/>
    <col min="3337" max="3337" width="3.625" style="97" customWidth="1"/>
    <col min="3338" max="3338" width="2.625" style="97" customWidth="1"/>
    <col min="3339" max="3339" width="3.625" style="97" customWidth="1"/>
    <col min="3340" max="3340" width="2.625" style="97" customWidth="1"/>
    <col min="3341" max="3341" width="3.625" style="97" customWidth="1"/>
    <col min="3342" max="3342" width="2.625" style="97" customWidth="1"/>
    <col min="3343" max="3359" width="3" style="97" customWidth="1"/>
    <col min="3360" max="3360" width="1.875" style="97" customWidth="1"/>
    <col min="3361" max="3455" width="3" style="97" customWidth="1"/>
    <col min="3456" max="3584" width="9" style="97"/>
    <col min="3585" max="3585" width="1.875" style="97" customWidth="1"/>
    <col min="3586" max="3592" width="3" style="97" customWidth="1"/>
    <col min="3593" max="3593" width="3.625" style="97" customWidth="1"/>
    <col min="3594" max="3594" width="2.625" style="97" customWidth="1"/>
    <col min="3595" max="3595" width="3.625" style="97" customWidth="1"/>
    <col min="3596" max="3596" width="2.625" style="97" customWidth="1"/>
    <col min="3597" max="3597" width="3.625" style="97" customWidth="1"/>
    <col min="3598" max="3598" width="2.625" style="97" customWidth="1"/>
    <col min="3599" max="3615" width="3" style="97" customWidth="1"/>
    <col min="3616" max="3616" width="1.875" style="97" customWidth="1"/>
    <col min="3617" max="3711" width="3" style="97" customWidth="1"/>
    <col min="3712" max="3840" width="9" style="97"/>
    <col min="3841" max="3841" width="1.875" style="97" customWidth="1"/>
    <col min="3842" max="3848" width="3" style="97" customWidth="1"/>
    <col min="3849" max="3849" width="3.625" style="97" customWidth="1"/>
    <col min="3850" max="3850" width="2.625" style="97" customWidth="1"/>
    <col min="3851" max="3851" width="3.625" style="97" customWidth="1"/>
    <col min="3852" max="3852" width="2.625" style="97" customWidth="1"/>
    <col min="3853" max="3853" width="3.625" style="97" customWidth="1"/>
    <col min="3854" max="3854" width="2.625" style="97" customWidth="1"/>
    <col min="3855" max="3871" width="3" style="97" customWidth="1"/>
    <col min="3872" max="3872" width="1.875" style="97" customWidth="1"/>
    <col min="3873" max="3967" width="3" style="97" customWidth="1"/>
    <col min="3968" max="4096" width="9" style="97"/>
    <col min="4097" max="4097" width="1.875" style="97" customWidth="1"/>
    <col min="4098" max="4104" width="3" style="97" customWidth="1"/>
    <col min="4105" max="4105" width="3.625" style="97" customWidth="1"/>
    <col min="4106" max="4106" width="2.625" style="97" customWidth="1"/>
    <col min="4107" max="4107" width="3.625" style="97" customWidth="1"/>
    <col min="4108" max="4108" width="2.625" style="97" customWidth="1"/>
    <col min="4109" max="4109" width="3.625" style="97" customWidth="1"/>
    <col min="4110" max="4110" width="2.625" style="97" customWidth="1"/>
    <col min="4111" max="4127" width="3" style="97" customWidth="1"/>
    <col min="4128" max="4128" width="1.875" style="97" customWidth="1"/>
    <col min="4129" max="4223" width="3" style="97" customWidth="1"/>
    <col min="4224" max="4352" width="9" style="97"/>
    <col min="4353" max="4353" width="1.875" style="97" customWidth="1"/>
    <col min="4354" max="4360" width="3" style="97" customWidth="1"/>
    <col min="4361" max="4361" width="3.625" style="97" customWidth="1"/>
    <col min="4362" max="4362" width="2.625" style="97" customWidth="1"/>
    <col min="4363" max="4363" width="3.625" style="97" customWidth="1"/>
    <col min="4364" max="4364" width="2.625" style="97" customWidth="1"/>
    <col min="4365" max="4365" width="3.625" style="97" customWidth="1"/>
    <col min="4366" max="4366" width="2.625" style="97" customWidth="1"/>
    <col min="4367" max="4383" width="3" style="97" customWidth="1"/>
    <col min="4384" max="4384" width="1.875" style="97" customWidth="1"/>
    <col min="4385" max="4479" width="3" style="97" customWidth="1"/>
    <col min="4480" max="4608" width="9" style="97"/>
    <col min="4609" max="4609" width="1.875" style="97" customWidth="1"/>
    <col min="4610" max="4616" width="3" style="97" customWidth="1"/>
    <col min="4617" max="4617" width="3.625" style="97" customWidth="1"/>
    <col min="4618" max="4618" width="2.625" style="97" customWidth="1"/>
    <col min="4619" max="4619" width="3.625" style="97" customWidth="1"/>
    <col min="4620" max="4620" width="2.625" style="97" customWidth="1"/>
    <col min="4621" max="4621" width="3.625" style="97" customWidth="1"/>
    <col min="4622" max="4622" width="2.625" style="97" customWidth="1"/>
    <col min="4623" max="4639" width="3" style="97" customWidth="1"/>
    <col min="4640" max="4640" width="1.875" style="97" customWidth="1"/>
    <col min="4641" max="4735" width="3" style="97" customWidth="1"/>
    <col min="4736" max="4864" width="9" style="97"/>
    <col min="4865" max="4865" width="1.875" style="97" customWidth="1"/>
    <col min="4866" max="4872" width="3" style="97" customWidth="1"/>
    <col min="4873" max="4873" width="3.625" style="97" customWidth="1"/>
    <col min="4874" max="4874" width="2.625" style="97" customWidth="1"/>
    <col min="4875" max="4875" width="3.625" style="97" customWidth="1"/>
    <col min="4876" max="4876" width="2.625" style="97" customWidth="1"/>
    <col min="4877" max="4877" width="3.625" style="97" customWidth="1"/>
    <col min="4878" max="4878" width="2.625" style="97" customWidth="1"/>
    <col min="4879" max="4895" width="3" style="97" customWidth="1"/>
    <col min="4896" max="4896" width="1.875" style="97" customWidth="1"/>
    <col min="4897" max="4991" width="3" style="97" customWidth="1"/>
    <col min="4992" max="5120" width="9" style="97"/>
    <col min="5121" max="5121" width="1.875" style="97" customWidth="1"/>
    <col min="5122" max="5128" width="3" style="97" customWidth="1"/>
    <col min="5129" max="5129" width="3.625" style="97" customWidth="1"/>
    <col min="5130" max="5130" width="2.625" style="97" customWidth="1"/>
    <col min="5131" max="5131" width="3.625" style="97" customWidth="1"/>
    <col min="5132" max="5132" width="2.625" style="97" customWidth="1"/>
    <col min="5133" max="5133" width="3.625" style="97" customWidth="1"/>
    <col min="5134" max="5134" width="2.625" style="97" customWidth="1"/>
    <col min="5135" max="5151" width="3" style="97" customWidth="1"/>
    <col min="5152" max="5152" width="1.875" style="97" customWidth="1"/>
    <col min="5153" max="5247" width="3" style="97" customWidth="1"/>
    <col min="5248" max="5376" width="9" style="97"/>
    <col min="5377" max="5377" width="1.875" style="97" customWidth="1"/>
    <col min="5378" max="5384" width="3" style="97" customWidth="1"/>
    <col min="5385" max="5385" width="3.625" style="97" customWidth="1"/>
    <col min="5386" max="5386" width="2.625" style="97" customWidth="1"/>
    <col min="5387" max="5387" width="3.625" style="97" customWidth="1"/>
    <col min="5388" max="5388" width="2.625" style="97" customWidth="1"/>
    <col min="5389" max="5389" width="3.625" style="97" customWidth="1"/>
    <col min="5390" max="5390" width="2.625" style="97" customWidth="1"/>
    <col min="5391" max="5407" width="3" style="97" customWidth="1"/>
    <col min="5408" max="5408" width="1.875" style="97" customWidth="1"/>
    <col min="5409" max="5503" width="3" style="97" customWidth="1"/>
    <col min="5504" max="5632" width="9" style="97"/>
    <col min="5633" max="5633" width="1.875" style="97" customWidth="1"/>
    <col min="5634" max="5640" width="3" style="97" customWidth="1"/>
    <col min="5641" max="5641" width="3.625" style="97" customWidth="1"/>
    <col min="5642" max="5642" width="2.625" style="97" customWidth="1"/>
    <col min="5643" max="5643" width="3.625" style="97" customWidth="1"/>
    <col min="5644" max="5644" width="2.625" style="97" customWidth="1"/>
    <col min="5645" max="5645" width="3.625" style="97" customWidth="1"/>
    <col min="5646" max="5646" width="2.625" style="97" customWidth="1"/>
    <col min="5647" max="5663" width="3" style="97" customWidth="1"/>
    <col min="5664" max="5664" width="1.875" style="97" customWidth="1"/>
    <col min="5665" max="5759" width="3" style="97" customWidth="1"/>
    <col min="5760" max="5888" width="9" style="97"/>
    <col min="5889" max="5889" width="1.875" style="97" customWidth="1"/>
    <col min="5890" max="5896" width="3" style="97" customWidth="1"/>
    <col min="5897" max="5897" width="3.625" style="97" customWidth="1"/>
    <col min="5898" max="5898" width="2.625" style="97" customWidth="1"/>
    <col min="5899" max="5899" width="3.625" style="97" customWidth="1"/>
    <col min="5900" max="5900" width="2.625" style="97" customWidth="1"/>
    <col min="5901" max="5901" width="3.625" style="97" customWidth="1"/>
    <col min="5902" max="5902" width="2.625" style="97" customWidth="1"/>
    <col min="5903" max="5919" width="3" style="97" customWidth="1"/>
    <col min="5920" max="5920" width="1.875" style="97" customWidth="1"/>
    <col min="5921" max="6015" width="3" style="97" customWidth="1"/>
    <col min="6016" max="6144" width="9" style="97"/>
    <col min="6145" max="6145" width="1.875" style="97" customWidth="1"/>
    <col min="6146" max="6152" width="3" style="97" customWidth="1"/>
    <col min="6153" max="6153" width="3.625" style="97" customWidth="1"/>
    <col min="6154" max="6154" width="2.625" style="97" customWidth="1"/>
    <col min="6155" max="6155" width="3.625" style="97" customWidth="1"/>
    <col min="6156" max="6156" width="2.625" style="97" customWidth="1"/>
    <col min="6157" max="6157" width="3.625" style="97" customWidth="1"/>
    <col min="6158" max="6158" width="2.625" style="97" customWidth="1"/>
    <col min="6159" max="6175" width="3" style="97" customWidth="1"/>
    <col min="6176" max="6176" width="1.875" style="97" customWidth="1"/>
    <col min="6177" max="6271" width="3" style="97" customWidth="1"/>
    <col min="6272" max="6400" width="9" style="97"/>
    <col min="6401" max="6401" width="1.875" style="97" customWidth="1"/>
    <col min="6402" max="6408" width="3" style="97" customWidth="1"/>
    <col min="6409" max="6409" width="3.625" style="97" customWidth="1"/>
    <col min="6410" max="6410" width="2.625" style="97" customWidth="1"/>
    <col min="6411" max="6411" width="3.625" style="97" customWidth="1"/>
    <col min="6412" max="6412" width="2.625" style="97" customWidth="1"/>
    <col min="6413" max="6413" width="3.625" style="97" customWidth="1"/>
    <col min="6414" max="6414" width="2.625" style="97" customWidth="1"/>
    <col min="6415" max="6431" width="3" style="97" customWidth="1"/>
    <col min="6432" max="6432" width="1.875" style="97" customWidth="1"/>
    <col min="6433" max="6527" width="3" style="97" customWidth="1"/>
    <col min="6528" max="6656" width="9" style="97"/>
    <col min="6657" max="6657" width="1.875" style="97" customWidth="1"/>
    <col min="6658" max="6664" width="3" style="97" customWidth="1"/>
    <col min="6665" max="6665" width="3.625" style="97" customWidth="1"/>
    <col min="6666" max="6666" width="2.625" style="97" customWidth="1"/>
    <col min="6667" max="6667" width="3.625" style="97" customWidth="1"/>
    <col min="6668" max="6668" width="2.625" style="97" customWidth="1"/>
    <col min="6669" max="6669" width="3.625" style="97" customWidth="1"/>
    <col min="6670" max="6670" width="2.625" style="97" customWidth="1"/>
    <col min="6671" max="6687" width="3" style="97" customWidth="1"/>
    <col min="6688" max="6688" width="1.875" style="97" customWidth="1"/>
    <col min="6689" max="6783" width="3" style="97" customWidth="1"/>
    <col min="6784" max="6912" width="9" style="97"/>
    <col min="6913" max="6913" width="1.875" style="97" customWidth="1"/>
    <col min="6914" max="6920" width="3" style="97" customWidth="1"/>
    <col min="6921" max="6921" width="3.625" style="97" customWidth="1"/>
    <col min="6922" max="6922" width="2.625" style="97" customWidth="1"/>
    <col min="6923" max="6923" width="3.625" style="97" customWidth="1"/>
    <col min="6924" max="6924" width="2.625" style="97" customWidth="1"/>
    <col min="6925" max="6925" width="3.625" style="97" customWidth="1"/>
    <col min="6926" max="6926" width="2.625" style="97" customWidth="1"/>
    <col min="6927" max="6943" width="3" style="97" customWidth="1"/>
    <col min="6944" max="6944" width="1.875" style="97" customWidth="1"/>
    <col min="6945" max="7039" width="3" style="97" customWidth="1"/>
    <col min="7040" max="7168" width="9" style="97"/>
    <col min="7169" max="7169" width="1.875" style="97" customWidth="1"/>
    <col min="7170" max="7176" width="3" style="97" customWidth="1"/>
    <col min="7177" max="7177" width="3.625" style="97" customWidth="1"/>
    <col min="7178" max="7178" width="2.625" style="97" customWidth="1"/>
    <col min="7179" max="7179" width="3.625" style="97" customWidth="1"/>
    <col min="7180" max="7180" width="2.625" style="97" customWidth="1"/>
    <col min="7181" max="7181" width="3.625" style="97" customWidth="1"/>
    <col min="7182" max="7182" width="2.625" style="97" customWidth="1"/>
    <col min="7183" max="7199" width="3" style="97" customWidth="1"/>
    <col min="7200" max="7200" width="1.875" style="97" customWidth="1"/>
    <col min="7201" max="7295" width="3" style="97" customWidth="1"/>
    <col min="7296" max="7424" width="9" style="97"/>
    <col min="7425" max="7425" width="1.875" style="97" customWidth="1"/>
    <col min="7426" max="7432" width="3" style="97" customWidth="1"/>
    <col min="7433" max="7433" width="3.625" style="97" customWidth="1"/>
    <col min="7434" max="7434" width="2.625" style="97" customWidth="1"/>
    <col min="7435" max="7435" width="3.625" style="97" customWidth="1"/>
    <col min="7436" max="7436" width="2.625" style="97" customWidth="1"/>
    <col min="7437" max="7437" width="3.625" style="97" customWidth="1"/>
    <col min="7438" max="7438" width="2.625" style="97" customWidth="1"/>
    <col min="7439" max="7455" width="3" style="97" customWidth="1"/>
    <col min="7456" max="7456" width="1.875" style="97" customWidth="1"/>
    <col min="7457" max="7551" width="3" style="97" customWidth="1"/>
    <col min="7552" max="7680" width="9" style="97"/>
    <col min="7681" max="7681" width="1.875" style="97" customWidth="1"/>
    <col min="7682" max="7688" width="3" style="97" customWidth="1"/>
    <col min="7689" max="7689" width="3.625" style="97" customWidth="1"/>
    <col min="7690" max="7690" width="2.625" style="97" customWidth="1"/>
    <col min="7691" max="7691" width="3.625" style="97" customWidth="1"/>
    <col min="7692" max="7692" width="2.625" style="97" customWidth="1"/>
    <col min="7693" max="7693" width="3.625" style="97" customWidth="1"/>
    <col min="7694" max="7694" width="2.625" style="97" customWidth="1"/>
    <col min="7695" max="7711" width="3" style="97" customWidth="1"/>
    <col min="7712" max="7712" width="1.875" style="97" customWidth="1"/>
    <col min="7713" max="7807" width="3" style="97" customWidth="1"/>
    <col min="7808" max="7936" width="9" style="97"/>
    <col min="7937" max="7937" width="1.875" style="97" customWidth="1"/>
    <col min="7938" max="7944" width="3" style="97" customWidth="1"/>
    <col min="7945" max="7945" width="3.625" style="97" customWidth="1"/>
    <col min="7946" max="7946" width="2.625" style="97" customWidth="1"/>
    <col min="7947" max="7947" width="3.625" style="97" customWidth="1"/>
    <col min="7948" max="7948" width="2.625" style="97" customWidth="1"/>
    <col min="7949" max="7949" width="3.625" style="97" customWidth="1"/>
    <col min="7950" max="7950" width="2.625" style="97" customWidth="1"/>
    <col min="7951" max="7967" width="3" style="97" customWidth="1"/>
    <col min="7968" max="7968" width="1.875" style="97" customWidth="1"/>
    <col min="7969" max="8063" width="3" style="97" customWidth="1"/>
    <col min="8064" max="8192" width="9" style="97"/>
    <col min="8193" max="8193" width="1.875" style="97" customWidth="1"/>
    <col min="8194" max="8200" width="3" style="97" customWidth="1"/>
    <col min="8201" max="8201" width="3.625" style="97" customWidth="1"/>
    <col min="8202" max="8202" width="2.625" style="97" customWidth="1"/>
    <col min="8203" max="8203" width="3.625" style="97" customWidth="1"/>
    <col min="8204" max="8204" width="2.625" style="97" customWidth="1"/>
    <col min="8205" max="8205" width="3.625" style="97" customWidth="1"/>
    <col min="8206" max="8206" width="2.625" style="97" customWidth="1"/>
    <col min="8207" max="8223" width="3" style="97" customWidth="1"/>
    <col min="8224" max="8224" width="1.875" style="97" customWidth="1"/>
    <col min="8225" max="8319" width="3" style="97" customWidth="1"/>
    <col min="8320" max="8448" width="9" style="97"/>
    <col min="8449" max="8449" width="1.875" style="97" customWidth="1"/>
    <col min="8450" max="8456" width="3" style="97" customWidth="1"/>
    <col min="8457" max="8457" width="3.625" style="97" customWidth="1"/>
    <col min="8458" max="8458" width="2.625" style="97" customWidth="1"/>
    <col min="8459" max="8459" width="3.625" style="97" customWidth="1"/>
    <col min="8460" max="8460" width="2.625" style="97" customWidth="1"/>
    <col min="8461" max="8461" width="3.625" style="97" customWidth="1"/>
    <col min="8462" max="8462" width="2.625" style="97" customWidth="1"/>
    <col min="8463" max="8479" width="3" style="97" customWidth="1"/>
    <col min="8480" max="8480" width="1.875" style="97" customWidth="1"/>
    <col min="8481" max="8575" width="3" style="97" customWidth="1"/>
    <col min="8576" max="8704" width="9" style="97"/>
    <col min="8705" max="8705" width="1.875" style="97" customWidth="1"/>
    <col min="8706" max="8712" width="3" style="97" customWidth="1"/>
    <col min="8713" max="8713" width="3.625" style="97" customWidth="1"/>
    <col min="8714" max="8714" width="2.625" style="97" customWidth="1"/>
    <col min="8715" max="8715" width="3.625" style="97" customWidth="1"/>
    <col min="8716" max="8716" width="2.625" style="97" customWidth="1"/>
    <col min="8717" max="8717" width="3.625" style="97" customWidth="1"/>
    <col min="8718" max="8718" width="2.625" style="97" customWidth="1"/>
    <col min="8719" max="8735" width="3" style="97" customWidth="1"/>
    <col min="8736" max="8736" width="1.875" style="97" customWidth="1"/>
    <col min="8737" max="8831" width="3" style="97" customWidth="1"/>
    <col min="8832" max="8960" width="9" style="97"/>
    <col min="8961" max="8961" width="1.875" style="97" customWidth="1"/>
    <col min="8962" max="8968" width="3" style="97" customWidth="1"/>
    <col min="8969" max="8969" width="3.625" style="97" customWidth="1"/>
    <col min="8970" max="8970" width="2.625" style="97" customWidth="1"/>
    <col min="8971" max="8971" width="3.625" style="97" customWidth="1"/>
    <col min="8972" max="8972" width="2.625" style="97" customWidth="1"/>
    <col min="8973" max="8973" width="3.625" style="97" customWidth="1"/>
    <col min="8974" max="8974" width="2.625" style="97" customWidth="1"/>
    <col min="8975" max="8991" width="3" style="97" customWidth="1"/>
    <col min="8992" max="8992" width="1.875" style="97" customWidth="1"/>
    <col min="8993" max="9087" width="3" style="97" customWidth="1"/>
    <col min="9088" max="9216" width="9" style="97"/>
    <col min="9217" max="9217" width="1.875" style="97" customWidth="1"/>
    <col min="9218" max="9224" width="3" style="97" customWidth="1"/>
    <col min="9225" max="9225" width="3.625" style="97" customWidth="1"/>
    <col min="9226" max="9226" width="2.625" style="97" customWidth="1"/>
    <col min="9227" max="9227" width="3.625" style="97" customWidth="1"/>
    <col min="9228" max="9228" width="2.625" style="97" customWidth="1"/>
    <col min="9229" max="9229" width="3.625" style="97" customWidth="1"/>
    <col min="9230" max="9230" width="2.625" style="97" customWidth="1"/>
    <col min="9231" max="9247" width="3" style="97" customWidth="1"/>
    <col min="9248" max="9248" width="1.875" style="97" customWidth="1"/>
    <col min="9249" max="9343" width="3" style="97" customWidth="1"/>
    <col min="9344" max="9472" width="9" style="97"/>
    <col min="9473" max="9473" width="1.875" style="97" customWidth="1"/>
    <col min="9474" max="9480" width="3" style="97" customWidth="1"/>
    <col min="9481" max="9481" width="3.625" style="97" customWidth="1"/>
    <col min="9482" max="9482" width="2.625" style="97" customWidth="1"/>
    <col min="9483" max="9483" width="3.625" style="97" customWidth="1"/>
    <col min="9484" max="9484" width="2.625" style="97" customWidth="1"/>
    <col min="9485" max="9485" width="3.625" style="97" customWidth="1"/>
    <col min="9486" max="9486" width="2.625" style="97" customWidth="1"/>
    <col min="9487" max="9503" width="3" style="97" customWidth="1"/>
    <col min="9504" max="9504" width="1.875" style="97" customWidth="1"/>
    <col min="9505" max="9599" width="3" style="97" customWidth="1"/>
    <col min="9600" max="9728" width="9" style="97"/>
    <col min="9729" max="9729" width="1.875" style="97" customWidth="1"/>
    <col min="9730" max="9736" width="3" style="97" customWidth="1"/>
    <col min="9737" max="9737" width="3.625" style="97" customWidth="1"/>
    <col min="9738" max="9738" width="2.625" style="97" customWidth="1"/>
    <col min="9739" max="9739" width="3.625" style="97" customWidth="1"/>
    <col min="9740" max="9740" width="2.625" style="97" customWidth="1"/>
    <col min="9741" max="9741" width="3.625" style="97" customWidth="1"/>
    <col min="9742" max="9742" width="2.625" style="97" customWidth="1"/>
    <col min="9743" max="9759" width="3" style="97" customWidth="1"/>
    <col min="9760" max="9760" width="1.875" style="97" customWidth="1"/>
    <col min="9761" max="9855" width="3" style="97" customWidth="1"/>
    <col min="9856" max="9984" width="9" style="97"/>
    <col min="9985" max="9985" width="1.875" style="97" customWidth="1"/>
    <col min="9986" max="9992" width="3" style="97" customWidth="1"/>
    <col min="9993" max="9993" width="3.625" style="97" customWidth="1"/>
    <col min="9994" max="9994" width="2.625" style="97" customWidth="1"/>
    <col min="9995" max="9995" width="3.625" style="97" customWidth="1"/>
    <col min="9996" max="9996" width="2.625" style="97" customWidth="1"/>
    <col min="9997" max="9997" width="3.625" style="97" customWidth="1"/>
    <col min="9998" max="9998" width="2.625" style="97" customWidth="1"/>
    <col min="9999" max="10015" width="3" style="97" customWidth="1"/>
    <col min="10016" max="10016" width="1.875" style="97" customWidth="1"/>
    <col min="10017" max="10111" width="3" style="97" customWidth="1"/>
    <col min="10112" max="10240" width="9" style="97"/>
    <col min="10241" max="10241" width="1.875" style="97" customWidth="1"/>
    <col min="10242" max="10248" width="3" style="97" customWidth="1"/>
    <col min="10249" max="10249" width="3.625" style="97" customWidth="1"/>
    <col min="10250" max="10250" width="2.625" style="97" customWidth="1"/>
    <col min="10251" max="10251" width="3.625" style="97" customWidth="1"/>
    <col min="10252" max="10252" width="2.625" style="97" customWidth="1"/>
    <col min="10253" max="10253" width="3.625" style="97" customWidth="1"/>
    <col min="10254" max="10254" width="2.625" style="97" customWidth="1"/>
    <col min="10255" max="10271" width="3" style="97" customWidth="1"/>
    <col min="10272" max="10272" width="1.875" style="97" customWidth="1"/>
    <col min="10273" max="10367" width="3" style="97" customWidth="1"/>
    <col min="10368" max="10496" width="9" style="97"/>
    <col min="10497" max="10497" width="1.875" style="97" customWidth="1"/>
    <col min="10498" max="10504" width="3" style="97" customWidth="1"/>
    <col min="10505" max="10505" width="3.625" style="97" customWidth="1"/>
    <col min="10506" max="10506" width="2.625" style="97" customWidth="1"/>
    <col min="10507" max="10507" width="3.625" style="97" customWidth="1"/>
    <col min="10508" max="10508" width="2.625" style="97" customWidth="1"/>
    <col min="10509" max="10509" width="3.625" style="97" customWidth="1"/>
    <col min="10510" max="10510" width="2.625" style="97" customWidth="1"/>
    <col min="10511" max="10527" width="3" style="97" customWidth="1"/>
    <col min="10528" max="10528" width="1.875" style="97" customWidth="1"/>
    <col min="10529" max="10623" width="3" style="97" customWidth="1"/>
    <col min="10624" max="10752" width="9" style="97"/>
    <col min="10753" max="10753" width="1.875" style="97" customWidth="1"/>
    <col min="10754" max="10760" width="3" style="97" customWidth="1"/>
    <col min="10761" max="10761" width="3.625" style="97" customWidth="1"/>
    <col min="10762" max="10762" width="2.625" style="97" customWidth="1"/>
    <col min="10763" max="10763" width="3.625" style="97" customWidth="1"/>
    <col min="10764" max="10764" width="2.625" style="97" customWidth="1"/>
    <col min="10765" max="10765" width="3.625" style="97" customWidth="1"/>
    <col min="10766" max="10766" width="2.625" style="97" customWidth="1"/>
    <col min="10767" max="10783" width="3" style="97" customWidth="1"/>
    <col min="10784" max="10784" width="1.875" style="97" customWidth="1"/>
    <col min="10785" max="10879" width="3" style="97" customWidth="1"/>
    <col min="10880" max="11008" width="9" style="97"/>
    <col min="11009" max="11009" width="1.875" style="97" customWidth="1"/>
    <col min="11010" max="11016" width="3" style="97" customWidth="1"/>
    <col min="11017" max="11017" width="3.625" style="97" customWidth="1"/>
    <col min="11018" max="11018" width="2.625" style="97" customWidth="1"/>
    <col min="11019" max="11019" width="3.625" style="97" customWidth="1"/>
    <col min="11020" max="11020" width="2.625" style="97" customWidth="1"/>
    <col min="11021" max="11021" width="3.625" style="97" customWidth="1"/>
    <col min="11022" max="11022" width="2.625" style="97" customWidth="1"/>
    <col min="11023" max="11039" width="3" style="97" customWidth="1"/>
    <col min="11040" max="11040" width="1.875" style="97" customWidth="1"/>
    <col min="11041" max="11135" width="3" style="97" customWidth="1"/>
    <col min="11136" max="11264" width="9" style="97"/>
    <col min="11265" max="11265" width="1.875" style="97" customWidth="1"/>
    <col min="11266" max="11272" width="3" style="97" customWidth="1"/>
    <col min="11273" max="11273" width="3.625" style="97" customWidth="1"/>
    <col min="11274" max="11274" width="2.625" style="97" customWidth="1"/>
    <col min="11275" max="11275" width="3.625" style="97" customWidth="1"/>
    <col min="11276" max="11276" width="2.625" style="97" customWidth="1"/>
    <col min="11277" max="11277" width="3.625" style="97" customWidth="1"/>
    <col min="11278" max="11278" width="2.625" style="97" customWidth="1"/>
    <col min="11279" max="11295" width="3" style="97" customWidth="1"/>
    <col min="11296" max="11296" width="1.875" style="97" customWidth="1"/>
    <col min="11297" max="11391" width="3" style="97" customWidth="1"/>
    <col min="11392" max="11520" width="9" style="97"/>
    <col min="11521" max="11521" width="1.875" style="97" customWidth="1"/>
    <col min="11522" max="11528" width="3" style="97" customWidth="1"/>
    <col min="11529" max="11529" width="3.625" style="97" customWidth="1"/>
    <col min="11530" max="11530" width="2.625" style="97" customWidth="1"/>
    <col min="11531" max="11531" width="3.625" style="97" customWidth="1"/>
    <col min="11532" max="11532" width="2.625" style="97" customWidth="1"/>
    <col min="11533" max="11533" width="3.625" style="97" customWidth="1"/>
    <col min="11534" max="11534" width="2.625" style="97" customWidth="1"/>
    <col min="11535" max="11551" width="3" style="97" customWidth="1"/>
    <col min="11552" max="11552" width="1.875" style="97" customWidth="1"/>
    <col min="11553" max="11647" width="3" style="97" customWidth="1"/>
    <col min="11648" max="11776" width="9" style="97"/>
    <col min="11777" max="11777" width="1.875" style="97" customWidth="1"/>
    <col min="11778" max="11784" width="3" style="97" customWidth="1"/>
    <col min="11785" max="11785" width="3.625" style="97" customWidth="1"/>
    <col min="11786" max="11786" width="2.625" style="97" customWidth="1"/>
    <col min="11787" max="11787" width="3.625" style="97" customWidth="1"/>
    <col min="11788" max="11788" width="2.625" style="97" customWidth="1"/>
    <col min="11789" max="11789" width="3.625" style="97" customWidth="1"/>
    <col min="11790" max="11790" width="2.625" style="97" customWidth="1"/>
    <col min="11791" max="11807" width="3" style="97" customWidth="1"/>
    <col min="11808" max="11808" width="1.875" style="97" customWidth="1"/>
    <col min="11809" max="11903" width="3" style="97" customWidth="1"/>
    <col min="11904" max="12032" width="9" style="97"/>
    <col min="12033" max="12033" width="1.875" style="97" customWidth="1"/>
    <col min="12034" max="12040" width="3" style="97" customWidth="1"/>
    <col min="12041" max="12041" width="3.625" style="97" customWidth="1"/>
    <col min="12042" max="12042" width="2.625" style="97" customWidth="1"/>
    <col min="12043" max="12043" width="3.625" style="97" customWidth="1"/>
    <col min="12044" max="12044" width="2.625" style="97" customWidth="1"/>
    <col min="12045" max="12045" width="3.625" style="97" customWidth="1"/>
    <col min="12046" max="12046" width="2.625" style="97" customWidth="1"/>
    <col min="12047" max="12063" width="3" style="97" customWidth="1"/>
    <col min="12064" max="12064" width="1.875" style="97" customWidth="1"/>
    <col min="12065" max="12159" width="3" style="97" customWidth="1"/>
    <col min="12160" max="12288" width="9" style="97"/>
    <col min="12289" max="12289" width="1.875" style="97" customWidth="1"/>
    <col min="12290" max="12296" width="3" style="97" customWidth="1"/>
    <col min="12297" max="12297" width="3.625" style="97" customWidth="1"/>
    <col min="12298" max="12298" width="2.625" style="97" customWidth="1"/>
    <col min="12299" max="12299" width="3.625" style="97" customWidth="1"/>
    <col min="12300" max="12300" width="2.625" style="97" customWidth="1"/>
    <col min="12301" max="12301" width="3.625" style="97" customWidth="1"/>
    <col min="12302" max="12302" width="2.625" style="97" customWidth="1"/>
    <col min="12303" max="12319" width="3" style="97" customWidth="1"/>
    <col min="12320" max="12320" width="1.875" style="97" customWidth="1"/>
    <col min="12321" max="12415" width="3" style="97" customWidth="1"/>
    <col min="12416" max="12544" width="9" style="97"/>
    <col min="12545" max="12545" width="1.875" style="97" customWidth="1"/>
    <col min="12546" max="12552" width="3" style="97" customWidth="1"/>
    <col min="12553" max="12553" width="3.625" style="97" customWidth="1"/>
    <col min="12554" max="12554" width="2.625" style="97" customWidth="1"/>
    <col min="12555" max="12555" width="3.625" style="97" customWidth="1"/>
    <col min="12556" max="12556" width="2.625" style="97" customWidth="1"/>
    <col min="12557" max="12557" width="3.625" style="97" customWidth="1"/>
    <col min="12558" max="12558" width="2.625" style="97" customWidth="1"/>
    <col min="12559" max="12575" width="3" style="97" customWidth="1"/>
    <col min="12576" max="12576" width="1.875" style="97" customWidth="1"/>
    <col min="12577" max="12671" width="3" style="97" customWidth="1"/>
    <col min="12672" max="12800" width="9" style="97"/>
    <col min="12801" max="12801" width="1.875" style="97" customWidth="1"/>
    <col min="12802" max="12808" width="3" style="97" customWidth="1"/>
    <col min="12809" max="12809" width="3.625" style="97" customWidth="1"/>
    <col min="12810" max="12810" width="2.625" style="97" customWidth="1"/>
    <col min="12811" max="12811" width="3.625" style="97" customWidth="1"/>
    <col min="12812" max="12812" width="2.625" style="97" customWidth="1"/>
    <col min="12813" max="12813" width="3.625" style="97" customWidth="1"/>
    <col min="12814" max="12814" width="2.625" style="97" customWidth="1"/>
    <col min="12815" max="12831" width="3" style="97" customWidth="1"/>
    <col min="12832" max="12832" width="1.875" style="97" customWidth="1"/>
    <col min="12833" max="12927" width="3" style="97" customWidth="1"/>
    <col min="12928" max="13056" width="9" style="97"/>
    <col min="13057" max="13057" width="1.875" style="97" customWidth="1"/>
    <col min="13058" max="13064" width="3" style="97" customWidth="1"/>
    <col min="13065" max="13065" width="3.625" style="97" customWidth="1"/>
    <col min="13066" max="13066" width="2.625" style="97" customWidth="1"/>
    <col min="13067" max="13067" width="3.625" style="97" customWidth="1"/>
    <col min="13068" max="13068" width="2.625" style="97" customWidth="1"/>
    <col min="13069" max="13069" width="3.625" style="97" customWidth="1"/>
    <col min="13070" max="13070" width="2.625" style="97" customWidth="1"/>
    <col min="13071" max="13087" width="3" style="97" customWidth="1"/>
    <col min="13088" max="13088" width="1.875" style="97" customWidth="1"/>
    <col min="13089" max="13183" width="3" style="97" customWidth="1"/>
    <col min="13184" max="13312" width="9" style="97"/>
    <col min="13313" max="13313" width="1.875" style="97" customWidth="1"/>
    <col min="13314" max="13320" width="3" style="97" customWidth="1"/>
    <col min="13321" max="13321" width="3.625" style="97" customWidth="1"/>
    <col min="13322" max="13322" width="2.625" style="97" customWidth="1"/>
    <col min="13323" max="13323" width="3.625" style="97" customWidth="1"/>
    <col min="13324" max="13324" width="2.625" style="97" customWidth="1"/>
    <col min="13325" max="13325" width="3.625" style="97" customWidth="1"/>
    <col min="13326" max="13326" width="2.625" style="97" customWidth="1"/>
    <col min="13327" max="13343" width="3" style="97" customWidth="1"/>
    <col min="13344" max="13344" width="1.875" style="97" customWidth="1"/>
    <col min="13345" max="13439" width="3" style="97" customWidth="1"/>
    <col min="13440" max="13568" width="9" style="97"/>
    <col min="13569" max="13569" width="1.875" style="97" customWidth="1"/>
    <col min="13570" max="13576" width="3" style="97" customWidth="1"/>
    <col min="13577" max="13577" width="3.625" style="97" customWidth="1"/>
    <col min="13578" max="13578" width="2.625" style="97" customWidth="1"/>
    <col min="13579" max="13579" width="3.625" style="97" customWidth="1"/>
    <col min="13580" max="13580" width="2.625" style="97" customWidth="1"/>
    <col min="13581" max="13581" width="3.625" style="97" customWidth="1"/>
    <col min="13582" max="13582" width="2.625" style="97" customWidth="1"/>
    <col min="13583" max="13599" width="3" style="97" customWidth="1"/>
    <col min="13600" max="13600" width="1.875" style="97" customWidth="1"/>
    <col min="13601" max="13695" width="3" style="97" customWidth="1"/>
    <col min="13696" max="13824" width="9" style="97"/>
    <col min="13825" max="13825" width="1.875" style="97" customWidth="1"/>
    <col min="13826" max="13832" width="3" style="97" customWidth="1"/>
    <col min="13833" max="13833" width="3.625" style="97" customWidth="1"/>
    <col min="13834" max="13834" width="2.625" style="97" customWidth="1"/>
    <col min="13835" max="13835" width="3.625" style="97" customWidth="1"/>
    <col min="13836" max="13836" width="2.625" style="97" customWidth="1"/>
    <col min="13837" max="13837" width="3.625" style="97" customWidth="1"/>
    <col min="13838" max="13838" width="2.625" style="97" customWidth="1"/>
    <col min="13839" max="13855" width="3" style="97" customWidth="1"/>
    <col min="13856" max="13856" width="1.875" style="97" customWidth="1"/>
    <col min="13857" max="13951" width="3" style="97" customWidth="1"/>
    <col min="13952" max="14080" width="9" style="97"/>
    <col min="14081" max="14081" width="1.875" style="97" customWidth="1"/>
    <col min="14082" max="14088" width="3" style="97" customWidth="1"/>
    <col min="14089" max="14089" width="3.625" style="97" customWidth="1"/>
    <col min="14090" max="14090" width="2.625" style="97" customWidth="1"/>
    <col min="14091" max="14091" width="3.625" style="97" customWidth="1"/>
    <col min="14092" max="14092" width="2.625" style="97" customWidth="1"/>
    <col min="14093" max="14093" width="3.625" style="97" customWidth="1"/>
    <col min="14094" max="14094" width="2.625" style="97" customWidth="1"/>
    <col min="14095" max="14111" width="3" style="97" customWidth="1"/>
    <col min="14112" max="14112" width="1.875" style="97" customWidth="1"/>
    <col min="14113" max="14207" width="3" style="97" customWidth="1"/>
    <col min="14208" max="14336" width="9" style="97"/>
    <col min="14337" max="14337" width="1.875" style="97" customWidth="1"/>
    <col min="14338" max="14344" width="3" style="97" customWidth="1"/>
    <col min="14345" max="14345" width="3.625" style="97" customWidth="1"/>
    <col min="14346" max="14346" width="2.625" style="97" customWidth="1"/>
    <col min="14347" max="14347" width="3.625" style="97" customWidth="1"/>
    <col min="14348" max="14348" width="2.625" style="97" customWidth="1"/>
    <col min="14349" max="14349" width="3.625" style="97" customWidth="1"/>
    <col min="14350" max="14350" width="2.625" style="97" customWidth="1"/>
    <col min="14351" max="14367" width="3" style="97" customWidth="1"/>
    <col min="14368" max="14368" width="1.875" style="97" customWidth="1"/>
    <col min="14369" max="14463" width="3" style="97" customWidth="1"/>
    <col min="14464" max="14592" width="9" style="97"/>
    <col min="14593" max="14593" width="1.875" style="97" customWidth="1"/>
    <col min="14594" max="14600" width="3" style="97" customWidth="1"/>
    <col min="14601" max="14601" width="3.625" style="97" customWidth="1"/>
    <col min="14602" max="14602" width="2.625" style="97" customWidth="1"/>
    <col min="14603" max="14603" width="3.625" style="97" customWidth="1"/>
    <col min="14604" max="14604" width="2.625" style="97" customWidth="1"/>
    <col min="14605" max="14605" width="3.625" style="97" customWidth="1"/>
    <col min="14606" max="14606" width="2.625" style="97" customWidth="1"/>
    <col min="14607" max="14623" width="3" style="97" customWidth="1"/>
    <col min="14624" max="14624" width="1.875" style="97" customWidth="1"/>
    <col min="14625" max="14719" width="3" style="97" customWidth="1"/>
    <col min="14720" max="14848" width="9" style="97"/>
    <col min="14849" max="14849" width="1.875" style="97" customWidth="1"/>
    <col min="14850" max="14856" width="3" style="97" customWidth="1"/>
    <col min="14857" max="14857" width="3.625" style="97" customWidth="1"/>
    <col min="14858" max="14858" width="2.625" style="97" customWidth="1"/>
    <col min="14859" max="14859" width="3.625" style="97" customWidth="1"/>
    <col min="14860" max="14860" width="2.625" style="97" customWidth="1"/>
    <col min="14861" max="14861" width="3.625" style="97" customWidth="1"/>
    <col min="14862" max="14862" width="2.625" style="97" customWidth="1"/>
    <col min="14863" max="14879" width="3" style="97" customWidth="1"/>
    <col min="14880" max="14880" width="1.875" style="97" customWidth="1"/>
    <col min="14881" max="14975" width="3" style="97" customWidth="1"/>
    <col min="14976" max="15104" width="9" style="97"/>
    <col min="15105" max="15105" width="1.875" style="97" customWidth="1"/>
    <col min="15106" max="15112" width="3" style="97" customWidth="1"/>
    <col min="15113" max="15113" width="3.625" style="97" customWidth="1"/>
    <col min="15114" max="15114" width="2.625" style="97" customWidth="1"/>
    <col min="15115" max="15115" width="3.625" style="97" customWidth="1"/>
    <col min="15116" max="15116" width="2.625" style="97" customWidth="1"/>
    <col min="15117" max="15117" width="3.625" style="97" customWidth="1"/>
    <col min="15118" max="15118" width="2.625" style="97" customWidth="1"/>
    <col min="15119" max="15135" width="3" style="97" customWidth="1"/>
    <col min="15136" max="15136" width="1.875" style="97" customWidth="1"/>
    <col min="15137" max="15231" width="3" style="97" customWidth="1"/>
    <col min="15232" max="15360" width="9" style="97"/>
    <col min="15361" max="15361" width="1.875" style="97" customWidth="1"/>
    <col min="15362" max="15368" width="3" style="97" customWidth="1"/>
    <col min="15369" max="15369" width="3.625" style="97" customWidth="1"/>
    <col min="15370" max="15370" width="2.625" style="97" customWidth="1"/>
    <col min="15371" max="15371" width="3.625" style="97" customWidth="1"/>
    <col min="15372" max="15372" width="2.625" style="97" customWidth="1"/>
    <col min="15373" max="15373" width="3.625" style="97" customWidth="1"/>
    <col min="15374" max="15374" width="2.625" style="97" customWidth="1"/>
    <col min="15375" max="15391" width="3" style="97" customWidth="1"/>
    <col min="15392" max="15392" width="1.875" style="97" customWidth="1"/>
    <col min="15393" max="15487" width="3" style="97" customWidth="1"/>
    <col min="15488" max="15616" width="9" style="97"/>
    <col min="15617" max="15617" width="1.875" style="97" customWidth="1"/>
    <col min="15618" max="15624" width="3" style="97" customWidth="1"/>
    <col min="15625" max="15625" width="3.625" style="97" customWidth="1"/>
    <col min="15626" max="15626" width="2.625" style="97" customWidth="1"/>
    <col min="15627" max="15627" width="3.625" style="97" customWidth="1"/>
    <col min="15628" max="15628" width="2.625" style="97" customWidth="1"/>
    <col min="15629" max="15629" width="3.625" style="97" customWidth="1"/>
    <col min="15630" max="15630" width="2.625" style="97" customWidth="1"/>
    <col min="15631" max="15647" width="3" style="97" customWidth="1"/>
    <col min="15648" max="15648" width="1.875" style="97" customWidth="1"/>
    <col min="15649" max="15743" width="3" style="97" customWidth="1"/>
    <col min="15744" max="15872" width="9" style="97"/>
    <col min="15873" max="15873" width="1.875" style="97" customWidth="1"/>
    <col min="15874" max="15880" width="3" style="97" customWidth="1"/>
    <col min="15881" max="15881" width="3.625" style="97" customWidth="1"/>
    <col min="15882" max="15882" width="2.625" style="97" customWidth="1"/>
    <col min="15883" max="15883" width="3.625" style="97" customWidth="1"/>
    <col min="15884" max="15884" width="2.625" style="97" customWidth="1"/>
    <col min="15885" max="15885" width="3.625" style="97" customWidth="1"/>
    <col min="15886" max="15886" width="2.625" style="97" customWidth="1"/>
    <col min="15887" max="15903" width="3" style="97" customWidth="1"/>
    <col min="15904" max="15904" width="1.875" style="97" customWidth="1"/>
    <col min="15905" max="15999" width="3" style="97" customWidth="1"/>
    <col min="16000" max="16128" width="9" style="97"/>
    <col min="16129" max="16129" width="1.875" style="97" customWidth="1"/>
    <col min="16130" max="16136" width="3" style="97" customWidth="1"/>
    <col min="16137" max="16137" width="3.625" style="97" customWidth="1"/>
    <col min="16138" max="16138" width="2.625" style="97" customWidth="1"/>
    <col min="16139" max="16139" width="3.625" style="97" customWidth="1"/>
    <col min="16140" max="16140" width="2.625" style="97" customWidth="1"/>
    <col min="16141" max="16141" width="3.625" style="97" customWidth="1"/>
    <col min="16142" max="16142" width="2.625" style="97" customWidth="1"/>
    <col min="16143" max="16159" width="3" style="97" customWidth="1"/>
    <col min="16160" max="16160" width="1.875" style="97" customWidth="1"/>
    <col min="16161" max="16255" width="3" style="97" customWidth="1"/>
    <col min="16256" max="16384" width="9" style="97"/>
  </cols>
  <sheetData>
    <row r="1" spans="1:33" ht="17.25">
      <c r="A1" s="98"/>
      <c r="B1" s="1682" t="s">
        <v>1017</v>
      </c>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682"/>
      <c r="AD1" s="1682"/>
      <c r="AE1" s="1682"/>
      <c r="AF1" s="99"/>
    </row>
    <row r="2" spans="1:33" ht="17.25">
      <c r="A2" s="100"/>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01"/>
    </row>
    <row r="3" spans="1:33" ht="15.75" customHeight="1">
      <c r="A3" s="100"/>
      <c r="B3" s="97" t="s">
        <v>1018</v>
      </c>
      <c r="C3" s="97" t="s">
        <v>1019</v>
      </c>
      <c r="AF3" s="102"/>
    </row>
    <row r="4" spans="1:33" ht="15.75" customHeight="1">
      <c r="A4" s="100"/>
      <c r="C4" s="97" t="str">
        <f>【マスター】!C7&amp;"("&amp;【マスター】!C10&amp;")までお知らせ下さい。"</f>
        <v>デイサービスさくら亭(0532-39-7855)までお知らせ下さい。</v>
      </c>
      <c r="T4" s="103"/>
      <c r="AF4" s="102"/>
    </row>
    <row r="5" spans="1:33">
      <c r="A5" s="100"/>
      <c r="B5" s="97" t="s">
        <v>1018</v>
      </c>
      <c r="C5" s="97" t="s">
        <v>1020</v>
      </c>
      <c r="T5" s="1684" t="s">
        <v>2032</v>
      </c>
      <c r="U5" s="1684"/>
      <c r="V5" s="1684"/>
      <c r="W5" s="1684"/>
      <c r="X5" s="1684"/>
      <c r="Y5" s="1684"/>
      <c r="Z5" s="1684"/>
      <c r="AA5" s="1684"/>
      <c r="AB5" s="1684"/>
      <c r="AC5" s="1684"/>
      <c r="AD5" s="1684"/>
      <c r="AE5" s="1684"/>
      <c r="AF5" s="104"/>
    </row>
    <row r="6" spans="1:33" ht="14.25" thickBot="1">
      <c r="A6" s="100"/>
      <c r="T6" s="1684"/>
      <c r="U6" s="1684"/>
      <c r="V6" s="1684"/>
      <c r="W6" s="1684"/>
      <c r="X6" s="1684"/>
      <c r="Y6" s="1684"/>
      <c r="Z6" s="1684"/>
      <c r="AA6" s="1684"/>
      <c r="AB6" s="1684"/>
      <c r="AC6" s="1684"/>
      <c r="AD6" s="1684"/>
      <c r="AE6" s="1684"/>
      <c r="AF6" s="104"/>
      <c r="AG6" s="489"/>
    </row>
    <row r="7" spans="1:33" ht="17.25" customHeight="1">
      <c r="A7" s="100"/>
      <c r="B7" s="1685" t="s">
        <v>1021</v>
      </c>
      <c r="C7" s="1686"/>
      <c r="D7" s="1686"/>
      <c r="E7" s="1686"/>
      <c r="F7" s="1691" t="s">
        <v>2035</v>
      </c>
      <c r="G7" s="1692"/>
      <c r="H7" s="1692"/>
      <c r="I7" s="1692"/>
      <c r="J7" s="1692"/>
      <c r="K7" s="1692"/>
      <c r="L7" s="1692"/>
      <c r="M7" s="1692"/>
      <c r="N7" s="1692"/>
      <c r="O7" s="1692"/>
      <c r="P7" s="1692"/>
      <c r="Q7" s="1692"/>
      <c r="R7" s="238" t="s">
        <v>1022</v>
      </c>
      <c r="S7" s="1626" t="s">
        <v>1023</v>
      </c>
      <c r="T7" s="1627"/>
      <c r="U7" s="1628"/>
      <c r="V7" s="1696"/>
      <c r="W7" s="1697"/>
      <c r="X7" s="1697"/>
      <c r="Y7" s="1697"/>
      <c r="Z7" s="1697"/>
      <c r="AA7" s="1697"/>
      <c r="AB7" s="1697"/>
      <c r="AC7" s="1698" t="s">
        <v>1024</v>
      </c>
      <c r="AD7" s="1698"/>
      <c r="AE7" s="114" t="s">
        <v>1022</v>
      </c>
      <c r="AF7" s="102"/>
    </row>
    <row r="8" spans="1:33" ht="17.25" customHeight="1">
      <c r="A8" s="100"/>
      <c r="B8" s="1687"/>
      <c r="C8" s="1688"/>
      <c r="D8" s="1688"/>
      <c r="E8" s="1688"/>
      <c r="F8" s="1705" t="str">
        <f>IF(【マスター】!B156="","",【マスター】!B156)</f>
        <v/>
      </c>
      <c r="G8" s="1706"/>
      <c r="H8" s="1706"/>
      <c r="I8" s="1706"/>
      <c r="J8" s="1706"/>
      <c r="K8" s="1706"/>
      <c r="L8" s="1706"/>
      <c r="M8" s="1706"/>
      <c r="N8" s="1706"/>
      <c r="O8" s="1706"/>
      <c r="P8" s="1709" t="s">
        <v>1025</v>
      </c>
      <c r="Q8" s="1709"/>
      <c r="R8" s="530" t="s">
        <v>1026</v>
      </c>
      <c r="S8" s="1693"/>
      <c r="T8" s="1694"/>
      <c r="U8" s="1695"/>
      <c r="V8" s="1699"/>
      <c r="W8" s="1700"/>
      <c r="X8" s="1700"/>
      <c r="Y8" s="1700"/>
      <c r="Z8" s="1700"/>
      <c r="AA8" s="1700"/>
      <c r="AB8" s="1700"/>
      <c r="AC8" s="1703"/>
      <c r="AD8" s="1703"/>
      <c r="AE8" s="531" t="s">
        <v>1026</v>
      </c>
      <c r="AF8" s="102"/>
    </row>
    <row r="9" spans="1:33" ht="17.25" customHeight="1">
      <c r="A9" s="100"/>
      <c r="B9" s="1689"/>
      <c r="C9" s="1690"/>
      <c r="D9" s="1690"/>
      <c r="E9" s="1690"/>
      <c r="F9" s="1707"/>
      <c r="G9" s="1708"/>
      <c r="H9" s="1708"/>
      <c r="I9" s="1708"/>
      <c r="J9" s="1708"/>
      <c r="K9" s="1708"/>
      <c r="L9" s="1708"/>
      <c r="M9" s="1708"/>
      <c r="N9" s="1708"/>
      <c r="O9" s="1708"/>
      <c r="P9" s="1710"/>
      <c r="Q9" s="1710"/>
      <c r="R9" s="239" t="s">
        <v>1027</v>
      </c>
      <c r="S9" s="1629"/>
      <c r="T9" s="1630"/>
      <c r="U9" s="1631"/>
      <c r="V9" s="1701"/>
      <c r="W9" s="1702"/>
      <c r="X9" s="1702"/>
      <c r="Y9" s="1702"/>
      <c r="Z9" s="1702"/>
      <c r="AA9" s="1702"/>
      <c r="AB9" s="1702"/>
      <c r="AC9" s="1704"/>
      <c r="AD9" s="1704"/>
      <c r="AE9" s="115" t="s">
        <v>1027</v>
      </c>
      <c r="AF9" s="102"/>
    </row>
    <row r="10" spans="1:33" ht="17.25" customHeight="1">
      <c r="A10" s="100"/>
      <c r="B10" s="1659" t="s">
        <v>1028</v>
      </c>
      <c r="C10" s="1660"/>
      <c r="D10" s="1660"/>
      <c r="E10" s="1661"/>
      <c r="F10" s="1665" t="s">
        <v>1029</v>
      </c>
      <c r="G10" s="1666"/>
      <c r="H10" s="1667"/>
      <c r="I10" s="1667"/>
      <c r="J10" s="1670" t="s">
        <v>1030</v>
      </c>
      <c r="K10" s="1667"/>
      <c r="L10" s="1670" t="s">
        <v>1031</v>
      </c>
      <c r="M10" s="1667"/>
      <c r="N10" s="1670" t="s">
        <v>706</v>
      </c>
      <c r="O10" s="1672" t="s">
        <v>1032</v>
      </c>
      <c r="P10" s="1674"/>
      <c r="Q10" s="1674"/>
      <c r="R10" s="1678" t="s">
        <v>1033</v>
      </c>
      <c r="S10" s="1665" t="s">
        <v>1034</v>
      </c>
      <c r="T10" s="1666"/>
      <c r="U10" s="1666"/>
      <c r="V10" s="1667"/>
      <c r="W10" s="1670" t="s">
        <v>1030</v>
      </c>
      <c r="X10" s="1667"/>
      <c r="Y10" s="1670" t="s">
        <v>1031</v>
      </c>
      <c r="Z10" s="1667"/>
      <c r="AA10" s="1670" t="s">
        <v>706</v>
      </c>
      <c r="AB10" s="1672" t="s">
        <v>1032</v>
      </c>
      <c r="AC10" s="1674"/>
      <c r="AD10" s="1674"/>
      <c r="AE10" s="1676" t="s">
        <v>1033</v>
      </c>
      <c r="AF10" s="102"/>
    </row>
    <row r="11" spans="1:33" ht="17.25" customHeight="1">
      <c r="A11" s="100"/>
      <c r="B11" s="1662"/>
      <c r="C11" s="1663"/>
      <c r="D11" s="1663"/>
      <c r="E11" s="1664"/>
      <c r="F11" s="1668"/>
      <c r="G11" s="1669"/>
      <c r="H11" s="1669"/>
      <c r="I11" s="1669"/>
      <c r="J11" s="1671"/>
      <c r="K11" s="1669"/>
      <c r="L11" s="1671"/>
      <c r="M11" s="1669"/>
      <c r="N11" s="1671"/>
      <c r="O11" s="1673"/>
      <c r="P11" s="1675"/>
      <c r="Q11" s="1675"/>
      <c r="R11" s="1679"/>
      <c r="S11" s="1680"/>
      <c r="T11" s="1681"/>
      <c r="U11" s="1681"/>
      <c r="V11" s="1669"/>
      <c r="W11" s="1671"/>
      <c r="X11" s="1669"/>
      <c r="Y11" s="1671"/>
      <c r="Z11" s="1669"/>
      <c r="AA11" s="1671"/>
      <c r="AB11" s="1673"/>
      <c r="AC11" s="1675"/>
      <c r="AD11" s="1675"/>
      <c r="AE11" s="1677"/>
      <c r="AF11" s="102"/>
    </row>
    <row r="12" spans="1:33" ht="17.25" customHeight="1">
      <c r="A12" s="100"/>
      <c r="B12" s="1642" t="s">
        <v>1035</v>
      </c>
      <c r="C12" s="1643"/>
      <c r="D12" s="1643"/>
      <c r="E12" s="1643"/>
      <c r="F12" s="1646" t="str">
        <f>IF(【マスター】!B157="","",【マスター】!B157&amp;【マスター】!B158)</f>
        <v/>
      </c>
      <c r="G12" s="1646"/>
      <c r="H12" s="1646"/>
      <c r="I12" s="1646"/>
      <c r="J12" s="1646"/>
      <c r="K12" s="1646"/>
      <c r="L12" s="1646"/>
      <c r="M12" s="1646"/>
      <c r="N12" s="1646"/>
      <c r="O12" s="1646"/>
      <c r="P12" s="1646"/>
      <c r="Q12" s="1646"/>
      <c r="R12" s="1646"/>
      <c r="S12" s="1643" t="s">
        <v>1036</v>
      </c>
      <c r="T12" s="1643"/>
      <c r="U12" s="1560"/>
      <c r="V12" s="1649"/>
      <c r="W12" s="1634"/>
      <c r="X12" s="1651" t="s">
        <v>612</v>
      </c>
      <c r="Y12" s="1634"/>
      <c r="Z12" s="1634"/>
      <c r="AA12" s="1634"/>
      <c r="AB12" s="1651" t="s">
        <v>612</v>
      </c>
      <c r="AC12" s="1634"/>
      <c r="AD12" s="1634"/>
      <c r="AE12" s="1635"/>
      <c r="AF12" s="102"/>
    </row>
    <row r="13" spans="1:33" ht="17.25" customHeight="1" thickBot="1">
      <c r="A13" s="100"/>
      <c r="B13" s="1644"/>
      <c r="C13" s="1645"/>
      <c r="D13" s="1645"/>
      <c r="E13" s="1645"/>
      <c r="F13" s="1647"/>
      <c r="G13" s="1647"/>
      <c r="H13" s="1647"/>
      <c r="I13" s="1647"/>
      <c r="J13" s="1647"/>
      <c r="K13" s="1647"/>
      <c r="L13" s="1647"/>
      <c r="M13" s="1647"/>
      <c r="N13" s="1647"/>
      <c r="O13" s="1647"/>
      <c r="P13" s="1647"/>
      <c r="Q13" s="1647"/>
      <c r="R13" s="1647"/>
      <c r="S13" s="1645"/>
      <c r="T13" s="1645"/>
      <c r="U13" s="1648"/>
      <c r="V13" s="1650"/>
      <c r="W13" s="1636"/>
      <c r="X13" s="1652"/>
      <c r="Y13" s="1636"/>
      <c r="Z13" s="1636"/>
      <c r="AA13" s="1636"/>
      <c r="AB13" s="1652"/>
      <c r="AC13" s="1636"/>
      <c r="AD13" s="1636"/>
      <c r="AE13" s="1637"/>
      <c r="AF13" s="102"/>
    </row>
    <row r="14" spans="1:33" ht="17.25" customHeight="1">
      <c r="A14" s="100"/>
      <c r="B14" s="1600" t="s">
        <v>1037</v>
      </c>
      <c r="C14" s="1601"/>
      <c r="D14" s="1601"/>
      <c r="E14" s="1601"/>
      <c r="F14" s="1586"/>
      <c r="G14" s="1586"/>
      <c r="H14" s="1586"/>
      <c r="I14" s="1586"/>
      <c r="J14" s="1586"/>
      <c r="K14" s="1586"/>
      <c r="L14" s="1586"/>
      <c r="M14" s="1586"/>
      <c r="N14" s="1586"/>
      <c r="O14" s="1586"/>
      <c r="P14" s="1586"/>
      <c r="Q14" s="1601" t="s">
        <v>1038</v>
      </c>
      <c r="R14" s="1601"/>
      <c r="S14" s="1601"/>
      <c r="T14" s="1638"/>
      <c r="U14" s="1639" t="s">
        <v>1039</v>
      </c>
      <c r="V14" s="1640"/>
      <c r="W14" s="1640"/>
      <c r="X14" s="1640"/>
      <c r="Y14" s="1640"/>
      <c r="Z14" s="1640"/>
      <c r="AA14" s="1640"/>
      <c r="AB14" s="1640"/>
      <c r="AC14" s="1640"/>
      <c r="AD14" s="1640"/>
      <c r="AE14" s="1641"/>
      <c r="AF14" s="102"/>
    </row>
    <row r="15" spans="1:33" ht="17.25" customHeight="1">
      <c r="A15" s="100"/>
      <c r="B15" s="1600"/>
      <c r="C15" s="1601"/>
      <c r="D15" s="1601"/>
      <c r="E15" s="1601"/>
      <c r="F15" s="1586"/>
      <c r="G15" s="1586"/>
      <c r="H15" s="1586"/>
      <c r="I15" s="1586"/>
      <c r="J15" s="1586"/>
      <c r="K15" s="1586"/>
      <c r="L15" s="1586"/>
      <c r="M15" s="1586"/>
      <c r="N15" s="1586"/>
      <c r="O15" s="1586"/>
      <c r="P15" s="1586"/>
      <c r="Q15" s="1601"/>
      <c r="R15" s="1601"/>
      <c r="S15" s="1601"/>
      <c r="T15" s="1638"/>
      <c r="U15" s="1560" t="s">
        <v>1040</v>
      </c>
      <c r="V15" s="1561"/>
      <c r="W15" s="116"/>
      <c r="X15" s="116"/>
      <c r="Y15" s="116"/>
      <c r="Z15" s="116"/>
      <c r="AA15" s="116"/>
      <c r="AB15" s="116"/>
      <c r="AC15" s="116"/>
      <c r="AD15" s="116"/>
      <c r="AE15" s="117"/>
      <c r="AF15" s="102"/>
    </row>
    <row r="16" spans="1:33" ht="17.25" customHeight="1">
      <c r="A16" s="100"/>
      <c r="B16" s="1600" t="s">
        <v>1041</v>
      </c>
      <c r="C16" s="1601"/>
      <c r="D16" s="1601"/>
      <c r="E16" s="1601"/>
      <c r="F16" s="1586"/>
      <c r="G16" s="1586"/>
      <c r="H16" s="1586"/>
      <c r="I16" s="1586"/>
      <c r="J16" s="1586"/>
      <c r="K16" s="1586"/>
      <c r="L16" s="1586"/>
      <c r="M16" s="1586"/>
      <c r="N16" s="1586"/>
      <c r="O16" s="1586"/>
      <c r="P16" s="1586"/>
      <c r="Q16" s="1601" t="s">
        <v>1042</v>
      </c>
      <c r="R16" s="1601"/>
      <c r="S16" s="1601"/>
      <c r="T16" s="1601"/>
      <c r="U16" s="1639" t="s">
        <v>1043</v>
      </c>
      <c r="V16" s="1640"/>
      <c r="W16" s="1640"/>
      <c r="X16" s="1640"/>
      <c r="Y16" s="1640"/>
      <c r="Z16" s="1640"/>
      <c r="AA16" s="1640"/>
      <c r="AB16" s="1640"/>
      <c r="AC16" s="1640"/>
      <c r="AD16" s="1640"/>
      <c r="AE16" s="1641"/>
      <c r="AF16" s="102"/>
    </row>
    <row r="17" spans="1:32" ht="17.25" customHeight="1">
      <c r="A17" s="100"/>
      <c r="B17" s="1600"/>
      <c r="C17" s="1601"/>
      <c r="D17" s="1601"/>
      <c r="E17" s="1601"/>
      <c r="F17" s="1586"/>
      <c r="G17" s="1586"/>
      <c r="H17" s="1586"/>
      <c r="I17" s="1586"/>
      <c r="J17" s="1586"/>
      <c r="K17" s="1586"/>
      <c r="L17" s="1586"/>
      <c r="M17" s="1586"/>
      <c r="N17" s="1586"/>
      <c r="O17" s="1586"/>
      <c r="P17" s="1586"/>
      <c r="Q17" s="1601"/>
      <c r="R17" s="1601"/>
      <c r="S17" s="1601"/>
      <c r="T17" s="1601"/>
      <c r="U17" s="1653"/>
      <c r="V17" s="1654"/>
      <c r="W17" s="1654"/>
      <c r="X17" s="1654"/>
      <c r="Y17" s="1654"/>
      <c r="Z17" s="1654"/>
      <c r="AA17" s="1654"/>
      <c r="AB17" s="1654"/>
      <c r="AC17" s="1654"/>
      <c r="AD17" s="1654"/>
      <c r="AE17" s="1655"/>
      <c r="AF17" s="102"/>
    </row>
    <row r="18" spans="1:32" ht="17.25" customHeight="1">
      <c r="A18" s="100"/>
      <c r="B18" s="1600"/>
      <c r="C18" s="1601"/>
      <c r="D18" s="1601"/>
      <c r="E18" s="1601"/>
      <c r="F18" s="1586"/>
      <c r="G18" s="1586"/>
      <c r="H18" s="1586"/>
      <c r="I18" s="1586"/>
      <c r="J18" s="1586"/>
      <c r="K18" s="1586"/>
      <c r="L18" s="1586"/>
      <c r="M18" s="1586"/>
      <c r="N18" s="1586"/>
      <c r="O18" s="1586"/>
      <c r="P18" s="1586"/>
      <c r="Q18" s="1601"/>
      <c r="R18" s="1601"/>
      <c r="S18" s="1601"/>
      <c r="T18" s="1601"/>
      <c r="U18" s="1656"/>
      <c r="V18" s="1657"/>
      <c r="W18" s="1657"/>
      <c r="X18" s="1657"/>
      <c r="Y18" s="1657"/>
      <c r="Z18" s="1657"/>
      <c r="AA18" s="1657"/>
      <c r="AB18" s="1657"/>
      <c r="AC18" s="1657"/>
      <c r="AD18" s="1657"/>
      <c r="AE18" s="1658"/>
      <c r="AF18" s="102"/>
    </row>
    <row r="19" spans="1:32" ht="17.25" customHeight="1">
      <c r="A19" s="100"/>
      <c r="B19" s="1610" t="s">
        <v>1044</v>
      </c>
      <c r="C19" s="1603"/>
      <c r="D19" s="1603"/>
      <c r="E19" s="1603"/>
      <c r="F19" s="1588"/>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3"/>
      <c r="AF19" s="102"/>
    </row>
    <row r="20" spans="1:32" ht="17.25" customHeight="1" thickBot="1">
      <c r="A20" s="100"/>
      <c r="B20" s="1611"/>
      <c r="C20" s="1612"/>
      <c r="D20" s="1612"/>
      <c r="E20" s="1612"/>
      <c r="F20" s="1589"/>
      <c r="G20" s="1572"/>
      <c r="H20" s="1572"/>
      <c r="I20" s="1572"/>
      <c r="J20" s="1572"/>
      <c r="K20" s="1572"/>
      <c r="L20" s="1572"/>
      <c r="M20" s="1572"/>
      <c r="N20" s="1572"/>
      <c r="O20" s="1572"/>
      <c r="P20" s="1572"/>
      <c r="Q20" s="1572"/>
      <c r="R20" s="1572"/>
      <c r="S20" s="1572"/>
      <c r="T20" s="1572"/>
      <c r="U20" s="1572"/>
      <c r="V20" s="1572"/>
      <c r="W20" s="1572"/>
      <c r="X20" s="1572"/>
      <c r="Y20" s="1572"/>
      <c r="Z20" s="1572"/>
      <c r="AA20" s="1572"/>
      <c r="AB20" s="1572"/>
      <c r="AC20" s="1572"/>
      <c r="AD20" s="1572"/>
      <c r="AE20" s="1574"/>
      <c r="AF20" s="102"/>
    </row>
    <row r="21" spans="1:32" ht="17.25" customHeight="1">
      <c r="A21" s="100"/>
      <c r="B21" s="1620" t="s">
        <v>1045</v>
      </c>
      <c r="C21" s="1621"/>
      <c r="D21" s="1621"/>
      <c r="E21" s="1621"/>
      <c r="F21" s="1624"/>
      <c r="G21" s="1624"/>
      <c r="H21" s="1624"/>
      <c r="I21" s="1624"/>
      <c r="J21" s="1624"/>
      <c r="K21" s="1624"/>
      <c r="L21" s="1624"/>
      <c r="M21" s="1624"/>
      <c r="N21" s="1624"/>
      <c r="O21" s="1624"/>
      <c r="P21" s="1624"/>
      <c r="Q21" s="1626" t="s">
        <v>1046</v>
      </c>
      <c r="R21" s="1627"/>
      <c r="S21" s="1627"/>
      <c r="T21" s="1628"/>
      <c r="U21" s="1632"/>
      <c r="V21" s="1608"/>
      <c r="W21" s="1608"/>
      <c r="X21" s="1606" t="s">
        <v>612</v>
      </c>
      <c r="Y21" s="1608"/>
      <c r="Z21" s="1608"/>
      <c r="AA21" s="1608"/>
      <c r="AB21" s="1606" t="s">
        <v>612</v>
      </c>
      <c r="AC21" s="1608"/>
      <c r="AD21" s="1608"/>
      <c r="AE21" s="1609"/>
      <c r="AF21" s="102"/>
    </row>
    <row r="22" spans="1:32" ht="17.25" customHeight="1">
      <c r="A22" s="100"/>
      <c r="B22" s="1622"/>
      <c r="C22" s="1623"/>
      <c r="D22" s="1623"/>
      <c r="E22" s="1623"/>
      <c r="F22" s="1625"/>
      <c r="G22" s="1625"/>
      <c r="H22" s="1625"/>
      <c r="I22" s="1625"/>
      <c r="J22" s="1625"/>
      <c r="K22" s="1625"/>
      <c r="L22" s="1625"/>
      <c r="M22" s="1625"/>
      <c r="N22" s="1625"/>
      <c r="O22" s="1625"/>
      <c r="P22" s="1625"/>
      <c r="Q22" s="1629"/>
      <c r="R22" s="1630"/>
      <c r="S22" s="1630"/>
      <c r="T22" s="1631"/>
      <c r="U22" s="1590"/>
      <c r="V22" s="1591"/>
      <c r="W22" s="1591"/>
      <c r="X22" s="1607"/>
      <c r="Y22" s="1591"/>
      <c r="Z22" s="1591"/>
      <c r="AA22" s="1591"/>
      <c r="AB22" s="1607"/>
      <c r="AC22" s="1591"/>
      <c r="AD22" s="1591"/>
      <c r="AE22" s="1593"/>
      <c r="AF22" s="102"/>
    </row>
    <row r="23" spans="1:32" ht="17.25" customHeight="1">
      <c r="A23" s="100"/>
      <c r="B23" s="1610" t="s">
        <v>1047</v>
      </c>
      <c r="C23" s="1603"/>
      <c r="D23" s="1603"/>
      <c r="E23" s="1603"/>
      <c r="F23" s="1588"/>
      <c r="G23" s="1571"/>
      <c r="H23" s="1571"/>
      <c r="I23" s="1571"/>
      <c r="J23" s="1571"/>
      <c r="K23" s="1571"/>
      <c r="L23" s="1571"/>
      <c r="M23" s="1571"/>
      <c r="N23" s="1571"/>
      <c r="O23" s="1571"/>
      <c r="P23" s="1613"/>
      <c r="Q23" s="1603" t="s">
        <v>1048</v>
      </c>
      <c r="R23" s="1603"/>
      <c r="S23" s="1603"/>
      <c r="T23" s="1603"/>
      <c r="U23" s="1618" t="s">
        <v>1049</v>
      </c>
      <c r="V23" s="1618"/>
      <c r="W23" s="1618"/>
      <c r="X23" s="233" t="s">
        <v>1050</v>
      </c>
      <c r="Y23" s="105" t="s">
        <v>1026</v>
      </c>
      <c r="Z23" s="233" t="s">
        <v>1051</v>
      </c>
      <c r="AA23" s="240" t="s">
        <v>1052</v>
      </c>
      <c r="AB23" s="240"/>
      <c r="AC23" s="240"/>
      <c r="AD23" s="240"/>
      <c r="AE23" s="241"/>
      <c r="AF23" s="102"/>
    </row>
    <row r="24" spans="1:32" ht="17.25" customHeight="1">
      <c r="A24" s="100"/>
      <c r="B24" s="1610"/>
      <c r="C24" s="1603"/>
      <c r="D24" s="1603"/>
      <c r="E24" s="1603"/>
      <c r="F24" s="1614"/>
      <c r="G24" s="1615"/>
      <c r="H24" s="1615"/>
      <c r="I24" s="1615"/>
      <c r="J24" s="1615"/>
      <c r="K24" s="1615"/>
      <c r="L24" s="1615"/>
      <c r="M24" s="1615"/>
      <c r="N24" s="1615"/>
      <c r="O24" s="1615"/>
      <c r="P24" s="1616"/>
      <c r="Q24" s="1603"/>
      <c r="R24" s="1603"/>
      <c r="S24" s="1603"/>
      <c r="T24" s="1603"/>
      <c r="U24" s="1614"/>
      <c r="V24" s="1615"/>
      <c r="W24" s="1615"/>
      <c r="X24" s="1615"/>
      <c r="Y24" s="1615"/>
      <c r="Z24" s="1615"/>
      <c r="AA24" s="1615"/>
      <c r="AB24" s="1615"/>
      <c r="AC24" s="1615"/>
      <c r="AD24" s="1615"/>
      <c r="AE24" s="1619"/>
      <c r="AF24" s="102"/>
    </row>
    <row r="25" spans="1:32" ht="17.25" customHeight="1" thickBot="1">
      <c r="A25" s="100"/>
      <c r="B25" s="1611"/>
      <c r="C25" s="1612"/>
      <c r="D25" s="1612"/>
      <c r="E25" s="1612"/>
      <c r="F25" s="1589"/>
      <c r="G25" s="1572"/>
      <c r="H25" s="1572"/>
      <c r="I25" s="1572"/>
      <c r="J25" s="1572"/>
      <c r="K25" s="1572"/>
      <c r="L25" s="1572"/>
      <c r="M25" s="1572"/>
      <c r="N25" s="1572"/>
      <c r="O25" s="1572"/>
      <c r="P25" s="1617"/>
      <c r="Q25" s="1612"/>
      <c r="R25" s="1612"/>
      <c r="S25" s="1612"/>
      <c r="T25" s="1612"/>
      <c r="U25" s="1589"/>
      <c r="V25" s="1572"/>
      <c r="W25" s="1572"/>
      <c r="X25" s="1572"/>
      <c r="Y25" s="1572"/>
      <c r="Z25" s="1572"/>
      <c r="AA25" s="1572"/>
      <c r="AB25" s="1572"/>
      <c r="AC25" s="1572"/>
      <c r="AD25" s="1572"/>
      <c r="AE25" s="1574"/>
      <c r="AF25" s="102"/>
    </row>
    <row r="26" spans="1:32" ht="10.35" customHeight="1">
      <c r="A26" s="100"/>
      <c r="AF26" s="102"/>
    </row>
    <row r="27" spans="1:32" s="107" customFormat="1" ht="23.25" customHeight="1">
      <c r="A27" s="106"/>
      <c r="B27" s="107" t="s">
        <v>1053</v>
      </c>
      <c r="C27" s="107" t="s">
        <v>1054</v>
      </c>
      <c r="N27" s="1633" t="s">
        <v>1055</v>
      </c>
      <c r="O27" s="1633"/>
      <c r="P27" s="1633"/>
      <c r="Q27" s="1633"/>
      <c r="R27" s="1633"/>
      <c r="S27" s="1633"/>
      <c r="T27" s="1633"/>
      <c r="U27" s="1633"/>
      <c r="V27" s="1633"/>
      <c r="W27" s="1633"/>
      <c r="X27" s="1633"/>
      <c r="Y27" s="1633"/>
      <c r="Z27" s="1633"/>
      <c r="AA27" s="1633"/>
      <c r="AB27" s="1633"/>
      <c r="AC27" s="1633"/>
      <c r="AD27" s="1633"/>
      <c r="AE27" s="1633"/>
      <c r="AF27" s="108"/>
    </row>
    <row r="28" spans="1:32" ht="10.35" customHeight="1">
      <c r="A28" s="100"/>
      <c r="AF28" s="102"/>
    </row>
    <row r="29" spans="1:32" ht="15.75" customHeight="1">
      <c r="A29" s="106"/>
      <c r="B29" s="1597" t="s">
        <v>1056</v>
      </c>
      <c r="C29" s="1597"/>
      <c r="D29" s="1597"/>
      <c r="E29" s="1597"/>
      <c r="F29" s="1597"/>
      <c r="G29" s="1597"/>
      <c r="H29" s="1597"/>
      <c r="I29" s="1597"/>
      <c r="J29" s="1597"/>
      <c r="K29" s="1597"/>
      <c r="L29" s="1597"/>
      <c r="M29" s="1597"/>
      <c r="N29" s="1597"/>
      <c r="O29" s="1597"/>
      <c r="P29" s="1597"/>
      <c r="Q29" s="1597"/>
      <c r="R29" s="1597"/>
      <c r="S29" s="1597"/>
      <c r="T29" s="1597"/>
      <c r="U29" s="1597"/>
      <c r="V29" s="1597"/>
      <c r="W29" s="1597"/>
      <c r="X29" s="1597"/>
      <c r="Y29" s="1597"/>
      <c r="Z29" s="1597"/>
      <c r="AA29" s="1597"/>
      <c r="AB29" s="1597"/>
      <c r="AC29" s="1597"/>
      <c r="AD29" s="1597"/>
      <c r="AE29" s="1597"/>
      <c r="AF29" s="108"/>
    </row>
    <row r="30" spans="1:32" ht="10.35" customHeight="1" thickBot="1">
      <c r="A30" s="100"/>
      <c r="AF30" s="102"/>
    </row>
    <row r="31" spans="1:32" ht="18" customHeight="1">
      <c r="A31" s="100"/>
      <c r="B31" s="1598" t="s">
        <v>1057</v>
      </c>
      <c r="C31" s="1599"/>
      <c r="D31" s="1599" t="s">
        <v>1058</v>
      </c>
      <c r="E31" s="1599"/>
      <c r="F31" s="1599"/>
      <c r="G31" s="1599"/>
      <c r="H31" s="1599"/>
      <c r="I31" s="1599"/>
      <c r="J31" s="1599"/>
      <c r="K31" s="1599"/>
      <c r="L31" s="1602" t="s">
        <v>1059</v>
      </c>
      <c r="M31" s="1602"/>
      <c r="N31" s="1602"/>
      <c r="O31" s="1599" t="s">
        <v>1060</v>
      </c>
      <c r="P31" s="1599"/>
      <c r="Q31" s="1599"/>
      <c r="R31" s="1599"/>
      <c r="S31" s="1599"/>
      <c r="T31" s="1599"/>
      <c r="U31" s="1599"/>
      <c r="V31" s="1599"/>
      <c r="W31" s="1599" t="s">
        <v>1036</v>
      </c>
      <c r="X31" s="1599"/>
      <c r="Y31" s="1599"/>
      <c r="Z31" s="1599"/>
      <c r="AA31" s="1599"/>
      <c r="AB31" s="1599"/>
      <c r="AC31" s="1599"/>
      <c r="AD31" s="1599"/>
      <c r="AE31" s="1604"/>
      <c r="AF31" s="102"/>
    </row>
    <row r="32" spans="1:32" ht="18" customHeight="1">
      <c r="A32" s="100"/>
      <c r="B32" s="1600"/>
      <c r="C32" s="1601"/>
      <c r="D32" s="1601"/>
      <c r="E32" s="1601"/>
      <c r="F32" s="1601"/>
      <c r="G32" s="1601"/>
      <c r="H32" s="1601"/>
      <c r="I32" s="1601"/>
      <c r="J32" s="1601"/>
      <c r="K32" s="1601"/>
      <c r="L32" s="1603"/>
      <c r="M32" s="1603"/>
      <c r="N32" s="1603"/>
      <c r="O32" s="1601"/>
      <c r="P32" s="1601"/>
      <c r="Q32" s="1601"/>
      <c r="R32" s="1601"/>
      <c r="S32" s="1601"/>
      <c r="T32" s="1601"/>
      <c r="U32" s="1601"/>
      <c r="V32" s="1601"/>
      <c r="W32" s="1601"/>
      <c r="X32" s="1601"/>
      <c r="Y32" s="1601"/>
      <c r="Z32" s="1601"/>
      <c r="AA32" s="1601"/>
      <c r="AB32" s="1601"/>
      <c r="AC32" s="1601"/>
      <c r="AD32" s="1601"/>
      <c r="AE32" s="1605"/>
      <c r="AF32" s="102"/>
    </row>
    <row r="33" spans="1:32" ht="12" customHeight="1">
      <c r="A33" s="100"/>
      <c r="B33" s="1578" t="s">
        <v>1061</v>
      </c>
      <c r="C33" s="1579"/>
      <c r="D33" s="1582" t="s">
        <v>1062</v>
      </c>
      <c r="E33" s="1583"/>
      <c r="F33" s="1584"/>
      <c r="G33" s="1584"/>
      <c r="H33" s="1584"/>
      <c r="I33" s="1584"/>
      <c r="J33" s="1584"/>
      <c r="K33" s="1585"/>
      <c r="L33" s="1586"/>
      <c r="M33" s="1586"/>
      <c r="N33" s="1586"/>
      <c r="O33" s="1586"/>
      <c r="P33" s="1586"/>
      <c r="Q33" s="1586"/>
      <c r="R33" s="1586"/>
      <c r="S33" s="1586"/>
      <c r="T33" s="1586"/>
      <c r="U33" s="1586"/>
      <c r="V33" s="1586"/>
      <c r="W33" s="1588"/>
      <c r="X33" s="1571"/>
      <c r="Y33" s="1569" t="s">
        <v>612</v>
      </c>
      <c r="Z33" s="1571"/>
      <c r="AA33" s="1571"/>
      <c r="AB33" s="1569" t="s">
        <v>612</v>
      </c>
      <c r="AC33" s="1571"/>
      <c r="AD33" s="1571"/>
      <c r="AE33" s="1573"/>
      <c r="AF33" s="102"/>
    </row>
    <row r="34" spans="1:32" ht="24" customHeight="1">
      <c r="A34" s="100"/>
      <c r="B34" s="1578"/>
      <c r="C34" s="1579"/>
      <c r="D34" s="1594"/>
      <c r="E34" s="1595"/>
      <c r="F34" s="1595"/>
      <c r="G34" s="1595"/>
      <c r="H34" s="1595"/>
      <c r="I34" s="1595"/>
      <c r="J34" s="1595"/>
      <c r="K34" s="1596"/>
      <c r="L34" s="1586"/>
      <c r="M34" s="1586"/>
      <c r="N34" s="1586"/>
      <c r="O34" s="1586"/>
      <c r="P34" s="1586"/>
      <c r="Q34" s="1586"/>
      <c r="R34" s="1586"/>
      <c r="S34" s="1586"/>
      <c r="T34" s="1586"/>
      <c r="U34" s="1586"/>
      <c r="V34" s="1586"/>
      <c r="W34" s="1590"/>
      <c r="X34" s="1591"/>
      <c r="Y34" s="1592"/>
      <c r="Z34" s="1591"/>
      <c r="AA34" s="1591"/>
      <c r="AB34" s="1592"/>
      <c r="AC34" s="1591"/>
      <c r="AD34" s="1591"/>
      <c r="AE34" s="1593"/>
      <c r="AF34" s="102"/>
    </row>
    <row r="35" spans="1:32" ht="12" customHeight="1">
      <c r="A35" s="100"/>
      <c r="B35" s="1578" t="s">
        <v>1063</v>
      </c>
      <c r="C35" s="1579"/>
      <c r="D35" s="1582" t="s">
        <v>1062</v>
      </c>
      <c r="E35" s="1583"/>
      <c r="F35" s="1584"/>
      <c r="G35" s="1584"/>
      <c r="H35" s="1584"/>
      <c r="I35" s="1584"/>
      <c r="J35" s="1584"/>
      <c r="K35" s="1585"/>
      <c r="L35" s="1586"/>
      <c r="M35" s="1586"/>
      <c r="N35" s="1586"/>
      <c r="O35" s="1586"/>
      <c r="P35" s="1586"/>
      <c r="Q35" s="1586"/>
      <c r="R35" s="1586"/>
      <c r="S35" s="1586"/>
      <c r="T35" s="1586"/>
      <c r="U35" s="1586"/>
      <c r="V35" s="1586"/>
      <c r="W35" s="1588"/>
      <c r="X35" s="1571"/>
      <c r="Y35" s="1569" t="s">
        <v>612</v>
      </c>
      <c r="Z35" s="1571"/>
      <c r="AA35" s="1571"/>
      <c r="AB35" s="1569" t="s">
        <v>612</v>
      </c>
      <c r="AC35" s="1571"/>
      <c r="AD35" s="1571"/>
      <c r="AE35" s="1573"/>
      <c r="AF35" s="102"/>
    </row>
    <row r="36" spans="1:32" ht="24" customHeight="1">
      <c r="A36" s="100"/>
      <c r="B36" s="1578"/>
      <c r="C36" s="1579"/>
      <c r="D36" s="1594"/>
      <c r="E36" s="1595"/>
      <c r="F36" s="1595"/>
      <c r="G36" s="1595"/>
      <c r="H36" s="1595"/>
      <c r="I36" s="1595"/>
      <c r="J36" s="1595"/>
      <c r="K36" s="1596"/>
      <c r="L36" s="1586"/>
      <c r="M36" s="1586"/>
      <c r="N36" s="1586"/>
      <c r="O36" s="1586"/>
      <c r="P36" s="1586"/>
      <c r="Q36" s="1586"/>
      <c r="R36" s="1586"/>
      <c r="S36" s="1586"/>
      <c r="T36" s="1586"/>
      <c r="U36" s="1586"/>
      <c r="V36" s="1586"/>
      <c r="W36" s="1590"/>
      <c r="X36" s="1591"/>
      <c r="Y36" s="1592"/>
      <c r="Z36" s="1591"/>
      <c r="AA36" s="1591"/>
      <c r="AB36" s="1592"/>
      <c r="AC36" s="1591"/>
      <c r="AD36" s="1591"/>
      <c r="AE36" s="1593"/>
      <c r="AF36" s="102"/>
    </row>
    <row r="37" spans="1:32" ht="12" customHeight="1">
      <c r="A37" s="100"/>
      <c r="B37" s="1578" t="s">
        <v>1064</v>
      </c>
      <c r="C37" s="1579"/>
      <c r="D37" s="1582" t="s">
        <v>1062</v>
      </c>
      <c r="E37" s="1583"/>
      <c r="F37" s="1584"/>
      <c r="G37" s="1584"/>
      <c r="H37" s="1584"/>
      <c r="I37" s="1584"/>
      <c r="J37" s="1584"/>
      <c r="K37" s="1585"/>
      <c r="L37" s="1586"/>
      <c r="M37" s="1586"/>
      <c r="N37" s="1586"/>
      <c r="O37" s="1586"/>
      <c r="P37" s="1586"/>
      <c r="Q37" s="1586"/>
      <c r="R37" s="1586"/>
      <c r="S37" s="1586"/>
      <c r="T37" s="1586"/>
      <c r="U37" s="1586"/>
      <c r="V37" s="1586"/>
      <c r="W37" s="1588"/>
      <c r="X37" s="1571"/>
      <c r="Y37" s="1569" t="s">
        <v>612</v>
      </c>
      <c r="Z37" s="1571"/>
      <c r="AA37" s="1571"/>
      <c r="AB37" s="1569" t="s">
        <v>612</v>
      </c>
      <c r="AC37" s="1571"/>
      <c r="AD37" s="1571"/>
      <c r="AE37" s="1573"/>
      <c r="AF37" s="102"/>
    </row>
    <row r="38" spans="1:32" ht="24" customHeight="1" thickBot="1">
      <c r="A38" s="100"/>
      <c r="B38" s="1580"/>
      <c r="C38" s="1581"/>
      <c r="D38" s="1575"/>
      <c r="E38" s="1576"/>
      <c r="F38" s="1576"/>
      <c r="G38" s="1576"/>
      <c r="H38" s="1576"/>
      <c r="I38" s="1576"/>
      <c r="J38" s="1576"/>
      <c r="K38" s="1577"/>
      <c r="L38" s="1587"/>
      <c r="M38" s="1587"/>
      <c r="N38" s="1587"/>
      <c r="O38" s="1587"/>
      <c r="P38" s="1587"/>
      <c r="Q38" s="1587"/>
      <c r="R38" s="1587"/>
      <c r="S38" s="1587"/>
      <c r="T38" s="1587"/>
      <c r="U38" s="1587"/>
      <c r="V38" s="1587"/>
      <c r="W38" s="1589"/>
      <c r="X38" s="1572"/>
      <c r="Y38" s="1570"/>
      <c r="Z38" s="1572"/>
      <c r="AA38" s="1572"/>
      <c r="AB38" s="1570"/>
      <c r="AC38" s="1572"/>
      <c r="AD38" s="1572"/>
      <c r="AE38" s="1574"/>
      <c r="AF38" s="102"/>
    </row>
    <row r="39" spans="1:32" ht="10.35" customHeight="1">
      <c r="A39" s="100"/>
      <c r="AF39" s="102"/>
    </row>
    <row r="40" spans="1:32" ht="18" customHeight="1">
      <c r="A40" s="100"/>
      <c r="B40" s="1562"/>
      <c r="C40" s="1562"/>
      <c r="D40" s="1562"/>
      <c r="E40" s="1562"/>
      <c r="F40" s="1562"/>
      <c r="G40" s="1562"/>
      <c r="H40" s="1562"/>
      <c r="I40" s="1562"/>
      <c r="J40" s="1562"/>
      <c r="K40" s="1562"/>
      <c r="L40" s="1562"/>
      <c r="M40" s="1562"/>
      <c r="N40" s="1562"/>
      <c r="O40" s="1562"/>
      <c r="P40" s="1562"/>
      <c r="Q40" s="1562"/>
      <c r="R40" s="1562"/>
      <c r="S40" s="1562"/>
      <c r="T40" s="1562"/>
      <c r="U40" s="1562"/>
      <c r="V40" s="1562"/>
      <c r="W40" s="1562"/>
      <c r="X40" s="1562"/>
      <c r="Y40" s="1562"/>
      <c r="Z40" s="1562"/>
      <c r="AA40" s="1562"/>
      <c r="AB40" s="1562"/>
      <c r="AC40" s="1562"/>
      <c r="AD40" s="1562"/>
      <c r="AE40" s="1562"/>
      <c r="AF40" s="102"/>
    </row>
    <row r="41" spans="1:32" ht="18" customHeight="1">
      <c r="A41" s="100"/>
      <c r="B41" s="1562"/>
      <c r="C41" s="1562"/>
      <c r="D41" s="1562"/>
      <c r="E41" s="1562"/>
      <c r="F41" s="1562"/>
      <c r="G41" s="1562"/>
      <c r="H41" s="1562"/>
      <c r="I41" s="1562"/>
      <c r="J41" s="1562"/>
      <c r="K41" s="1562"/>
      <c r="L41" s="1562"/>
      <c r="M41" s="1562"/>
      <c r="N41" s="1562"/>
      <c r="O41" s="1562"/>
      <c r="P41" s="1562"/>
      <c r="Q41" s="1562"/>
      <c r="R41" s="1562"/>
      <c r="S41" s="1562"/>
      <c r="T41" s="1562"/>
      <c r="U41" s="1562"/>
      <c r="V41" s="1562"/>
      <c r="W41" s="1562"/>
      <c r="X41" s="1562"/>
      <c r="Y41" s="1562"/>
      <c r="Z41" s="1562"/>
      <c r="AA41" s="1562"/>
      <c r="AB41" s="1562"/>
      <c r="AC41" s="1562"/>
      <c r="AD41" s="1562"/>
      <c r="AE41" s="1562"/>
      <c r="AF41" s="102"/>
    </row>
    <row r="42" spans="1:32" ht="18" customHeight="1">
      <c r="A42" s="100"/>
      <c r="B42" s="109" t="s">
        <v>1018</v>
      </c>
      <c r="C42" s="1563" t="s">
        <v>1065</v>
      </c>
      <c r="D42" s="1563"/>
      <c r="E42" s="1563"/>
      <c r="F42" s="1563"/>
      <c r="G42" s="1563"/>
      <c r="H42" s="1563"/>
      <c r="I42" s="1563"/>
      <c r="J42" s="1563"/>
      <c r="K42" s="1563"/>
      <c r="L42" s="1563"/>
      <c r="M42" s="1563"/>
      <c r="N42" s="1563"/>
      <c r="O42" s="1563"/>
      <c r="P42" s="1563"/>
      <c r="Q42" s="1563"/>
      <c r="R42" s="1563"/>
      <c r="S42" s="1563"/>
      <c r="T42" s="1563"/>
      <c r="U42" s="1563"/>
      <c r="V42" s="1563"/>
      <c r="W42" s="1563"/>
      <c r="X42" s="1563"/>
      <c r="Y42" s="1563"/>
      <c r="Z42" s="1563"/>
      <c r="AA42" s="1563"/>
      <c r="AB42" s="1563"/>
      <c r="AC42" s="1563"/>
      <c r="AD42" s="1563"/>
      <c r="AE42" s="1563"/>
      <c r="AF42" s="102"/>
    </row>
    <row r="43" spans="1:32" ht="15.75" customHeight="1">
      <c r="A43" s="100"/>
      <c r="B43" s="1564"/>
      <c r="C43" s="1564"/>
      <c r="D43" s="1564"/>
      <c r="E43" s="1564"/>
      <c r="F43" s="1564"/>
      <c r="G43" s="1564"/>
      <c r="H43" s="1564"/>
      <c r="I43" s="1564"/>
      <c r="J43" s="1564"/>
      <c r="K43" s="1564"/>
      <c r="L43" s="1564"/>
      <c r="M43" s="1564"/>
      <c r="N43" s="1564"/>
      <c r="O43" s="1564"/>
      <c r="P43" s="1564"/>
      <c r="Q43" s="1564"/>
      <c r="R43" s="1564"/>
      <c r="S43" s="1564"/>
      <c r="T43" s="1564"/>
      <c r="U43" s="1564"/>
      <c r="V43" s="1564"/>
      <c r="W43" s="1564"/>
      <c r="X43" s="1564"/>
      <c r="Y43" s="1564"/>
      <c r="Z43" s="1564"/>
      <c r="AA43" s="1564"/>
      <c r="AB43" s="1564"/>
      <c r="AC43" s="1564"/>
      <c r="AD43" s="1564"/>
      <c r="AE43" s="1564"/>
      <c r="AF43" s="102"/>
    </row>
    <row r="44" spans="1:32" ht="15.75" customHeight="1">
      <c r="A44" s="100"/>
      <c r="B44" s="1558" t="s">
        <v>1066</v>
      </c>
      <c r="C44" s="1559"/>
      <c r="D44" s="1559"/>
      <c r="E44" s="1559"/>
      <c r="F44" s="1559"/>
      <c r="G44" s="528"/>
      <c r="H44" s="1558" t="s">
        <v>1067</v>
      </c>
      <c r="I44" s="1559"/>
      <c r="J44" s="1556"/>
      <c r="K44" s="1565"/>
      <c r="L44" s="1566"/>
      <c r="M44" s="1559" t="s">
        <v>1030</v>
      </c>
      <c r="N44" s="1566"/>
      <c r="O44" s="1559" t="s">
        <v>1068</v>
      </c>
      <c r="P44" s="1566"/>
      <c r="Q44" s="1556" t="s">
        <v>706</v>
      </c>
      <c r="R44" s="1558" t="s">
        <v>1069</v>
      </c>
      <c r="S44" s="1559"/>
      <c r="T44" s="1556"/>
      <c r="U44" s="1558"/>
      <c r="V44" s="1559"/>
      <c r="W44" s="1556"/>
      <c r="X44" s="1558" t="s">
        <v>1070</v>
      </c>
      <c r="Y44" s="1559"/>
      <c r="Z44" s="1559"/>
      <c r="AA44" s="1559"/>
      <c r="AB44" s="1556"/>
      <c r="AC44" s="1558"/>
      <c r="AD44" s="1559"/>
      <c r="AE44" s="1556"/>
      <c r="AF44" s="102"/>
    </row>
    <row r="45" spans="1:32" ht="15.75" customHeight="1">
      <c r="A45" s="100"/>
      <c r="B45" s="1560"/>
      <c r="C45" s="1561"/>
      <c r="D45" s="1561"/>
      <c r="E45" s="1561"/>
      <c r="F45" s="1561"/>
      <c r="G45" s="529"/>
      <c r="H45" s="1560"/>
      <c r="I45" s="1561"/>
      <c r="J45" s="1557"/>
      <c r="K45" s="1567"/>
      <c r="L45" s="1568"/>
      <c r="M45" s="1561"/>
      <c r="N45" s="1568"/>
      <c r="O45" s="1561"/>
      <c r="P45" s="1568"/>
      <c r="Q45" s="1557"/>
      <c r="R45" s="1560"/>
      <c r="S45" s="1561"/>
      <c r="T45" s="1557"/>
      <c r="U45" s="1560"/>
      <c r="V45" s="1561"/>
      <c r="W45" s="1557"/>
      <c r="X45" s="1560"/>
      <c r="Y45" s="1561"/>
      <c r="Z45" s="1561"/>
      <c r="AA45" s="1561"/>
      <c r="AB45" s="1557"/>
      <c r="AC45" s="1560"/>
      <c r="AD45" s="1561"/>
      <c r="AE45" s="1557"/>
      <c r="AF45" s="102"/>
    </row>
    <row r="46" spans="1:32" ht="15.75" customHeight="1">
      <c r="A46" s="100"/>
      <c r="B46" s="1559"/>
      <c r="C46" s="1559"/>
      <c r="D46" s="1559"/>
      <c r="E46" s="1559"/>
      <c r="F46" s="1559"/>
      <c r="G46" s="1559"/>
      <c r="H46" s="1559"/>
      <c r="I46" s="1559"/>
      <c r="J46" s="1559"/>
      <c r="K46" s="1559"/>
      <c r="L46" s="1559"/>
      <c r="M46" s="1559"/>
      <c r="N46" s="1559"/>
      <c r="O46" s="1559"/>
      <c r="P46" s="1559"/>
      <c r="Q46" s="1559"/>
      <c r="R46" s="1559"/>
      <c r="S46" s="1559"/>
      <c r="T46" s="1559"/>
      <c r="U46" s="1559"/>
      <c r="V46" s="1559"/>
      <c r="W46" s="1559"/>
      <c r="X46" s="1559"/>
      <c r="Y46" s="1559"/>
      <c r="Z46" s="1559"/>
      <c r="AA46" s="1559"/>
      <c r="AB46" s="1559"/>
      <c r="AC46" s="1559"/>
      <c r="AD46" s="1559"/>
      <c r="AE46" s="1559"/>
      <c r="AF46" s="102"/>
    </row>
    <row r="47" spans="1:32" ht="15.75" customHeight="1">
      <c r="A47" s="100"/>
      <c r="B47" s="1553" t="str">
        <f>IF(【マスター】!C7="","",【マスター】!C7)</f>
        <v>デイサービスさくら亭</v>
      </c>
      <c r="C47" s="1553"/>
      <c r="D47" s="1553"/>
      <c r="E47" s="1553"/>
      <c r="F47" s="1553"/>
      <c r="G47" s="1553"/>
      <c r="H47" s="1553"/>
      <c r="I47" s="1553"/>
      <c r="J47" s="1553"/>
      <c r="K47" s="1553"/>
      <c r="L47" s="1553"/>
      <c r="M47" s="1553"/>
      <c r="N47" s="1553"/>
      <c r="O47" s="1553"/>
      <c r="P47" s="1553"/>
      <c r="Q47" s="1553"/>
      <c r="R47" s="1553"/>
      <c r="S47" s="1553"/>
      <c r="T47" s="1553"/>
      <c r="U47" s="1553"/>
      <c r="V47" s="1553"/>
      <c r="W47" s="1553"/>
      <c r="X47" s="1553"/>
      <c r="Y47" s="1553"/>
      <c r="Z47" s="1553"/>
      <c r="AA47" s="1553"/>
      <c r="AB47" s="1553"/>
      <c r="AC47" s="1553"/>
      <c r="AD47" s="1553"/>
      <c r="AE47" s="1553"/>
      <c r="AF47" s="102"/>
    </row>
    <row r="48" spans="1:32" ht="15.75" customHeight="1">
      <c r="A48" s="100"/>
      <c r="B48" s="1553"/>
      <c r="C48" s="1553"/>
      <c r="D48" s="1553"/>
      <c r="E48" s="1553"/>
      <c r="F48" s="1553"/>
      <c r="G48" s="1553"/>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02"/>
    </row>
    <row r="49" spans="1:32" ht="15.75" customHeight="1">
      <c r="A49" s="100"/>
      <c r="B49" s="1554" t="str">
        <f>"☎:"&amp;【マスター】!C10</f>
        <v>☎:0532-39-7855</v>
      </c>
      <c r="C49" s="1554"/>
      <c r="D49" s="1554"/>
      <c r="E49" s="1554"/>
      <c r="F49" s="1554"/>
      <c r="G49" s="1554"/>
      <c r="H49" s="1554"/>
      <c r="I49" s="1554"/>
      <c r="J49" s="1554"/>
      <c r="K49" s="1554"/>
      <c r="L49" s="1554"/>
      <c r="M49" s="1554"/>
      <c r="N49" s="1554"/>
      <c r="O49" s="1554"/>
      <c r="P49" s="1554"/>
      <c r="Q49" s="1554"/>
      <c r="R49" s="1554"/>
      <c r="S49" s="1554"/>
      <c r="T49" s="1554"/>
      <c r="U49" s="1554"/>
      <c r="V49" s="1554"/>
      <c r="W49" s="1554"/>
      <c r="X49" s="1554"/>
      <c r="Y49" s="1554"/>
      <c r="Z49" s="1554"/>
      <c r="AA49" s="1554"/>
      <c r="AB49" s="1554"/>
      <c r="AC49" s="1554"/>
      <c r="AD49" s="1554"/>
      <c r="AE49" s="1554"/>
      <c r="AF49" s="102"/>
    </row>
    <row r="50" spans="1:32" ht="15.75" customHeight="1" thickBot="1">
      <c r="A50" s="110"/>
      <c r="B50" s="1555"/>
      <c r="C50" s="1555"/>
      <c r="D50" s="1555"/>
      <c r="E50" s="1555"/>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c r="AC50" s="1555"/>
      <c r="AD50" s="1555"/>
      <c r="AE50" s="1555"/>
      <c r="AF50" s="111"/>
    </row>
    <row r="51" spans="1:32" ht="15.75" customHeight="1"/>
    <row r="52" spans="1:32" ht="15.75" customHeight="1"/>
    <row r="53" spans="1:32" ht="15.75" customHeight="1"/>
    <row r="54" spans="1:32" ht="15.75" customHeight="1"/>
    <row r="55" spans="1:32" ht="15.75" customHeight="1"/>
    <row r="56" spans="1:32" ht="15.75" customHeight="1"/>
    <row r="57" spans="1:32" ht="15.75" customHeight="1"/>
    <row r="58" spans="1:32" ht="15.75" customHeight="1"/>
    <row r="59" spans="1:32" ht="15.75" customHeight="1"/>
    <row r="60" spans="1:32" ht="15.75" customHeight="1"/>
  </sheetData>
  <sheetProtection formatCells="0" formatColumns="0" formatRows="0" insertHyperlinks="0" selectLockedCells="1"/>
  <mergeCells count="124">
    <mergeCell ref="B1:AE2"/>
    <mergeCell ref="T5:AE6"/>
    <mergeCell ref="B7:E9"/>
    <mergeCell ref="F7:Q7"/>
    <mergeCell ref="S7:U9"/>
    <mergeCell ref="V7:AB7"/>
    <mergeCell ref="AC7:AD7"/>
    <mergeCell ref="V8:AB9"/>
    <mergeCell ref="AC8:AD9"/>
    <mergeCell ref="F8:O9"/>
    <mergeCell ref="P8:Q9"/>
    <mergeCell ref="B10:E11"/>
    <mergeCell ref="F10:H11"/>
    <mergeCell ref="I10:I11"/>
    <mergeCell ref="J10:J11"/>
    <mergeCell ref="K10:K11"/>
    <mergeCell ref="L10:L11"/>
    <mergeCell ref="AB10:AB11"/>
    <mergeCell ref="AC10:AD11"/>
    <mergeCell ref="AE10:AE11"/>
    <mergeCell ref="V10:V11"/>
    <mergeCell ref="W10:W11"/>
    <mergeCell ref="X10:X11"/>
    <mergeCell ref="Y10:Y11"/>
    <mergeCell ref="Z10:Z11"/>
    <mergeCell ref="AA10:AA11"/>
    <mergeCell ref="M10:M11"/>
    <mergeCell ref="N10:N11"/>
    <mergeCell ref="O10:O11"/>
    <mergeCell ref="P10:Q11"/>
    <mergeCell ref="R10:R11"/>
    <mergeCell ref="S10:U11"/>
    <mergeCell ref="B19:E20"/>
    <mergeCell ref="F19:AE20"/>
    <mergeCell ref="AC12:AE13"/>
    <mergeCell ref="B14:E15"/>
    <mergeCell ref="F14:P15"/>
    <mergeCell ref="Q14:T15"/>
    <mergeCell ref="U14:AE14"/>
    <mergeCell ref="U15:V15"/>
    <mergeCell ref="B12:E13"/>
    <mergeCell ref="F12:R13"/>
    <mergeCell ref="S12:U13"/>
    <mergeCell ref="V12:W13"/>
    <mergeCell ref="X12:X13"/>
    <mergeCell ref="Y12:AA13"/>
    <mergeCell ref="AB12:AB13"/>
    <mergeCell ref="B16:E18"/>
    <mergeCell ref="F16:P18"/>
    <mergeCell ref="Q16:T18"/>
    <mergeCell ref="U16:AE16"/>
    <mergeCell ref="U17:AE18"/>
    <mergeCell ref="B29:AE29"/>
    <mergeCell ref="B31:C32"/>
    <mergeCell ref="D31:K32"/>
    <mergeCell ref="L31:N32"/>
    <mergeCell ref="O31:V32"/>
    <mergeCell ref="W31:AE32"/>
    <mergeCell ref="AB21:AB22"/>
    <mergeCell ref="AC21:AE22"/>
    <mergeCell ref="B23:E25"/>
    <mergeCell ref="F23:P25"/>
    <mergeCell ref="Q23:T25"/>
    <mergeCell ref="U23:W23"/>
    <mergeCell ref="U24:AE25"/>
    <mergeCell ref="B21:E22"/>
    <mergeCell ref="F21:P22"/>
    <mergeCell ref="Q21:T22"/>
    <mergeCell ref="U21:W22"/>
    <mergeCell ref="X21:X22"/>
    <mergeCell ref="Y21:AA22"/>
    <mergeCell ref="N27:AE27"/>
    <mergeCell ref="B35:C36"/>
    <mergeCell ref="D35:E35"/>
    <mergeCell ref="F35:K35"/>
    <mergeCell ref="L35:N36"/>
    <mergeCell ref="O35:V36"/>
    <mergeCell ref="B33:C34"/>
    <mergeCell ref="D33:E33"/>
    <mergeCell ref="F33:K33"/>
    <mergeCell ref="L33:N34"/>
    <mergeCell ref="O33:V34"/>
    <mergeCell ref="W35:X36"/>
    <mergeCell ref="Y35:Y36"/>
    <mergeCell ref="Z35:AA36"/>
    <mergeCell ref="AB35:AB36"/>
    <mergeCell ref="AC35:AE36"/>
    <mergeCell ref="D36:K36"/>
    <mergeCell ref="Y33:Y34"/>
    <mergeCell ref="Z33:AA34"/>
    <mergeCell ref="AB33:AB34"/>
    <mergeCell ref="AC33:AE34"/>
    <mergeCell ref="D34:K34"/>
    <mergeCell ref="W33:X34"/>
    <mergeCell ref="Y37:Y38"/>
    <mergeCell ref="Z37:AA38"/>
    <mergeCell ref="AB37:AB38"/>
    <mergeCell ref="AC37:AE38"/>
    <mergeCell ref="D38:K38"/>
    <mergeCell ref="B40:AE40"/>
    <mergeCell ref="B37:C38"/>
    <mergeCell ref="D37:E37"/>
    <mergeCell ref="F37:K37"/>
    <mergeCell ref="L37:N38"/>
    <mergeCell ref="O37:V38"/>
    <mergeCell ref="W37:X38"/>
    <mergeCell ref="B47:AE48"/>
    <mergeCell ref="B49:AE50"/>
    <mergeCell ref="Q44:Q45"/>
    <mergeCell ref="R44:T45"/>
    <mergeCell ref="U44:W45"/>
    <mergeCell ref="X44:AB45"/>
    <mergeCell ref="AC44:AE45"/>
    <mergeCell ref="B46:AE46"/>
    <mergeCell ref="B41:AE41"/>
    <mergeCell ref="C42:AE42"/>
    <mergeCell ref="B43:AE43"/>
    <mergeCell ref="B44:F45"/>
    <mergeCell ref="H44:J45"/>
    <mergeCell ref="K44:L45"/>
    <mergeCell ref="M44:M45"/>
    <mergeCell ref="N44:N45"/>
    <mergeCell ref="O44:O45"/>
    <mergeCell ref="P44:P45"/>
  </mergeCells>
  <phoneticPr fontId="16"/>
  <printOptions horizontalCentered="1"/>
  <pageMargins left="0.59055118110236227" right="0.59055118110236227" top="0.59055118110236227" bottom="0.39370078740157483" header="0.31496062992125984" footer="0.19685039370078741"/>
  <pageSetup paperSize="9" scale="94"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DD0C7"/>
  </sheetPr>
  <dimension ref="A1:X63"/>
  <sheetViews>
    <sheetView view="pageBreakPreview" topLeftCell="A37" zoomScaleNormal="100" zoomScaleSheetLayoutView="100" workbookViewId="0">
      <selection activeCell="C72" sqref="C72:M72"/>
    </sheetView>
  </sheetViews>
  <sheetFormatPr defaultColWidth="9" defaultRowHeight="14.25"/>
  <cols>
    <col min="1" max="20" width="4.625" style="171" customWidth="1"/>
    <col min="21" max="23" width="9" style="21" hidden="1" customWidth="1"/>
    <col min="24" max="24" width="15.625" style="21" hidden="1" customWidth="1"/>
    <col min="25" max="25" width="9" style="171" customWidth="1"/>
    <col min="26" max="16384" width="9" style="171"/>
  </cols>
  <sheetData>
    <row r="1" spans="1:24">
      <c r="T1" s="172" t="s">
        <v>1071</v>
      </c>
    </row>
    <row r="2" spans="1:24" ht="15" customHeight="1">
      <c r="A2" s="1737" t="s">
        <v>1072</v>
      </c>
      <c r="B2" s="1738"/>
      <c r="C2" s="1738"/>
      <c r="D2" s="1738"/>
      <c r="E2" s="1738"/>
      <c r="F2" s="1738"/>
      <c r="G2" s="1738"/>
      <c r="H2" s="1738"/>
      <c r="I2" s="1738"/>
      <c r="J2" s="1738"/>
      <c r="K2" s="1738"/>
      <c r="L2" s="1738"/>
      <c r="M2" s="1738"/>
      <c r="N2" s="1738"/>
      <c r="O2" s="1738"/>
      <c r="P2" s="1738"/>
      <c r="Q2" s="1738"/>
      <c r="R2" s="1738"/>
      <c r="S2" s="1738"/>
      <c r="T2" s="1738"/>
    </row>
    <row r="3" spans="1:24" ht="15" customHeight="1">
      <c r="A3" s="1737"/>
      <c r="B3" s="1738"/>
      <c r="C3" s="1738"/>
      <c r="D3" s="1738"/>
      <c r="E3" s="1738"/>
      <c r="F3" s="1738"/>
      <c r="G3" s="1738"/>
      <c r="H3" s="1738"/>
      <c r="I3" s="1738"/>
      <c r="J3" s="1738"/>
      <c r="K3" s="1738"/>
      <c r="L3" s="1738"/>
      <c r="M3" s="1738"/>
      <c r="N3" s="1738"/>
      <c r="O3" s="1738"/>
      <c r="P3" s="1738"/>
      <c r="Q3" s="1738"/>
      <c r="R3" s="1738"/>
      <c r="S3" s="1738"/>
      <c r="T3" s="1738"/>
    </row>
    <row r="4" spans="1:24" ht="15" customHeight="1">
      <c r="A4" s="1739"/>
      <c r="B4" s="1739"/>
      <c r="C4" s="1739"/>
      <c r="D4" s="1739"/>
      <c r="E4" s="1739"/>
      <c r="F4" s="1739"/>
      <c r="G4" s="1739"/>
      <c r="H4" s="1739"/>
      <c r="I4" s="1739"/>
      <c r="J4" s="1741" t="s">
        <v>1025</v>
      </c>
      <c r="K4" s="57"/>
      <c r="L4" s="57"/>
      <c r="M4" s="57"/>
      <c r="N4" s="1743"/>
      <c r="O4" s="1743"/>
      <c r="P4" s="1745" t="s">
        <v>67</v>
      </c>
      <c r="Q4" s="1747"/>
      <c r="R4" s="1747"/>
      <c r="S4" s="1745" t="s">
        <v>1073</v>
      </c>
      <c r="T4" s="1745"/>
      <c r="U4" s="168"/>
    </row>
    <row r="5" spans="1:24" ht="15" customHeight="1">
      <c r="A5" s="1739"/>
      <c r="B5" s="1739"/>
      <c r="C5" s="1739"/>
      <c r="D5" s="1739"/>
      <c r="E5" s="1739"/>
      <c r="F5" s="1739"/>
      <c r="G5" s="1739"/>
      <c r="H5" s="1739"/>
      <c r="I5" s="1739"/>
      <c r="J5" s="1741"/>
      <c r="K5" s="57"/>
      <c r="L5" s="57"/>
      <c r="M5" s="57"/>
      <c r="N5" s="1743"/>
      <c r="O5" s="1743"/>
      <c r="P5" s="1745"/>
      <c r="Q5" s="1747"/>
      <c r="R5" s="1747"/>
      <c r="S5" s="1745"/>
      <c r="T5" s="1745"/>
      <c r="U5" s="168"/>
    </row>
    <row r="6" spans="1:24" ht="15" customHeight="1">
      <c r="A6" s="1740"/>
      <c r="B6" s="1740"/>
      <c r="C6" s="1740"/>
      <c r="D6" s="1740"/>
      <c r="E6" s="1740"/>
      <c r="F6" s="1740"/>
      <c r="G6" s="1740"/>
      <c r="H6" s="1740"/>
      <c r="I6" s="1740"/>
      <c r="J6" s="1742"/>
      <c r="K6" s="57"/>
      <c r="L6" s="57"/>
      <c r="M6" s="57"/>
      <c r="N6" s="1744"/>
      <c r="O6" s="1744"/>
      <c r="P6" s="1746"/>
      <c r="Q6" s="1748"/>
      <c r="R6" s="1748"/>
      <c r="S6" s="1746"/>
      <c r="T6" s="1746"/>
      <c r="W6" s="51"/>
    </row>
    <row r="7" spans="1:24" ht="15" customHeight="1" thickBot="1">
      <c r="A7" s="52"/>
      <c r="B7" s="52"/>
      <c r="C7" s="52"/>
      <c r="D7" s="52"/>
      <c r="E7" s="52"/>
      <c r="F7" s="52"/>
      <c r="G7" s="52"/>
      <c r="H7" s="52"/>
      <c r="I7" s="52"/>
      <c r="J7" s="52"/>
      <c r="K7" s="57"/>
      <c r="L7" s="57"/>
      <c r="M7" s="57"/>
      <c r="N7" s="57"/>
      <c r="O7" s="57"/>
      <c r="P7" s="57"/>
      <c r="Q7" s="173"/>
      <c r="R7" s="174"/>
      <c r="S7" s="173"/>
      <c r="T7" s="173"/>
      <c r="W7" s="51"/>
    </row>
    <row r="8" spans="1:24" ht="15" customHeight="1">
      <c r="A8" s="51" t="s">
        <v>1074</v>
      </c>
      <c r="B8" s="56"/>
      <c r="C8" s="56"/>
      <c r="D8" s="56"/>
      <c r="E8" s="56"/>
      <c r="F8" s="56"/>
      <c r="G8" s="51"/>
      <c r="H8" s="51"/>
      <c r="I8" s="51"/>
      <c r="J8" s="51"/>
      <c r="K8" s="51"/>
      <c r="M8" s="1711" t="s">
        <v>1075</v>
      </c>
      <c r="N8" s="1712"/>
      <c r="O8" s="1712"/>
      <c r="P8" s="1713"/>
      <c r="Q8" s="1717" t="s">
        <v>1076</v>
      </c>
      <c r="R8" s="1718"/>
      <c r="S8" s="1718"/>
      <c r="T8" s="1719"/>
      <c r="W8" s="171"/>
      <c r="X8" s="171"/>
    </row>
    <row r="9" spans="1:24" ht="15" customHeight="1" thickBot="1">
      <c r="A9" s="51"/>
      <c r="B9" s="56"/>
      <c r="C9" s="56"/>
      <c r="D9" s="56"/>
      <c r="E9" s="56"/>
      <c r="F9" s="56"/>
      <c r="G9" s="51"/>
      <c r="H9" s="51"/>
      <c r="I9" s="51"/>
      <c r="J9" s="51"/>
      <c r="M9" s="1714"/>
      <c r="N9" s="1715"/>
      <c r="O9" s="1715"/>
      <c r="P9" s="1716"/>
      <c r="Q9" s="1720"/>
      <c r="R9" s="1721"/>
      <c r="S9" s="1721"/>
      <c r="T9" s="1722"/>
      <c r="W9" s="171"/>
      <c r="X9" s="171"/>
    </row>
    <row r="10" spans="1:24" ht="15" customHeight="1">
      <c r="A10" s="62"/>
      <c r="B10" s="62"/>
      <c r="C10" s="62"/>
      <c r="D10" s="62"/>
      <c r="E10" s="62"/>
      <c r="F10" s="62"/>
      <c r="G10" s="62"/>
      <c r="H10" s="62"/>
      <c r="I10" s="62"/>
      <c r="J10" s="51"/>
      <c r="K10" s="170"/>
      <c r="L10" s="170"/>
      <c r="M10" s="170"/>
      <c r="N10" s="170"/>
      <c r="O10" s="170"/>
      <c r="P10" s="170"/>
      <c r="Q10" s="170"/>
      <c r="R10" s="170"/>
      <c r="S10" s="170"/>
      <c r="T10" s="170"/>
      <c r="U10" s="7" t="s">
        <v>204</v>
      </c>
      <c r="V10" s="21" t="s">
        <v>219</v>
      </c>
      <c r="W10" s="21">
        <v>1.9E-2</v>
      </c>
      <c r="X10" s="54" t="s">
        <v>1077</v>
      </c>
    </row>
    <row r="11" spans="1:24" ht="15" customHeight="1">
      <c r="A11" s="1723" t="s">
        <v>1078</v>
      </c>
      <c r="B11" s="1723"/>
      <c r="C11" s="1723"/>
      <c r="D11" s="1723"/>
      <c r="E11" s="1723"/>
      <c r="F11" s="1724" t="e">
        <f>VLOOKUP(#REF!,U10:X12,2,FALSE)</f>
        <v>#REF!</v>
      </c>
      <c r="G11" s="1724"/>
      <c r="H11" s="1724"/>
      <c r="I11" s="1724"/>
      <c r="K11" s="1711" t="s">
        <v>1079</v>
      </c>
      <c r="L11" s="1712"/>
      <c r="M11" s="1712"/>
      <c r="N11" s="1713"/>
      <c r="O11" s="1725" t="e">
        <f>#REF!</f>
        <v>#REF!</v>
      </c>
      <c r="P11" s="1726"/>
      <c r="Q11" s="1727"/>
      <c r="R11" s="1731" t="e">
        <f>#REF!</f>
        <v>#REF!</v>
      </c>
      <c r="S11" s="1732"/>
      <c r="T11" s="1733"/>
      <c r="U11" s="7" t="s">
        <v>211</v>
      </c>
      <c r="V11" s="21" t="s">
        <v>224</v>
      </c>
      <c r="W11" s="21">
        <v>1.7000000000000001E-2</v>
      </c>
      <c r="X11" s="54" t="s">
        <v>1080</v>
      </c>
    </row>
    <row r="12" spans="1:24" ht="15" customHeight="1">
      <c r="A12" s="1723"/>
      <c r="B12" s="1723"/>
      <c r="C12" s="1723"/>
      <c r="D12" s="1723"/>
      <c r="E12" s="1723"/>
      <c r="F12" s="1724"/>
      <c r="G12" s="1724"/>
      <c r="H12" s="1724"/>
      <c r="I12" s="1724"/>
      <c r="K12" s="1714"/>
      <c r="L12" s="1715"/>
      <c r="M12" s="1715"/>
      <c r="N12" s="1716"/>
      <c r="O12" s="1728"/>
      <c r="P12" s="1729"/>
      <c r="Q12" s="1730"/>
      <c r="R12" s="1734"/>
      <c r="S12" s="1735"/>
      <c r="T12" s="1736"/>
      <c r="U12" s="59" t="s">
        <v>1081</v>
      </c>
      <c r="V12" s="21" t="s">
        <v>237</v>
      </c>
      <c r="W12" s="21">
        <v>1.4999999999999999E-2</v>
      </c>
      <c r="X12" s="54" t="s">
        <v>1082</v>
      </c>
    </row>
    <row r="13" spans="1:24" ht="15" customHeight="1">
      <c r="L13" s="52"/>
      <c r="M13" s="52"/>
      <c r="N13" s="52"/>
      <c r="O13" s="52"/>
      <c r="P13" s="52"/>
      <c r="U13" s="169" t="s">
        <v>1083</v>
      </c>
      <c r="V13" s="55" t="s">
        <v>1084</v>
      </c>
      <c r="W13" s="167" t="s">
        <v>589</v>
      </c>
      <c r="X13" s="167" t="s">
        <v>1085</v>
      </c>
    </row>
    <row r="14" spans="1:24" ht="15" customHeight="1">
      <c r="A14" s="1757" t="s">
        <v>1086</v>
      </c>
      <c r="B14" s="1757"/>
      <c r="C14" s="1757"/>
      <c r="D14" s="1757"/>
      <c r="E14" s="1757"/>
      <c r="F14" s="1758"/>
      <c r="G14" s="1759"/>
      <c r="H14" s="1762" t="s">
        <v>692</v>
      </c>
      <c r="I14" s="1763"/>
      <c r="K14" s="1711" t="s">
        <v>1087</v>
      </c>
      <c r="L14" s="1712"/>
      <c r="M14" s="1712"/>
      <c r="N14" s="1713"/>
      <c r="O14" s="1770" t="s">
        <v>623</v>
      </c>
      <c r="P14" s="1773">
        <f>F14*E56</f>
        <v>0</v>
      </c>
      <c r="Q14" s="1774"/>
      <c r="R14" s="1774"/>
      <c r="S14" s="1749" t="s">
        <v>1088</v>
      </c>
      <c r="T14" s="1750"/>
      <c r="V14" s="167" t="s">
        <v>1089</v>
      </c>
      <c r="W14" s="167">
        <v>815</v>
      </c>
      <c r="X14" s="167" t="s">
        <v>1090</v>
      </c>
    </row>
    <row r="15" spans="1:24" ht="15" customHeight="1">
      <c r="A15" s="1757"/>
      <c r="B15" s="1757"/>
      <c r="C15" s="1757"/>
      <c r="D15" s="1757"/>
      <c r="E15" s="1757"/>
      <c r="F15" s="1760"/>
      <c r="G15" s="1761"/>
      <c r="H15" s="1764"/>
      <c r="I15" s="1765"/>
      <c r="K15" s="1753" t="str">
        <f>E56&amp;"単位"</f>
        <v>1108単位</v>
      </c>
      <c r="L15" s="1754"/>
      <c r="M15" s="1755" t="s">
        <v>1091</v>
      </c>
      <c r="N15" s="1756"/>
      <c r="O15" s="1771"/>
      <c r="P15" s="1768"/>
      <c r="Q15" s="1769"/>
      <c r="R15" s="1769"/>
      <c r="S15" s="1751"/>
      <c r="T15" s="1752"/>
      <c r="V15" s="167" t="s">
        <v>1092</v>
      </c>
      <c r="W15" s="167">
        <v>958</v>
      </c>
      <c r="X15" s="167" t="s">
        <v>1093</v>
      </c>
    </row>
    <row r="16" spans="1:24" ht="15" customHeight="1">
      <c r="A16" s="1757" t="s">
        <v>1094</v>
      </c>
      <c r="B16" s="1757"/>
      <c r="C16" s="1757"/>
      <c r="D16" s="1757"/>
      <c r="E16" s="1757"/>
      <c r="F16" s="1758"/>
      <c r="G16" s="1759"/>
      <c r="H16" s="1762" t="s">
        <v>692</v>
      </c>
      <c r="I16" s="1763"/>
      <c r="K16" s="1711" t="s">
        <v>1087</v>
      </c>
      <c r="L16" s="1712"/>
      <c r="M16" s="1712"/>
      <c r="N16" s="1713"/>
      <c r="O16" s="1771"/>
      <c r="P16" s="1766">
        <f>F16*I56</f>
        <v>0</v>
      </c>
      <c r="Q16" s="1767"/>
      <c r="R16" s="1767"/>
      <c r="S16" s="1751" t="s">
        <v>1088</v>
      </c>
      <c r="T16" s="1752"/>
      <c r="V16" s="167" t="s">
        <v>1076</v>
      </c>
      <c r="W16" s="167">
        <v>1108</v>
      </c>
      <c r="X16" s="167" t="s">
        <v>1095</v>
      </c>
    </row>
    <row r="17" spans="1:24" ht="15" customHeight="1">
      <c r="A17" s="1757"/>
      <c r="B17" s="1757"/>
      <c r="C17" s="1757"/>
      <c r="D17" s="1757"/>
      <c r="E17" s="1757"/>
      <c r="F17" s="1760"/>
      <c r="G17" s="1761"/>
      <c r="H17" s="1764"/>
      <c r="I17" s="1765"/>
      <c r="K17" s="1753" t="str">
        <f>I56&amp;"単位"</f>
        <v>957単位</v>
      </c>
      <c r="L17" s="1754"/>
      <c r="M17" s="1755" t="s">
        <v>1091</v>
      </c>
      <c r="N17" s="1756"/>
      <c r="O17" s="1771"/>
      <c r="P17" s="1768"/>
      <c r="Q17" s="1769"/>
      <c r="R17" s="1769"/>
      <c r="S17" s="1751"/>
      <c r="T17" s="1752"/>
      <c r="V17" s="167" t="s">
        <v>1096</v>
      </c>
      <c r="W17" s="167">
        <v>1257</v>
      </c>
      <c r="X17" s="167" t="s">
        <v>1097</v>
      </c>
    </row>
    <row r="18" spans="1:24" ht="15" customHeight="1">
      <c r="A18" s="1757" t="s">
        <v>1098</v>
      </c>
      <c r="B18" s="1757"/>
      <c r="C18" s="1757"/>
      <c r="D18" s="1757"/>
      <c r="E18" s="1757"/>
      <c r="F18" s="1758"/>
      <c r="G18" s="1759"/>
      <c r="H18" s="1762" t="s">
        <v>692</v>
      </c>
      <c r="I18" s="1763"/>
      <c r="K18" s="1711" t="s">
        <v>1087</v>
      </c>
      <c r="L18" s="1712"/>
      <c r="M18" s="1712"/>
      <c r="N18" s="1713"/>
      <c r="O18" s="1771"/>
      <c r="P18" s="1766">
        <f>M56*F18</f>
        <v>0</v>
      </c>
      <c r="Q18" s="1767"/>
      <c r="R18" s="1767"/>
      <c r="S18" s="1751" t="s">
        <v>1088</v>
      </c>
      <c r="T18" s="1752"/>
      <c r="V18" s="167" t="s">
        <v>1099</v>
      </c>
      <c r="W18" s="167">
        <v>1405</v>
      </c>
      <c r="X18" s="167" t="s">
        <v>1100</v>
      </c>
    </row>
    <row r="19" spans="1:24" ht="15" customHeight="1">
      <c r="A19" s="1757"/>
      <c r="B19" s="1757"/>
      <c r="C19" s="1757"/>
      <c r="D19" s="1757"/>
      <c r="E19" s="1757"/>
      <c r="F19" s="1760"/>
      <c r="G19" s="1761"/>
      <c r="H19" s="1764"/>
      <c r="I19" s="1765"/>
      <c r="K19" s="1753" t="str">
        <f>M56&amp;"単位"</f>
        <v>600単位</v>
      </c>
      <c r="L19" s="1754"/>
      <c r="M19" s="1755" t="s">
        <v>1091</v>
      </c>
      <c r="N19" s="1756"/>
      <c r="O19" s="1771"/>
      <c r="P19" s="1768"/>
      <c r="Q19" s="1769"/>
      <c r="R19" s="1769"/>
      <c r="S19" s="1751"/>
      <c r="T19" s="1752"/>
    </row>
    <row r="20" spans="1:24" ht="15" customHeight="1">
      <c r="A20" s="1757" t="s">
        <v>1101</v>
      </c>
      <c r="B20" s="1757"/>
      <c r="C20" s="1757"/>
      <c r="D20" s="1757"/>
      <c r="E20" s="1757"/>
      <c r="F20" s="1758"/>
      <c r="G20" s="1759"/>
      <c r="H20" s="1762" t="s">
        <v>692</v>
      </c>
      <c r="I20" s="1763"/>
      <c r="K20" s="1711" t="s">
        <v>1087</v>
      </c>
      <c r="L20" s="1712"/>
      <c r="M20" s="1712"/>
      <c r="N20" s="1713"/>
      <c r="O20" s="1771"/>
      <c r="P20" s="1766">
        <f>F20*Q56</f>
        <v>0</v>
      </c>
      <c r="Q20" s="1767"/>
      <c r="R20" s="1767"/>
      <c r="S20" s="1751" t="s">
        <v>1088</v>
      </c>
      <c r="T20" s="1752"/>
      <c r="U20" s="169" t="s">
        <v>1102</v>
      </c>
      <c r="V20" s="55" t="s">
        <v>1084</v>
      </c>
      <c r="W20" s="167" t="s">
        <v>589</v>
      </c>
      <c r="X20" s="167" t="s">
        <v>1085</v>
      </c>
    </row>
    <row r="21" spans="1:24" ht="15" customHeight="1">
      <c r="A21" s="1757"/>
      <c r="B21" s="1757"/>
      <c r="C21" s="1757"/>
      <c r="D21" s="1757"/>
      <c r="E21" s="1757"/>
      <c r="F21" s="1760"/>
      <c r="G21" s="1761"/>
      <c r="H21" s="1764"/>
      <c r="I21" s="1765"/>
      <c r="K21" s="1753" t="str">
        <f>Q56&amp;"単位"</f>
        <v>420単位</v>
      </c>
      <c r="L21" s="1754"/>
      <c r="M21" s="1755" t="s">
        <v>1091</v>
      </c>
      <c r="N21" s="1756"/>
      <c r="O21" s="1772"/>
      <c r="P21" s="1768"/>
      <c r="Q21" s="1769"/>
      <c r="R21" s="1769"/>
      <c r="S21" s="1751"/>
      <c r="T21" s="1752"/>
      <c r="V21" s="167" t="s">
        <v>1089</v>
      </c>
      <c r="W21" s="167">
        <v>705</v>
      </c>
      <c r="X21" s="167" t="s">
        <v>1103</v>
      </c>
    </row>
    <row r="22" spans="1:24" ht="15" customHeight="1">
      <c r="A22" s="1757" t="s">
        <v>1104</v>
      </c>
      <c r="B22" s="1757"/>
      <c r="C22" s="1757"/>
      <c r="D22" s="1757"/>
      <c r="E22" s="1757"/>
      <c r="F22" s="1758">
        <v>3</v>
      </c>
      <c r="G22" s="1759"/>
      <c r="H22" s="1762" t="s">
        <v>692</v>
      </c>
      <c r="I22" s="1763"/>
      <c r="K22" s="1794" t="s">
        <v>1105</v>
      </c>
      <c r="L22" s="1795"/>
      <c r="M22" s="1795"/>
      <c r="N22" s="1796"/>
      <c r="O22" s="1797" t="s">
        <v>624</v>
      </c>
      <c r="P22" s="1766">
        <f>F22*K23</f>
        <v>150</v>
      </c>
      <c r="Q22" s="1767"/>
      <c r="R22" s="1767"/>
      <c r="S22" s="1751" t="s">
        <v>1088</v>
      </c>
      <c r="T22" s="1752"/>
      <c r="V22" s="167" t="s">
        <v>1092</v>
      </c>
      <c r="W22" s="167">
        <v>831</v>
      </c>
      <c r="X22" s="167" t="s">
        <v>1106</v>
      </c>
    </row>
    <row r="23" spans="1:24" ht="15" customHeight="1">
      <c r="A23" s="1757"/>
      <c r="B23" s="1757"/>
      <c r="C23" s="1757"/>
      <c r="D23" s="1757"/>
      <c r="E23" s="1757"/>
      <c r="F23" s="1809"/>
      <c r="G23" s="1810"/>
      <c r="H23" s="1811"/>
      <c r="I23" s="1812"/>
      <c r="K23" s="1791">
        <v>50</v>
      </c>
      <c r="L23" s="1792"/>
      <c r="M23" s="1755" t="s">
        <v>1091</v>
      </c>
      <c r="N23" s="1756"/>
      <c r="O23" s="1813"/>
      <c r="P23" s="1768"/>
      <c r="Q23" s="1769"/>
      <c r="R23" s="1769"/>
      <c r="S23" s="1751"/>
      <c r="T23" s="1752"/>
      <c r="V23" s="167" t="s">
        <v>1076</v>
      </c>
      <c r="W23" s="167">
        <v>957</v>
      </c>
      <c r="X23" s="167" t="s">
        <v>1107</v>
      </c>
    </row>
    <row r="24" spans="1:24" ht="15" customHeight="1">
      <c r="A24" s="1793" t="s">
        <v>1108</v>
      </c>
      <c r="B24" s="1793"/>
      <c r="C24" s="1793"/>
      <c r="D24" s="1793"/>
      <c r="E24" s="1793"/>
      <c r="F24" s="1758">
        <v>0</v>
      </c>
      <c r="G24" s="1759"/>
      <c r="H24" s="1762" t="s">
        <v>692</v>
      </c>
      <c r="I24" s="1763"/>
      <c r="K24" s="1794" t="s">
        <v>1109</v>
      </c>
      <c r="L24" s="1795"/>
      <c r="M24" s="1795"/>
      <c r="N24" s="1796"/>
      <c r="O24" s="1797" t="s">
        <v>625</v>
      </c>
      <c r="P24" s="1799">
        <f>-F24*94</f>
        <v>0</v>
      </c>
      <c r="Q24" s="1800"/>
      <c r="R24" s="1800"/>
      <c r="S24" s="1751" t="s">
        <v>1088</v>
      </c>
      <c r="T24" s="1752"/>
      <c r="V24" s="167" t="s">
        <v>1096</v>
      </c>
      <c r="W24" s="167">
        <v>1082</v>
      </c>
      <c r="X24" s="167" t="s">
        <v>1110</v>
      </c>
    </row>
    <row r="25" spans="1:24" ht="15" customHeight="1" thickBot="1">
      <c r="A25" s="1793"/>
      <c r="B25" s="1793"/>
      <c r="C25" s="1793"/>
      <c r="D25" s="1793"/>
      <c r="E25" s="1793"/>
      <c r="F25" s="1760"/>
      <c r="G25" s="1761"/>
      <c r="H25" s="1764"/>
      <c r="I25" s="1765"/>
      <c r="K25" s="1805">
        <v>-94</v>
      </c>
      <c r="L25" s="1806"/>
      <c r="M25" s="1807" t="s">
        <v>1091</v>
      </c>
      <c r="N25" s="1808"/>
      <c r="O25" s="1798"/>
      <c r="P25" s="1801"/>
      <c r="Q25" s="1802"/>
      <c r="R25" s="1802"/>
      <c r="S25" s="1803"/>
      <c r="T25" s="1804"/>
      <c r="V25" s="167" t="s">
        <v>1099</v>
      </c>
      <c r="W25" s="167">
        <v>1208</v>
      </c>
      <c r="X25" s="167" t="s">
        <v>1111</v>
      </c>
    </row>
    <row r="26" spans="1:24" ht="15" customHeight="1" thickTop="1">
      <c r="A26" s="1757" t="s">
        <v>1112</v>
      </c>
      <c r="B26" s="1757"/>
      <c r="C26" s="1757"/>
      <c r="D26" s="1757"/>
      <c r="E26" s="1757"/>
      <c r="F26" s="1758">
        <v>3</v>
      </c>
      <c r="G26" s="1759"/>
      <c r="H26" s="1762" t="s">
        <v>692</v>
      </c>
      <c r="I26" s="1763"/>
      <c r="K26" s="1783" t="s">
        <v>1113</v>
      </c>
      <c r="L26" s="1784"/>
      <c r="M26" s="1784"/>
      <c r="N26" s="1785"/>
      <c r="O26" s="1789" t="s">
        <v>626</v>
      </c>
      <c r="P26" s="1775">
        <f>SUM(P14:R25)</f>
        <v>150</v>
      </c>
      <c r="Q26" s="1776"/>
      <c r="R26" s="1776"/>
      <c r="S26" s="1779" t="s">
        <v>1088</v>
      </c>
      <c r="T26" s="1780"/>
    </row>
    <row r="27" spans="1:24" ht="15" customHeight="1" thickBot="1">
      <c r="A27" s="1757"/>
      <c r="B27" s="1757"/>
      <c r="C27" s="1757"/>
      <c r="D27" s="1757"/>
      <c r="E27" s="1757"/>
      <c r="F27" s="1760"/>
      <c r="G27" s="1761"/>
      <c r="H27" s="1764"/>
      <c r="I27" s="1765"/>
      <c r="K27" s="1786"/>
      <c r="L27" s="1787"/>
      <c r="M27" s="1787"/>
      <c r="N27" s="1788"/>
      <c r="O27" s="1790"/>
      <c r="P27" s="1777"/>
      <c r="Q27" s="1778"/>
      <c r="R27" s="1778"/>
      <c r="S27" s="1781"/>
      <c r="T27" s="1782"/>
      <c r="U27" s="169" t="s">
        <v>1114</v>
      </c>
      <c r="V27" s="55" t="s">
        <v>1084</v>
      </c>
      <c r="W27" s="167" t="s">
        <v>589</v>
      </c>
      <c r="X27" s="167" t="s">
        <v>1085</v>
      </c>
    </row>
    <row r="28" spans="1:24" ht="15" customHeight="1" thickTop="1">
      <c r="A28" s="51"/>
      <c r="B28" s="51"/>
      <c r="C28" s="51"/>
      <c r="D28" s="51"/>
      <c r="E28" s="51"/>
      <c r="F28" s="51"/>
      <c r="G28" s="51"/>
      <c r="H28" s="51"/>
      <c r="K28" s="1836" t="e">
        <f>VLOOKUP(F11,V10:X12,3,FALSE)</f>
        <v>#REF!</v>
      </c>
      <c r="L28" s="1837"/>
      <c r="M28" s="1837"/>
      <c r="N28" s="1838"/>
      <c r="O28" s="1789" t="s">
        <v>634</v>
      </c>
      <c r="P28" s="1775" t="e">
        <f>ROUND(P26*U58,0)</f>
        <v>#REF!</v>
      </c>
      <c r="Q28" s="1776"/>
      <c r="R28" s="1776"/>
      <c r="S28" s="1779" t="s">
        <v>1088</v>
      </c>
      <c r="T28" s="1845"/>
      <c r="V28" s="167" t="s">
        <v>1089</v>
      </c>
      <c r="W28" s="167">
        <v>464</v>
      </c>
      <c r="X28" s="167" t="s">
        <v>1115</v>
      </c>
    </row>
    <row r="29" spans="1:24" ht="15" customHeight="1" thickBot="1">
      <c r="A29" s="1814" t="s">
        <v>1116</v>
      </c>
      <c r="B29" s="1815"/>
      <c r="C29" s="1815"/>
      <c r="D29" s="1815"/>
      <c r="E29" s="1815"/>
      <c r="F29" s="1815" t="s">
        <v>1117</v>
      </c>
      <c r="G29" s="1815"/>
      <c r="H29" s="1815"/>
      <c r="I29" s="1815"/>
      <c r="K29" s="1839"/>
      <c r="L29" s="1840"/>
      <c r="M29" s="1840"/>
      <c r="N29" s="1841"/>
      <c r="O29" s="1842"/>
      <c r="P29" s="1843"/>
      <c r="Q29" s="1844"/>
      <c r="R29" s="1844"/>
      <c r="S29" s="1846"/>
      <c r="T29" s="1847"/>
      <c r="V29" s="167" t="s">
        <v>1092</v>
      </c>
      <c r="W29" s="167">
        <v>533</v>
      </c>
      <c r="X29" s="167" t="s">
        <v>1118</v>
      </c>
    </row>
    <row r="30" spans="1:24" ht="15" customHeight="1">
      <c r="A30" s="1815"/>
      <c r="B30" s="1815"/>
      <c r="C30" s="1815"/>
      <c r="D30" s="1815"/>
      <c r="E30" s="1815"/>
      <c r="F30" s="1815"/>
      <c r="G30" s="1815"/>
      <c r="H30" s="1815"/>
      <c r="I30" s="1815"/>
      <c r="K30" s="1816" t="s">
        <v>1119</v>
      </c>
      <c r="L30" s="1817"/>
      <c r="M30" s="1817"/>
      <c r="N30" s="1818"/>
      <c r="O30" s="1822" t="s">
        <v>635</v>
      </c>
      <c r="P30" s="1824" t="e">
        <f>SUM(P26:R29)</f>
        <v>#REF!</v>
      </c>
      <c r="Q30" s="1825"/>
      <c r="R30" s="1825"/>
      <c r="S30" s="1828" t="s">
        <v>1088</v>
      </c>
      <c r="T30" s="1829"/>
      <c r="V30" s="167" t="s">
        <v>1076</v>
      </c>
      <c r="W30" s="167">
        <v>600</v>
      </c>
      <c r="X30" s="167" t="s">
        <v>1120</v>
      </c>
    </row>
    <row r="31" spans="1:24" ht="15" customHeight="1" thickBot="1">
      <c r="A31" s="1832" t="s">
        <v>1121</v>
      </c>
      <c r="B31" s="1832"/>
      <c r="C31" s="1832"/>
      <c r="D31" s="1832"/>
      <c r="E31" s="1832"/>
      <c r="F31" s="1833" t="s">
        <v>1122</v>
      </c>
      <c r="G31" s="1834"/>
      <c r="H31" s="1481">
        <v>200</v>
      </c>
      <c r="I31" s="1835" t="s">
        <v>1123</v>
      </c>
      <c r="K31" s="1819"/>
      <c r="L31" s="1820"/>
      <c r="M31" s="1820"/>
      <c r="N31" s="1821"/>
      <c r="O31" s="1823"/>
      <c r="P31" s="1826"/>
      <c r="Q31" s="1827"/>
      <c r="R31" s="1827"/>
      <c r="S31" s="1830"/>
      <c r="T31" s="1831"/>
      <c r="V31" s="167" t="s">
        <v>1096</v>
      </c>
      <c r="W31" s="167">
        <v>668</v>
      </c>
      <c r="X31" s="167" t="s">
        <v>1124</v>
      </c>
    </row>
    <row r="32" spans="1:24" ht="15" customHeight="1">
      <c r="A32" s="1832"/>
      <c r="B32" s="1832"/>
      <c r="C32" s="1832"/>
      <c r="D32" s="1832"/>
      <c r="E32" s="1832"/>
      <c r="F32" s="1833"/>
      <c r="G32" s="1834"/>
      <c r="H32" s="1481"/>
      <c r="I32" s="1835"/>
      <c r="K32" s="60"/>
      <c r="L32" s="175" t="s">
        <v>1125</v>
      </c>
      <c r="M32" s="1873" t="e">
        <f>R11</f>
        <v>#REF!</v>
      </c>
      <c r="N32" s="1874"/>
      <c r="O32" s="1842" t="s">
        <v>655</v>
      </c>
      <c r="P32" s="1876" t="e">
        <f>P30*M32</f>
        <v>#REF!</v>
      </c>
      <c r="Q32" s="1877"/>
      <c r="R32" s="1877"/>
      <c r="S32" s="1846" t="s">
        <v>1123</v>
      </c>
      <c r="T32" s="1847"/>
      <c r="V32" s="167" t="s">
        <v>1099</v>
      </c>
      <c r="W32" s="167">
        <v>734</v>
      </c>
      <c r="X32" s="167" t="s">
        <v>1126</v>
      </c>
    </row>
    <row r="33" spans="1:24" ht="15" customHeight="1">
      <c r="A33" s="51"/>
      <c r="B33" s="51"/>
      <c r="C33" s="51"/>
      <c r="D33" s="51"/>
      <c r="E33" s="51"/>
      <c r="F33" s="51"/>
      <c r="G33" s="51"/>
      <c r="H33" s="51"/>
      <c r="K33" s="1882" t="s">
        <v>1127</v>
      </c>
      <c r="L33" s="1883"/>
      <c r="M33" s="1883"/>
      <c r="N33" s="1884"/>
      <c r="O33" s="1875"/>
      <c r="P33" s="1878"/>
      <c r="Q33" s="1879"/>
      <c r="R33" s="1879"/>
      <c r="S33" s="1880"/>
      <c r="T33" s="1881"/>
    </row>
    <row r="34" spans="1:24" ht="15" customHeight="1">
      <c r="F34" s="51"/>
      <c r="G34" s="51"/>
      <c r="H34" s="51"/>
      <c r="K34" s="1885" t="s">
        <v>1128</v>
      </c>
      <c r="L34" s="1886"/>
      <c r="M34" s="1886"/>
      <c r="N34" s="1887"/>
      <c r="O34" s="1854" t="s">
        <v>656</v>
      </c>
      <c r="P34" s="1773" t="e">
        <f>INT(P32)</f>
        <v>#REF!</v>
      </c>
      <c r="Q34" s="1774"/>
      <c r="R34" s="1774"/>
      <c r="S34" s="1855" t="s">
        <v>1123</v>
      </c>
      <c r="T34" s="1856"/>
      <c r="U34" s="169" t="s">
        <v>1129</v>
      </c>
      <c r="V34" s="55" t="s">
        <v>1084</v>
      </c>
      <c r="W34" s="167" t="s">
        <v>589</v>
      </c>
      <c r="X34" s="167" t="s">
        <v>1085</v>
      </c>
    </row>
    <row r="35" spans="1:24" ht="15" customHeight="1">
      <c r="F35" s="51"/>
      <c r="G35" s="51"/>
      <c r="H35" s="51"/>
      <c r="I35" s="31"/>
      <c r="K35" s="1888"/>
      <c r="L35" s="1889"/>
      <c r="M35" s="1889"/>
      <c r="N35" s="1890"/>
      <c r="O35" s="1875"/>
      <c r="P35" s="1891"/>
      <c r="Q35" s="1892"/>
      <c r="R35" s="1892"/>
      <c r="S35" s="1880"/>
      <c r="T35" s="1881"/>
      <c r="V35" s="167" t="s">
        <v>1089</v>
      </c>
      <c r="W35" s="167">
        <v>325</v>
      </c>
      <c r="X35" s="167" t="s">
        <v>1130</v>
      </c>
    </row>
    <row r="36" spans="1:24" ht="15" customHeight="1">
      <c r="F36" s="525"/>
      <c r="G36" s="525"/>
      <c r="H36" s="525"/>
      <c r="I36" s="30"/>
      <c r="K36" s="1848" t="s">
        <v>1131</v>
      </c>
      <c r="L36" s="1849"/>
      <c r="M36" s="1849"/>
      <c r="N36" s="1850"/>
      <c r="O36" s="1854" t="s">
        <v>1132</v>
      </c>
      <c r="P36" s="1773" t="e">
        <f>INT(P34*0.9)</f>
        <v>#REF!</v>
      </c>
      <c r="Q36" s="1774"/>
      <c r="R36" s="1774"/>
      <c r="S36" s="1855" t="s">
        <v>1123</v>
      </c>
      <c r="T36" s="1856"/>
      <c r="V36" s="167" t="s">
        <v>1092</v>
      </c>
      <c r="W36" s="167">
        <v>373</v>
      </c>
      <c r="X36" s="167" t="s">
        <v>1133</v>
      </c>
    </row>
    <row r="37" spans="1:24" ht="15" customHeight="1" thickBot="1">
      <c r="F37" s="30"/>
      <c r="G37" s="30"/>
      <c r="H37" s="30"/>
      <c r="I37" s="30"/>
      <c r="K37" s="1851"/>
      <c r="L37" s="1852"/>
      <c r="M37" s="1852"/>
      <c r="N37" s="1853"/>
      <c r="O37" s="1842"/>
      <c r="P37" s="1843"/>
      <c r="Q37" s="1844"/>
      <c r="R37" s="1844"/>
      <c r="S37" s="1846"/>
      <c r="T37" s="1847"/>
      <c r="V37" s="167" t="s">
        <v>1076</v>
      </c>
      <c r="W37" s="167">
        <v>420</v>
      </c>
      <c r="X37" s="167" t="s">
        <v>1134</v>
      </c>
    </row>
    <row r="38" spans="1:24" ht="15" customHeight="1">
      <c r="F38" s="51"/>
      <c r="G38" s="51"/>
      <c r="H38" s="58"/>
      <c r="I38" s="51"/>
      <c r="K38" s="1857" t="s">
        <v>1135</v>
      </c>
      <c r="L38" s="1858"/>
      <c r="M38" s="1858"/>
      <c r="N38" s="1859"/>
      <c r="O38" s="1863" t="s">
        <v>1136</v>
      </c>
      <c r="P38" s="1865" t="e">
        <f>P34-P36</f>
        <v>#REF!</v>
      </c>
      <c r="Q38" s="1866"/>
      <c r="R38" s="1866"/>
      <c r="S38" s="1869" t="s">
        <v>1123</v>
      </c>
      <c r="T38" s="1870"/>
      <c r="V38" s="167" t="s">
        <v>1096</v>
      </c>
      <c r="W38" s="167">
        <v>468</v>
      </c>
      <c r="X38" s="167" t="s">
        <v>1137</v>
      </c>
    </row>
    <row r="39" spans="1:24" ht="15" customHeight="1" thickBot="1">
      <c r="A39" s="51"/>
      <c r="B39" s="51"/>
      <c r="C39" s="51"/>
      <c r="D39" s="51"/>
      <c r="E39" s="51"/>
      <c r="F39" s="51"/>
      <c r="G39" s="51"/>
      <c r="H39" s="58"/>
      <c r="I39" s="51"/>
      <c r="K39" s="1860"/>
      <c r="L39" s="1861"/>
      <c r="M39" s="1861"/>
      <c r="N39" s="1862"/>
      <c r="O39" s="1864"/>
      <c r="P39" s="1867"/>
      <c r="Q39" s="1868"/>
      <c r="R39" s="1868"/>
      <c r="S39" s="1871"/>
      <c r="T39" s="1872"/>
      <c r="V39" s="167" t="s">
        <v>1099</v>
      </c>
      <c r="W39" s="167">
        <v>514</v>
      </c>
      <c r="X39" s="167" t="s">
        <v>1138</v>
      </c>
    </row>
    <row r="40" spans="1:24" ht="15" customHeight="1">
      <c r="A40" s="176"/>
      <c r="K40" s="51"/>
      <c r="L40" s="51"/>
      <c r="M40" s="51"/>
      <c r="O40" s="51"/>
      <c r="P40" s="51"/>
      <c r="R40" s="51"/>
      <c r="S40" s="51"/>
      <c r="T40" s="177"/>
    </row>
    <row r="41" spans="1:24" s="31" customFormat="1" ht="15" customHeight="1">
      <c r="G41" s="171"/>
      <c r="H41" s="171"/>
      <c r="I41" s="171"/>
      <c r="K41" s="1815" t="s">
        <v>1139</v>
      </c>
      <c r="L41" s="1815"/>
      <c r="M41" s="1815"/>
      <c r="N41" s="1815"/>
      <c r="O41" s="1915">
        <f>F26*H31</f>
        <v>600</v>
      </c>
      <c r="P41" s="1916"/>
      <c r="Q41" s="1916"/>
      <c r="R41" s="1916"/>
      <c r="S41" s="1919" t="s">
        <v>1123</v>
      </c>
      <c r="T41" s="1920"/>
      <c r="U41" s="21"/>
      <c r="V41" s="21"/>
      <c r="W41" s="21"/>
      <c r="X41" s="21"/>
    </row>
    <row r="42" spans="1:24" s="31" customFormat="1" ht="15" customHeight="1" thickBot="1">
      <c r="G42" s="171"/>
      <c r="H42" s="171"/>
      <c r="I42" s="171"/>
      <c r="J42" s="30"/>
      <c r="K42" s="1815"/>
      <c r="L42" s="1815"/>
      <c r="M42" s="1815"/>
      <c r="N42" s="1815"/>
      <c r="O42" s="1917"/>
      <c r="P42" s="1918"/>
      <c r="Q42" s="1918"/>
      <c r="R42" s="1918"/>
      <c r="S42" s="1919"/>
      <c r="T42" s="1920"/>
      <c r="U42" s="21"/>
      <c r="V42" s="30"/>
      <c r="W42" s="30"/>
      <c r="X42" s="30"/>
    </row>
    <row r="43" spans="1:24" s="31" customFormat="1" ht="15" customHeight="1">
      <c r="G43" s="171"/>
      <c r="H43" s="171"/>
      <c r="I43" s="171"/>
      <c r="J43" s="51"/>
      <c r="K43" s="1921" t="s">
        <v>643</v>
      </c>
      <c r="L43" s="1922"/>
      <c r="M43" s="1922"/>
      <c r="N43" s="1922"/>
      <c r="O43" s="1863" t="s">
        <v>1140</v>
      </c>
      <c r="P43" s="1925">
        <f>SUM(O41:Q42)</f>
        <v>600</v>
      </c>
      <c r="Q43" s="1926"/>
      <c r="R43" s="1926"/>
      <c r="S43" s="1929" t="s">
        <v>1123</v>
      </c>
      <c r="T43" s="1930"/>
      <c r="U43" s="21"/>
      <c r="V43" s="21"/>
      <c r="W43" s="21"/>
      <c r="X43" s="21"/>
    </row>
    <row r="44" spans="1:24" s="31" customFormat="1" ht="15" customHeight="1" thickBot="1">
      <c r="A44" s="51" t="e">
        <f>#REF!</f>
        <v>#REF!</v>
      </c>
      <c r="B44" s="51"/>
      <c r="C44" s="51"/>
      <c r="D44" s="51"/>
      <c r="E44" s="51"/>
      <c r="F44" s="171"/>
      <c r="G44" s="171"/>
      <c r="H44" s="171"/>
      <c r="I44" s="171"/>
      <c r="J44" s="51"/>
      <c r="K44" s="1923"/>
      <c r="L44" s="1924"/>
      <c r="M44" s="1924"/>
      <c r="N44" s="1924"/>
      <c r="O44" s="1864"/>
      <c r="P44" s="1927"/>
      <c r="Q44" s="1928"/>
      <c r="R44" s="1928"/>
      <c r="S44" s="1931"/>
      <c r="T44" s="1932"/>
      <c r="U44" s="21"/>
      <c r="V44" s="21"/>
      <c r="W44" s="21"/>
      <c r="X44" s="21"/>
    </row>
    <row r="45" spans="1:24" s="31" customFormat="1" ht="15" customHeight="1" thickBot="1">
      <c r="A45" s="51" t="e">
        <f>#REF!</f>
        <v>#REF!</v>
      </c>
      <c r="B45" s="51"/>
      <c r="C45" s="51"/>
      <c r="D45" s="51"/>
      <c r="E45" s="51"/>
      <c r="F45" s="171"/>
      <c r="G45" s="171"/>
      <c r="H45" s="171"/>
      <c r="I45" s="171"/>
      <c r="J45" s="171"/>
      <c r="K45" s="171"/>
      <c r="L45" s="171"/>
      <c r="M45" s="171"/>
      <c r="N45" s="171"/>
      <c r="O45" s="61"/>
      <c r="P45" s="61"/>
      <c r="Q45" s="61"/>
      <c r="R45" s="61"/>
      <c r="S45" s="532"/>
      <c r="T45" s="532"/>
      <c r="U45" s="30"/>
      <c r="V45" s="21"/>
      <c r="W45" s="21"/>
      <c r="X45" s="21"/>
    </row>
    <row r="46" spans="1:24" s="30" customFormat="1" ht="15" customHeight="1">
      <c r="A46" s="30" t="e">
        <f>#REF!</f>
        <v>#REF!</v>
      </c>
      <c r="C46" s="525"/>
      <c r="D46" s="525"/>
      <c r="E46" s="525"/>
      <c r="F46" s="171"/>
      <c r="G46" s="171"/>
      <c r="H46" s="171"/>
      <c r="I46" s="171"/>
      <c r="J46" s="171"/>
      <c r="K46" s="1893" t="s">
        <v>1141</v>
      </c>
      <c r="L46" s="1894"/>
      <c r="M46" s="1894"/>
      <c r="N46" s="1895"/>
      <c r="O46" s="1902" t="e">
        <f>P38+P43</f>
        <v>#REF!</v>
      </c>
      <c r="P46" s="1903"/>
      <c r="Q46" s="1903"/>
      <c r="R46" s="1903"/>
      <c r="S46" s="1908" t="s">
        <v>1123</v>
      </c>
      <c r="T46" s="1909"/>
      <c r="U46" s="21"/>
      <c r="V46" s="21"/>
      <c r="W46" s="21"/>
      <c r="X46" s="21"/>
    </row>
    <row r="47" spans="1:24" ht="15" customHeight="1">
      <c r="A47" s="30" t="s">
        <v>1142</v>
      </c>
      <c r="B47" s="30"/>
      <c r="C47" s="30" t="e">
        <f>#REF!</f>
        <v>#REF!</v>
      </c>
      <c r="D47" s="30"/>
      <c r="E47" s="30"/>
      <c r="K47" s="1896"/>
      <c r="L47" s="1897"/>
      <c r="M47" s="1897"/>
      <c r="N47" s="1898"/>
      <c r="O47" s="1904"/>
      <c r="P47" s="1905"/>
      <c r="Q47" s="1905"/>
      <c r="R47" s="1905"/>
      <c r="S47" s="1741"/>
      <c r="T47" s="1910"/>
    </row>
    <row r="48" spans="1:24" ht="15" customHeight="1" thickBot="1">
      <c r="A48" s="51" t="s">
        <v>1143</v>
      </c>
      <c r="B48" s="51"/>
      <c r="C48" s="51" t="e">
        <f>#REF!</f>
        <v>#REF!</v>
      </c>
      <c r="D48" s="51"/>
      <c r="E48" s="51"/>
      <c r="K48" s="1899"/>
      <c r="L48" s="1900"/>
      <c r="M48" s="1900"/>
      <c r="N48" s="1901"/>
      <c r="O48" s="1906"/>
      <c r="P48" s="1907"/>
      <c r="Q48" s="1907"/>
      <c r="R48" s="1907"/>
      <c r="S48" s="1911"/>
      <c r="T48" s="1912"/>
    </row>
    <row r="49" spans="1:24" ht="15" customHeight="1">
      <c r="A49" s="51"/>
      <c r="B49" s="51"/>
      <c r="C49" s="51"/>
      <c r="D49" s="51"/>
      <c r="E49" s="51"/>
      <c r="K49" s="533"/>
      <c r="L49" s="533"/>
      <c r="M49" s="533"/>
      <c r="N49" s="533"/>
      <c r="O49" s="533"/>
      <c r="P49" s="533"/>
      <c r="Q49" s="533"/>
      <c r="R49" s="533"/>
      <c r="S49" s="534"/>
      <c r="T49" s="534"/>
    </row>
    <row r="50" spans="1:24" ht="15" customHeight="1">
      <c r="A50" s="178"/>
      <c r="B50" s="178"/>
      <c r="C50" s="178"/>
      <c r="D50" s="178"/>
      <c r="E50" s="178"/>
      <c r="F50" s="178"/>
      <c r="G50" s="178"/>
      <c r="H50" s="178"/>
      <c r="I50" s="178"/>
      <c r="J50" s="178"/>
      <c r="K50" s="179"/>
      <c r="L50" s="179"/>
      <c r="M50" s="179"/>
      <c r="N50" s="179"/>
      <c r="O50" s="179"/>
      <c r="P50" s="179"/>
      <c r="Q50" s="179"/>
      <c r="R50" s="179"/>
      <c r="S50" s="179"/>
      <c r="T50" s="179"/>
    </row>
    <row r="51" spans="1:24" ht="15" customHeight="1">
      <c r="K51" s="30"/>
      <c r="L51" s="30"/>
      <c r="M51" s="30"/>
      <c r="N51" s="30"/>
      <c r="O51" s="30"/>
      <c r="P51" s="30"/>
      <c r="Q51" s="30"/>
      <c r="R51" s="30"/>
      <c r="S51" s="30"/>
      <c r="T51" s="30"/>
    </row>
    <row r="52" spans="1:24" ht="15" customHeight="1">
      <c r="A52" s="1711" t="s">
        <v>1144</v>
      </c>
      <c r="B52" s="1712"/>
      <c r="C52" s="1712"/>
      <c r="D52" s="1713"/>
      <c r="E52" s="1913" t="s">
        <v>1145</v>
      </c>
      <c r="F52" s="1732"/>
      <c r="G52" s="1732"/>
      <c r="H52" s="1733"/>
      <c r="I52" s="1913" t="s">
        <v>1146</v>
      </c>
      <c r="J52" s="1732"/>
      <c r="K52" s="1732"/>
      <c r="L52" s="1733"/>
      <c r="M52" s="1913" t="s">
        <v>1147</v>
      </c>
      <c r="N52" s="1732"/>
      <c r="O52" s="1732"/>
      <c r="P52" s="1733"/>
      <c r="Q52" s="1913" t="s">
        <v>1148</v>
      </c>
      <c r="R52" s="1732"/>
      <c r="S52" s="1732"/>
      <c r="T52" s="1733"/>
    </row>
    <row r="53" spans="1:24" ht="15" customHeight="1">
      <c r="A53" s="1714"/>
      <c r="B53" s="1715"/>
      <c r="C53" s="1715"/>
      <c r="D53" s="1716"/>
      <c r="E53" s="1914"/>
      <c r="F53" s="1735"/>
      <c r="G53" s="1735"/>
      <c r="H53" s="1736"/>
      <c r="I53" s="1914"/>
      <c r="J53" s="1735"/>
      <c r="K53" s="1735"/>
      <c r="L53" s="1736"/>
      <c r="M53" s="1914"/>
      <c r="N53" s="1735"/>
      <c r="O53" s="1735"/>
      <c r="P53" s="1736"/>
      <c r="Q53" s="1914"/>
      <c r="R53" s="1735"/>
      <c r="S53" s="1735"/>
      <c r="T53" s="1736"/>
    </row>
    <row r="54" spans="1:24" ht="15" customHeight="1">
      <c r="A54" s="1711" t="s">
        <v>1085</v>
      </c>
      <c r="B54" s="1712"/>
      <c r="C54" s="1712"/>
      <c r="D54" s="1713"/>
      <c r="E54" s="1913" t="str">
        <f>VLOOKUP(Q8,V14:X18,3,FALSE)</f>
        <v>通所介護Ⅰ33</v>
      </c>
      <c r="F54" s="1732"/>
      <c r="G54" s="1732"/>
      <c r="H54" s="1733"/>
      <c r="I54" s="1913" t="str">
        <f>VLOOKUP(Q8,V21:X25,3,FALSE)</f>
        <v>通所介護Ⅰ23</v>
      </c>
      <c r="J54" s="1732"/>
      <c r="K54" s="1732"/>
      <c r="L54" s="1733"/>
      <c r="M54" s="1913" t="str">
        <f>VLOOKUP(Q8,V28:X32,3,FALSE)</f>
        <v>通所介護Ⅰ13</v>
      </c>
      <c r="N54" s="1732"/>
      <c r="O54" s="1732"/>
      <c r="P54" s="1733"/>
      <c r="Q54" s="1913" t="str">
        <f>VLOOKUP(Q8,V35:X39,3,FALSE)</f>
        <v>通所介護Ⅰ13・時減</v>
      </c>
      <c r="R54" s="1732"/>
      <c r="S54" s="1732"/>
      <c r="T54" s="1733"/>
    </row>
    <row r="55" spans="1:24" ht="15" customHeight="1">
      <c r="A55" s="1714"/>
      <c r="B55" s="1715"/>
      <c r="C55" s="1715"/>
      <c r="D55" s="1716"/>
      <c r="E55" s="1914"/>
      <c r="F55" s="1735"/>
      <c r="G55" s="1735"/>
      <c r="H55" s="1736"/>
      <c r="I55" s="1914"/>
      <c r="J55" s="1735"/>
      <c r="K55" s="1735"/>
      <c r="L55" s="1736"/>
      <c r="M55" s="1914"/>
      <c r="N55" s="1735"/>
      <c r="O55" s="1735"/>
      <c r="P55" s="1736"/>
      <c r="Q55" s="1914"/>
      <c r="R55" s="1735"/>
      <c r="S55" s="1735"/>
      <c r="T55" s="1736"/>
    </row>
    <row r="56" spans="1:24" ht="15" customHeight="1">
      <c r="A56" s="1711" t="s">
        <v>589</v>
      </c>
      <c r="B56" s="1712"/>
      <c r="C56" s="1712"/>
      <c r="D56" s="1713"/>
      <c r="E56" s="1933">
        <f>VLOOKUP(Q8,V14:X18,2,FALSE)</f>
        <v>1108</v>
      </c>
      <c r="F56" s="1934"/>
      <c r="G56" s="1934"/>
      <c r="H56" s="1935"/>
      <c r="I56" s="1933">
        <f>VLOOKUP(Q8,V21:X25,2,FALSE)</f>
        <v>957</v>
      </c>
      <c r="J56" s="1934"/>
      <c r="K56" s="1934"/>
      <c r="L56" s="1935"/>
      <c r="M56" s="1933">
        <f>VLOOKUP(Q8,V28:X32,2,FALSE)</f>
        <v>600</v>
      </c>
      <c r="N56" s="1934"/>
      <c r="O56" s="1934"/>
      <c r="P56" s="1935"/>
      <c r="Q56" s="1933">
        <f>VLOOKUP(Q8,V35:X39,2,FALSE)</f>
        <v>420</v>
      </c>
      <c r="R56" s="1934"/>
      <c r="S56" s="1934"/>
      <c r="T56" s="1935"/>
    </row>
    <row r="57" spans="1:24" ht="15" customHeight="1">
      <c r="A57" s="1714"/>
      <c r="B57" s="1715"/>
      <c r="C57" s="1715"/>
      <c r="D57" s="1716"/>
      <c r="E57" s="1936"/>
      <c r="F57" s="1937"/>
      <c r="G57" s="1937"/>
      <c r="H57" s="1938"/>
      <c r="I57" s="1936"/>
      <c r="J57" s="1937"/>
      <c r="K57" s="1937"/>
      <c r="L57" s="1938"/>
      <c r="M57" s="1936"/>
      <c r="N57" s="1937"/>
      <c r="O57" s="1937"/>
      <c r="P57" s="1938"/>
      <c r="Q57" s="1936"/>
      <c r="R57" s="1937"/>
      <c r="S57" s="1937"/>
      <c r="T57" s="1938"/>
    </row>
    <row r="58" spans="1:24" ht="15" customHeight="1">
      <c r="U58" s="21" t="e">
        <f>VLOOKUP(F11,V10:X12,2,FALSE)</f>
        <v>#REF!</v>
      </c>
    </row>
    <row r="59" spans="1:24" ht="15" customHeight="1">
      <c r="U59" s="6" t="s">
        <v>83</v>
      </c>
      <c r="V59" s="21" t="s">
        <v>1051</v>
      </c>
      <c r="W59" s="21">
        <v>0</v>
      </c>
      <c r="X59" s="53" t="s">
        <v>1149</v>
      </c>
    </row>
    <row r="60" spans="1:24" ht="20.100000000000001" customHeight="1"/>
    <row r="61" spans="1:24" ht="20.100000000000001" customHeight="1"/>
    <row r="62" spans="1:24" ht="20.100000000000001" customHeight="1"/>
    <row r="63" spans="1:24" ht="20.100000000000001" customHeight="1"/>
  </sheetData>
  <sheetProtection selectLockedCells="1"/>
  <mergeCells count="128">
    <mergeCell ref="A54:D55"/>
    <mergeCell ref="E54:H55"/>
    <mergeCell ref="I54:L55"/>
    <mergeCell ref="M54:P55"/>
    <mergeCell ref="Q54:T55"/>
    <mergeCell ref="A56:D57"/>
    <mergeCell ref="E56:H57"/>
    <mergeCell ref="I56:L57"/>
    <mergeCell ref="M56:P57"/>
    <mergeCell ref="Q56:T57"/>
    <mergeCell ref="K46:N48"/>
    <mergeCell ref="O46:R48"/>
    <mergeCell ref="S46:T48"/>
    <mergeCell ref="A52:D53"/>
    <mergeCell ref="E52:H53"/>
    <mergeCell ref="I52:L53"/>
    <mergeCell ref="M52:P53"/>
    <mergeCell ref="Q52:T53"/>
    <mergeCell ref="K41:N42"/>
    <mergeCell ref="O41:R42"/>
    <mergeCell ref="S41:T42"/>
    <mergeCell ref="K43:N44"/>
    <mergeCell ref="O43:O44"/>
    <mergeCell ref="P43:R44"/>
    <mergeCell ref="S43:T44"/>
    <mergeCell ref="K36:N37"/>
    <mergeCell ref="O36:O37"/>
    <mergeCell ref="P36:R37"/>
    <mergeCell ref="S36:T37"/>
    <mergeCell ref="K38:N39"/>
    <mergeCell ref="O38:O39"/>
    <mergeCell ref="P38:R39"/>
    <mergeCell ref="S38:T39"/>
    <mergeCell ref="M32:N32"/>
    <mergeCell ref="O32:O33"/>
    <mergeCell ref="P32:R33"/>
    <mergeCell ref="S32:T33"/>
    <mergeCell ref="K33:N33"/>
    <mergeCell ref="K34:N35"/>
    <mergeCell ref="O34:O35"/>
    <mergeCell ref="P34:R35"/>
    <mergeCell ref="S34:T35"/>
    <mergeCell ref="A29:E30"/>
    <mergeCell ref="F29:I30"/>
    <mergeCell ref="K30:N31"/>
    <mergeCell ref="O30:O31"/>
    <mergeCell ref="P30:R31"/>
    <mergeCell ref="S30:T31"/>
    <mergeCell ref="A31:E32"/>
    <mergeCell ref="F31:G32"/>
    <mergeCell ref="H31:H32"/>
    <mergeCell ref="I31:I32"/>
    <mergeCell ref="K28:N29"/>
    <mergeCell ref="O28:O29"/>
    <mergeCell ref="P28:R29"/>
    <mergeCell ref="S28:T29"/>
    <mergeCell ref="S24:T25"/>
    <mergeCell ref="K25:L25"/>
    <mergeCell ref="M25:N25"/>
    <mergeCell ref="A22:E23"/>
    <mergeCell ref="F22:G23"/>
    <mergeCell ref="H22:I23"/>
    <mergeCell ref="K22:N22"/>
    <mergeCell ref="O22:O23"/>
    <mergeCell ref="P22:R23"/>
    <mergeCell ref="S22:T23"/>
    <mergeCell ref="P26:R27"/>
    <mergeCell ref="S26:T27"/>
    <mergeCell ref="M19:N19"/>
    <mergeCell ref="A20:E21"/>
    <mergeCell ref="F20:G21"/>
    <mergeCell ref="H20:I21"/>
    <mergeCell ref="K20:N20"/>
    <mergeCell ref="P20:R21"/>
    <mergeCell ref="S20:T21"/>
    <mergeCell ref="K21:L21"/>
    <mergeCell ref="M21:N21"/>
    <mergeCell ref="A26:E27"/>
    <mergeCell ref="F26:G27"/>
    <mergeCell ref="H26:I27"/>
    <mergeCell ref="K26:N27"/>
    <mergeCell ref="O26:O27"/>
    <mergeCell ref="K23:L23"/>
    <mergeCell ref="M23:N23"/>
    <mergeCell ref="A24:E25"/>
    <mergeCell ref="F24:G25"/>
    <mergeCell ref="H24:I25"/>
    <mergeCell ref="K24:N24"/>
    <mergeCell ref="O24:O25"/>
    <mergeCell ref="P24:R25"/>
    <mergeCell ref="S14:T15"/>
    <mergeCell ref="K15:L15"/>
    <mergeCell ref="M15:N15"/>
    <mergeCell ref="A16:E17"/>
    <mergeCell ref="F16:G17"/>
    <mergeCell ref="H16:I17"/>
    <mergeCell ref="K16:N16"/>
    <mergeCell ref="P16:R17"/>
    <mergeCell ref="S16:T17"/>
    <mergeCell ref="K17:L17"/>
    <mergeCell ref="A14:E15"/>
    <mergeCell ref="F14:G15"/>
    <mergeCell ref="H14:I15"/>
    <mergeCell ref="K14:N14"/>
    <mergeCell ref="O14:O21"/>
    <mergeCell ref="P14:R15"/>
    <mergeCell ref="M17:N17"/>
    <mergeCell ref="A18:E19"/>
    <mergeCell ref="F18:G19"/>
    <mergeCell ref="H18:I19"/>
    <mergeCell ref="K18:N18"/>
    <mergeCell ref="P18:R19"/>
    <mergeCell ref="S18:T19"/>
    <mergeCell ref="K19:L19"/>
    <mergeCell ref="M8:P9"/>
    <mergeCell ref="Q8:T9"/>
    <mergeCell ref="A11:E12"/>
    <mergeCell ref="F11:I12"/>
    <mergeCell ref="K11:N12"/>
    <mergeCell ref="O11:Q12"/>
    <mergeCell ref="R11:T12"/>
    <mergeCell ref="A2:T3"/>
    <mergeCell ref="A4:I6"/>
    <mergeCell ref="J4:J6"/>
    <mergeCell ref="N4:O6"/>
    <mergeCell ref="P4:P6"/>
    <mergeCell ref="S4:T6"/>
    <mergeCell ref="Q4:R6"/>
  </mergeCells>
  <phoneticPr fontId="16"/>
  <conditionalFormatting sqref="P26">
    <cfRule type="expression" dxfId="1" priority="1">
      <formula>$P$26&gt;#REF!</formula>
    </cfRule>
  </conditionalFormatting>
  <dataValidations count="2">
    <dataValidation type="list" allowBlank="1" showInputMessage="1" showErrorMessage="1" sqref="Q8:T9" xr:uid="{00000000-0002-0000-0C00-000000000000}">
      <formula1>$V$14:$V$18</formula1>
    </dataValidation>
    <dataValidation type="list" allowBlank="1" showInputMessage="1" showErrorMessage="1" sqref="O11" xr:uid="{00000000-0002-0000-0C00-000001000000}">
      <formula1>#REF!</formula1>
    </dataValidation>
  </dataValidations>
  <printOptions horizontalCentered="1"/>
  <pageMargins left="0.70866141732283472" right="0.70866141732283472" top="0.55118110236220474" bottom="0.55118110236220474" header="0.31496062992125984" footer="0.31496062992125984"/>
  <pageSetup paperSize="9" scale="95"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L62"/>
  <sheetViews>
    <sheetView view="pageBreakPreview" topLeftCell="A4" zoomScaleNormal="100" zoomScaleSheetLayoutView="100" workbookViewId="0">
      <selection activeCell="A53" sqref="A53:XFD53"/>
    </sheetView>
  </sheetViews>
  <sheetFormatPr defaultColWidth="9" defaultRowHeight="18.75"/>
  <cols>
    <col min="1" max="1" width="10.625" style="461" customWidth="1"/>
    <col min="2" max="4" width="12.625" style="461" customWidth="1"/>
    <col min="5" max="5" width="1.625" style="461" customWidth="1"/>
    <col min="6" max="11" width="10.625" style="461" customWidth="1"/>
    <col min="12" max="16384" width="9" style="461"/>
  </cols>
  <sheetData>
    <row r="1" spans="1:11" ht="24">
      <c r="A1" s="460" t="s">
        <v>1204</v>
      </c>
      <c r="D1" s="814" t="s">
        <v>2022</v>
      </c>
      <c r="I1" s="462" t="s">
        <v>1205</v>
      </c>
      <c r="J1" s="541" t="str">
        <f>【マスター】!D40</f>
        <v>7級地</v>
      </c>
      <c r="K1" s="463">
        <f>【マスター】!F40</f>
        <v>10.14</v>
      </c>
    </row>
    <row r="2" spans="1:11">
      <c r="A2" s="1945" t="s">
        <v>1206</v>
      </c>
      <c r="B2" s="1946"/>
      <c r="C2" s="1946"/>
      <c r="D2" s="1947"/>
      <c r="F2" s="1944" t="s">
        <v>1220</v>
      </c>
      <c r="G2" s="1944"/>
      <c r="H2" s="1944"/>
      <c r="I2" s="1944"/>
      <c r="J2" s="1944"/>
      <c r="K2" s="1944"/>
    </row>
    <row r="3" spans="1:11">
      <c r="A3" s="537" t="s">
        <v>1208</v>
      </c>
      <c r="B3" s="1948" t="s">
        <v>1209</v>
      </c>
      <c r="C3" s="1948"/>
      <c r="D3" s="1948"/>
      <c r="F3" s="1951" t="s">
        <v>168</v>
      </c>
      <c r="G3" s="1951"/>
      <c r="H3" s="1951"/>
      <c r="I3" s="540" t="s">
        <v>1223</v>
      </c>
      <c r="J3" s="540" t="s">
        <v>1211</v>
      </c>
      <c r="K3" s="540" t="s">
        <v>1212</v>
      </c>
    </row>
    <row r="4" spans="1:11">
      <c r="A4" s="538" t="s">
        <v>1213</v>
      </c>
      <c r="B4" s="464" t="s">
        <v>1214</v>
      </c>
      <c r="C4" s="465" t="str">
        <f>ASC(【マスター】!Q5)&amp;"単位"</f>
        <v>416単位</v>
      </c>
      <c r="D4" s="466" t="str">
        <f>ASC(【マスター】!R5)&amp;"円"</f>
        <v>4,218円</v>
      </c>
      <c r="F4" s="1950" t="str">
        <f>【マスター】!A50</f>
        <v>入浴介助加算（Ⅰ）/日</v>
      </c>
      <c r="G4" s="1950"/>
      <c r="H4" s="1950"/>
      <c r="I4" s="614" t="str">
        <f>IF(【マスター】!C50="","",【マスター】!C50)</f>
        <v>有</v>
      </c>
      <c r="J4" s="467" t="str">
        <f>ASC(【マスター】!D50&amp;"単位")</f>
        <v>40単位</v>
      </c>
      <c r="K4" s="467" t="str">
        <f>ASC(【マスター】!E50)&amp;"円"</f>
        <v>405円</v>
      </c>
    </row>
    <row r="5" spans="1:11">
      <c r="A5" s="538" t="s">
        <v>1216</v>
      </c>
      <c r="B5" s="464" t="s">
        <v>1217</v>
      </c>
      <c r="C5" s="465" t="str">
        <f>ASC(【マスター】!Q6)&amp;"単位"</f>
        <v>478単位</v>
      </c>
      <c r="D5" s="466" t="str">
        <f>ASC(【マスター】!R6)&amp;"円"</f>
        <v>4,846円</v>
      </c>
      <c r="F5" s="1950" t="str">
        <f>【マスター】!A51</f>
        <v>入浴介助加算（Ⅱ）/日</v>
      </c>
      <c r="G5" s="1950"/>
      <c r="H5" s="1950"/>
      <c r="I5" s="614" t="str">
        <f>IF(【マスター】!C51="","",【マスター】!C51)</f>
        <v>有</v>
      </c>
      <c r="J5" s="467" t="str">
        <f>ASC(【マスター】!D51&amp;"単位")</f>
        <v>55単位</v>
      </c>
      <c r="K5" s="467" t="str">
        <f>ASC(【マスター】!E51)&amp;"円"</f>
        <v>557円</v>
      </c>
    </row>
    <row r="6" spans="1:11">
      <c r="A6" s="538" t="s">
        <v>1218</v>
      </c>
      <c r="B6" s="464" t="s">
        <v>1219</v>
      </c>
      <c r="C6" s="465" t="str">
        <f>ASC(【マスター】!Q7)&amp;"単位"</f>
        <v>540単位</v>
      </c>
      <c r="D6" s="466" t="str">
        <f>ASC(【マスター】!R7)&amp;"円"</f>
        <v>5,475円</v>
      </c>
      <c r="F6" s="1950" t="str">
        <f>【マスター】!A52</f>
        <v>認知症加算/日</v>
      </c>
      <c r="G6" s="1950"/>
      <c r="H6" s="1950"/>
      <c r="I6" s="614" t="str">
        <f>IF(【マスター】!C52="","",【マスター】!C52)</f>
        <v/>
      </c>
      <c r="J6" s="467" t="str">
        <f>ASC(【マスター】!D52&amp;"単位")</f>
        <v>60単位</v>
      </c>
      <c r="K6" s="467" t="str">
        <f>ASC(【マスター】!E52)&amp;"円"</f>
        <v>608円</v>
      </c>
    </row>
    <row r="7" spans="1:11">
      <c r="A7" s="538" t="s">
        <v>1221</v>
      </c>
      <c r="B7" s="464" t="s">
        <v>1222</v>
      </c>
      <c r="C7" s="465" t="str">
        <f>ASC(【マスター】!Q8)&amp;"単位"</f>
        <v>600単位</v>
      </c>
      <c r="D7" s="466" t="str">
        <f>ASC(【マスター】!R8)&amp;"円"</f>
        <v>6,084円</v>
      </c>
      <c r="F7" s="1950" t="str">
        <f>【マスター】!A53</f>
        <v>若年性認知症利用者受入加算/日</v>
      </c>
      <c r="G7" s="1950"/>
      <c r="H7" s="1950"/>
      <c r="I7" s="614" t="str">
        <f>IF(【マスター】!C53="","",【マスター】!C53)</f>
        <v>有</v>
      </c>
      <c r="J7" s="467" t="str">
        <f>ASC(【マスター】!D53&amp;"単位")</f>
        <v>60単位</v>
      </c>
      <c r="K7" s="467" t="str">
        <f>ASC(【マスター】!E53)&amp;"円"</f>
        <v>608円</v>
      </c>
    </row>
    <row r="8" spans="1:11">
      <c r="A8" s="538" t="s">
        <v>1224</v>
      </c>
      <c r="B8" s="464" t="s">
        <v>1225</v>
      </c>
      <c r="C8" s="465" t="str">
        <f>ASC(【マスター】!Q9)&amp;"単位"</f>
        <v>663単位</v>
      </c>
      <c r="D8" s="466" t="str">
        <f>ASC(【マスター】!R9)&amp;"円"</f>
        <v>6,722円</v>
      </c>
      <c r="F8" s="1950" t="str">
        <f>【マスター】!A54</f>
        <v>中重度者ケア体制加算/日</v>
      </c>
      <c r="G8" s="1950"/>
      <c r="H8" s="1950"/>
      <c r="I8" s="614" t="str">
        <f>IF(【マスター】!C54="","",【マスター】!C54)</f>
        <v/>
      </c>
      <c r="J8" s="467" t="str">
        <f>ASC(【マスター】!D54&amp;"単位")</f>
        <v>45単位</v>
      </c>
      <c r="K8" s="467" t="str">
        <f>ASC(【マスター】!E54)&amp;"円"</f>
        <v>456円</v>
      </c>
    </row>
    <row r="9" spans="1:11">
      <c r="A9" s="539" t="s">
        <v>1208</v>
      </c>
      <c r="B9" s="1948" t="s">
        <v>1226</v>
      </c>
      <c r="C9" s="1948"/>
      <c r="D9" s="1948"/>
      <c r="F9" s="1950" t="str">
        <f>【マスター】!A55</f>
        <v>個別機能訓練加算（Ⅰ）イ/日</v>
      </c>
      <c r="G9" s="1950"/>
      <c r="H9" s="1950"/>
      <c r="I9" s="614" t="str">
        <f>IF(【マスター】!C55="","",【マスター】!C55)</f>
        <v>有</v>
      </c>
      <c r="J9" s="467" t="str">
        <f>ASC(【マスター】!D55&amp;"単位")</f>
        <v>56単位</v>
      </c>
      <c r="K9" s="467" t="str">
        <f>ASC(【マスター】!E55)&amp;"円"</f>
        <v>567円</v>
      </c>
    </row>
    <row r="10" spans="1:11">
      <c r="A10" s="538" t="s">
        <v>1213</v>
      </c>
      <c r="B10" s="464" t="s">
        <v>1227</v>
      </c>
      <c r="C10" s="465" t="str">
        <f>ASC(【マスター】!Q10)&amp;"単位"</f>
        <v>436単位</v>
      </c>
      <c r="D10" s="466" t="str">
        <f>ASC(【マスター】!R10)&amp;"円"</f>
        <v>4,421円</v>
      </c>
      <c r="F10" s="1950" t="str">
        <f>【マスター】!A56</f>
        <v>個別機能訓練加算（Ⅰ）ロ/日</v>
      </c>
      <c r="G10" s="1950"/>
      <c r="H10" s="1950"/>
      <c r="I10" s="614" t="str">
        <f>IF(【マスター】!C56="","",【マスター】!C56)</f>
        <v/>
      </c>
      <c r="J10" s="467" t="str">
        <f>ASC(【マスター】!D56&amp;"単位")</f>
        <v>76単位</v>
      </c>
      <c r="K10" s="467" t="str">
        <f>ASC(【マスター】!E56)&amp;"円"</f>
        <v>770円</v>
      </c>
    </row>
    <row r="11" spans="1:11">
      <c r="A11" s="538" t="s">
        <v>1216</v>
      </c>
      <c r="B11" s="464" t="s">
        <v>1228</v>
      </c>
      <c r="C11" s="465" t="str">
        <f>ASC(【マスター】!Q11)&amp;"単位"</f>
        <v>501単位</v>
      </c>
      <c r="D11" s="466" t="str">
        <f>ASC(【マスター】!R11)&amp;"円"</f>
        <v>5,080円</v>
      </c>
      <c r="F11" s="1950" t="str">
        <f>【マスター】!A57</f>
        <v>個別機能訓練加算（Ⅱ）/月</v>
      </c>
      <c r="G11" s="1950"/>
      <c r="H11" s="1950"/>
      <c r="I11" s="614" t="str">
        <f>IF(【マスター】!C57="","",【マスター】!C57)</f>
        <v/>
      </c>
      <c r="J11" s="467" t="str">
        <f>ASC(【マスター】!D57&amp;"単位")</f>
        <v>20単位</v>
      </c>
      <c r="K11" s="467" t="str">
        <f>ASC(【マスター】!E57)&amp;"円"</f>
        <v>202円</v>
      </c>
    </row>
    <row r="12" spans="1:11">
      <c r="A12" s="538" t="s">
        <v>1218</v>
      </c>
      <c r="B12" s="464" t="s">
        <v>1229</v>
      </c>
      <c r="C12" s="465" t="str">
        <f>ASC(【マスター】!Q12)&amp;"単位"</f>
        <v>566単位</v>
      </c>
      <c r="D12" s="466" t="str">
        <f>ASC(【マスター】!R12)&amp;"円"</f>
        <v>5,739円</v>
      </c>
      <c r="F12" s="1950" t="str">
        <f>【マスター】!A58</f>
        <v>サービス提供体制強化加算（Ⅰ）/日</v>
      </c>
      <c r="G12" s="1950"/>
      <c r="H12" s="1950"/>
      <c r="I12" s="614" t="str">
        <f>IF(【マスター】!C58="","",【マスター】!C58)</f>
        <v/>
      </c>
      <c r="J12" s="467" t="str">
        <f>ASC(【マスター】!D58&amp;"単位")</f>
        <v>22単位</v>
      </c>
      <c r="K12" s="467" t="str">
        <f>ASC(【マスター】!E58)&amp;"円"</f>
        <v>223円</v>
      </c>
    </row>
    <row r="13" spans="1:11">
      <c r="A13" s="538" t="s">
        <v>1221</v>
      </c>
      <c r="B13" s="464" t="s">
        <v>1230</v>
      </c>
      <c r="C13" s="465" t="str">
        <f>ASC(【マスター】!Q13)&amp;"単位"</f>
        <v>629単位</v>
      </c>
      <c r="D13" s="466" t="str">
        <f>ASC(【マスター】!R13)&amp;"円"</f>
        <v>6,378円</v>
      </c>
      <c r="F13" s="1950" t="str">
        <f>【マスター】!A59</f>
        <v>サービス提供体制強化加算（Ⅱ）/日</v>
      </c>
      <c r="G13" s="1950"/>
      <c r="H13" s="1950"/>
      <c r="I13" s="614" t="str">
        <f>IF(【マスター】!C59="","",【マスター】!C59)</f>
        <v/>
      </c>
      <c r="J13" s="467" t="str">
        <f>ASC(【マスター】!D59&amp;"単位")</f>
        <v>18単位</v>
      </c>
      <c r="K13" s="467" t="str">
        <f>ASC(【マスター】!E59)&amp;"円"</f>
        <v>182円</v>
      </c>
    </row>
    <row r="14" spans="1:11">
      <c r="A14" s="538" t="s">
        <v>1224</v>
      </c>
      <c r="B14" s="464" t="s">
        <v>1231</v>
      </c>
      <c r="C14" s="465" t="str">
        <f>ASC(【マスター】!Q14)&amp;"単位"</f>
        <v>695単位</v>
      </c>
      <c r="D14" s="466" t="str">
        <f>ASC(【マスター】!R14)&amp;"円"</f>
        <v>7,047円</v>
      </c>
      <c r="F14" s="1950" t="str">
        <f>【マスター】!A60</f>
        <v>サービス提供体制強化加算（Ⅲ）/日</v>
      </c>
      <c r="G14" s="1950"/>
      <c r="H14" s="1950"/>
      <c r="I14" s="614" t="str">
        <f>IF(【マスター】!C60="","",【マスター】!C60)</f>
        <v/>
      </c>
      <c r="J14" s="467" t="str">
        <f>ASC(【マスター】!D60&amp;"単位")</f>
        <v>6単位</v>
      </c>
      <c r="K14" s="467" t="str">
        <f>ASC(【マスター】!E60)&amp;"円"</f>
        <v>60円</v>
      </c>
    </row>
    <row r="15" spans="1:11">
      <c r="A15" s="539" t="s">
        <v>1208</v>
      </c>
      <c r="B15" s="1948" t="s">
        <v>1232</v>
      </c>
      <c r="C15" s="1948"/>
      <c r="D15" s="1948"/>
      <c r="F15" s="1950" t="str">
        <f>【マスター】!A61</f>
        <v>栄養改善加算/回</v>
      </c>
      <c r="G15" s="1950"/>
      <c r="H15" s="1950"/>
      <c r="I15" s="614" t="str">
        <f>IF(【マスター】!C61="","",【マスター】!C61)</f>
        <v/>
      </c>
      <c r="J15" s="467" t="str">
        <f>ASC(【マスター】!D61&amp;"単位")</f>
        <v>200単位</v>
      </c>
      <c r="K15" s="467" t="str">
        <f>ASC(【マスター】!E61)&amp;"円"</f>
        <v>2,028円</v>
      </c>
    </row>
    <row r="16" spans="1:11">
      <c r="A16" s="538" t="s">
        <v>1213</v>
      </c>
      <c r="B16" s="464" t="s">
        <v>1233</v>
      </c>
      <c r="C16" s="465" t="str">
        <f>ASC(【マスター】!Q15)&amp;"単位"</f>
        <v>657単位</v>
      </c>
      <c r="D16" s="466" t="str">
        <f>ASC(【マスター】!R15)&amp;"円"</f>
        <v>6,661円</v>
      </c>
      <c r="F16" s="1950" t="str">
        <f>【マスター】!A62</f>
        <v>栄養アセスメント加算/月</v>
      </c>
      <c r="G16" s="1950"/>
      <c r="H16" s="1950"/>
      <c r="I16" s="614" t="str">
        <f>IF(【マスター】!C62="","",【マスター】!C62)</f>
        <v/>
      </c>
      <c r="J16" s="467" t="str">
        <f>ASC(【マスター】!D62&amp;"単位")</f>
        <v>50単位</v>
      </c>
      <c r="K16" s="467" t="str">
        <f>ASC(【マスター】!E62)&amp;"円"</f>
        <v>507円</v>
      </c>
    </row>
    <row r="17" spans="1:12">
      <c r="A17" s="538" t="s">
        <v>1216</v>
      </c>
      <c r="B17" s="464" t="s">
        <v>1234</v>
      </c>
      <c r="C17" s="465" t="str">
        <f>ASC(【マスター】!Q16)&amp;"単位"</f>
        <v>776単位</v>
      </c>
      <c r="D17" s="466" t="str">
        <f>ASC(【マスター】!R16)&amp;"円"</f>
        <v>7,868円</v>
      </c>
      <c r="F17" s="1950" t="str">
        <f>【マスター】!A63</f>
        <v>口腔・栄養スクリーニング加算（Ⅰ）/回</v>
      </c>
      <c r="G17" s="1950"/>
      <c r="H17" s="1950"/>
      <c r="I17" s="614" t="str">
        <f>IF(【マスター】!C63="","",【マスター】!C63)</f>
        <v/>
      </c>
      <c r="J17" s="467" t="str">
        <f>ASC(【マスター】!D63&amp;"単位")</f>
        <v>20単位</v>
      </c>
      <c r="K17" s="467" t="str">
        <f>ASC(【マスター】!E63)&amp;"円"</f>
        <v>202円</v>
      </c>
    </row>
    <row r="18" spans="1:12">
      <c r="A18" s="538" t="s">
        <v>1218</v>
      </c>
      <c r="B18" s="464" t="s">
        <v>1235</v>
      </c>
      <c r="C18" s="465" t="str">
        <f>ASC(【マスター】!Q17)&amp;"単位"</f>
        <v>896単位</v>
      </c>
      <c r="D18" s="466" t="str">
        <f>ASC(【マスター】!R17)&amp;"円"</f>
        <v>9,085円</v>
      </c>
      <c r="F18" s="1950" t="str">
        <f>【マスター】!A64</f>
        <v>口腔・栄養スクリーニング加算（Ⅱ）/回</v>
      </c>
      <c r="G18" s="1950"/>
      <c r="H18" s="1950"/>
      <c r="I18" s="614" t="str">
        <f>IF(【マスター】!C64="","",【マスター】!C64)</f>
        <v/>
      </c>
      <c r="J18" s="467" t="str">
        <f>ASC(【マスター】!D64&amp;"単位")</f>
        <v>5単位</v>
      </c>
      <c r="K18" s="467" t="str">
        <f>ASC(【マスター】!E64)&amp;"円"</f>
        <v>50円</v>
      </c>
    </row>
    <row r="19" spans="1:12">
      <c r="A19" s="538" t="s">
        <v>1221</v>
      </c>
      <c r="B19" s="464" t="s">
        <v>1236</v>
      </c>
      <c r="C19" s="465" t="str">
        <f>ASC(【マスター】!Q18)&amp;"単位"</f>
        <v>1,013単位</v>
      </c>
      <c r="D19" s="466" t="str">
        <f>ASC(【マスター】!R18)&amp;"円"</f>
        <v>10,271円</v>
      </c>
      <c r="F19" s="1950" t="str">
        <f>【マスター】!A65</f>
        <v>口腔機能向上加算（Ⅰ）/回</v>
      </c>
      <c r="G19" s="1950"/>
      <c r="H19" s="1950"/>
      <c r="I19" s="614" t="str">
        <f>IF(【マスター】!C65="","",【マスター】!C65)</f>
        <v>有</v>
      </c>
      <c r="J19" s="467" t="str">
        <f>ASC(【マスター】!D65&amp;"単位")</f>
        <v>150単位</v>
      </c>
      <c r="K19" s="467" t="str">
        <f>ASC(【マスター】!E65)&amp;"円"</f>
        <v>1,521円</v>
      </c>
    </row>
    <row r="20" spans="1:12">
      <c r="A20" s="538" t="s">
        <v>1224</v>
      </c>
      <c r="B20" s="464" t="s">
        <v>1237</v>
      </c>
      <c r="C20" s="465" t="str">
        <f>ASC(【マスター】!Q19)&amp;"単位"</f>
        <v>1,134単位</v>
      </c>
      <c r="D20" s="466" t="str">
        <f>ASC(【マスター】!R19)&amp;"円"</f>
        <v>11,498円</v>
      </c>
      <c r="F20" s="1950" t="str">
        <f>【マスター】!A66</f>
        <v>口腔機能向上加算（Ⅱ）/回</v>
      </c>
      <c r="G20" s="1950"/>
      <c r="H20" s="1950"/>
      <c r="I20" s="614" t="str">
        <f>IF(【マスター】!C66="","",【マスター】!C66)</f>
        <v/>
      </c>
      <c r="J20" s="467" t="str">
        <f>ASC(【マスター】!D66&amp;"単位")</f>
        <v>160単位</v>
      </c>
      <c r="K20" s="467" t="str">
        <f>ASC(【マスター】!E66)&amp;"円"</f>
        <v>1,622円</v>
      </c>
    </row>
    <row r="21" spans="1:12">
      <c r="A21" s="539" t="s">
        <v>1208</v>
      </c>
      <c r="B21" s="1949" t="s">
        <v>1238</v>
      </c>
      <c r="C21" s="1949"/>
      <c r="D21" s="1949"/>
      <c r="F21" s="1950" t="str">
        <f>【マスター】!A67</f>
        <v>ＡＤＬ維持等加算（Ⅰ）/月</v>
      </c>
      <c r="G21" s="1950"/>
      <c r="H21" s="1950"/>
      <c r="I21" s="614" t="str">
        <f>IF(【マスター】!C67="","",【マスター】!C67)</f>
        <v/>
      </c>
      <c r="J21" s="467" t="str">
        <f>ASC(【マスター】!D67&amp;"単位")</f>
        <v>30単位</v>
      </c>
      <c r="K21" s="467" t="str">
        <f>ASC(【マスター】!E67)&amp;"円"</f>
        <v>304円</v>
      </c>
    </row>
    <row r="22" spans="1:12">
      <c r="A22" s="538" t="s">
        <v>1213</v>
      </c>
      <c r="B22" s="464" t="s">
        <v>1239</v>
      </c>
      <c r="C22" s="465" t="str">
        <f>ASC(【マスター】!Q20)&amp;"単位"</f>
        <v>678単位</v>
      </c>
      <c r="D22" s="466" t="str">
        <f>ASC(【マスター】!R20)&amp;"円"</f>
        <v>6,874円</v>
      </c>
      <c r="F22" s="1950" t="str">
        <f>【マスター】!A68</f>
        <v>ＡＤＬ維持等加算（Ⅱ）/月</v>
      </c>
      <c r="G22" s="1950"/>
      <c r="H22" s="1950"/>
      <c r="I22" s="614" t="str">
        <f>IF(【マスター】!C68="","",【マスター】!C68)</f>
        <v/>
      </c>
      <c r="J22" s="467" t="str">
        <f>ASC(【マスター】!D68&amp;"単位")</f>
        <v>60単位</v>
      </c>
      <c r="K22" s="467" t="str">
        <f>ASC(【マスター】!E68)&amp;"円"</f>
        <v>608円</v>
      </c>
    </row>
    <row r="23" spans="1:12">
      <c r="A23" s="538" t="s">
        <v>1216</v>
      </c>
      <c r="B23" s="464" t="s">
        <v>1240</v>
      </c>
      <c r="C23" s="465" t="str">
        <f>ASC(【マスター】!Q21)&amp;"単位"</f>
        <v>801単位</v>
      </c>
      <c r="D23" s="466" t="str">
        <f>ASC(【マスター】!R21)&amp;"円"</f>
        <v>8,122円</v>
      </c>
      <c r="F23" s="1950" t="str">
        <f>【マスター】!A69</f>
        <v>ＡＤＬ維持等加算（Ⅲ）/月</v>
      </c>
      <c r="G23" s="1950"/>
      <c r="H23" s="1950"/>
      <c r="I23" s="614" t="str">
        <f>IF(【マスター】!C69="","",【マスター】!C69)</f>
        <v/>
      </c>
      <c r="J23" s="467" t="str">
        <f>ASC(【マスター】!D69&amp;"単位")</f>
        <v>3単位</v>
      </c>
      <c r="K23" s="467" t="str">
        <f>ASC(【マスター】!E69)&amp;"円"</f>
        <v>30円</v>
      </c>
    </row>
    <row r="24" spans="1:12">
      <c r="A24" s="538" t="s">
        <v>1218</v>
      </c>
      <c r="B24" s="464" t="s">
        <v>1241</v>
      </c>
      <c r="C24" s="465" t="str">
        <f>ASC(【マスター】!Q22)&amp;"単位"</f>
        <v>925単位</v>
      </c>
      <c r="D24" s="466" t="str">
        <f>ASC(【マスター】!R22)&amp;"円"</f>
        <v>9,379円</v>
      </c>
      <c r="F24" s="1950" t="str">
        <f>【マスター】!A70</f>
        <v>生活機能向上連携加算（Ⅰ）/月</v>
      </c>
      <c r="G24" s="1950"/>
      <c r="H24" s="1950"/>
      <c r="I24" s="614" t="str">
        <f>IF(【マスター】!C70="","",【マスター】!C70)</f>
        <v/>
      </c>
      <c r="J24" s="467" t="str">
        <f>ASC(【マスター】!D70&amp;"単位")</f>
        <v>100単位</v>
      </c>
      <c r="K24" s="467" t="str">
        <f>ASC(【マスター】!E70)&amp;"円"</f>
        <v>1,014円</v>
      </c>
    </row>
    <row r="25" spans="1:12">
      <c r="A25" s="538" t="s">
        <v>1221</v>
      </c>
      <c r="B25" s="464" t="s">
        <v>1242</v>
      </c>
      <c r="C25" s="465" t="str">
        <f>ASC(【マスター】!Q23)&amp;"単位"</f>
        <v>1,049単位</v>
      </c>
      <c r="D25" s="466" t="str">
        <f>ASC(【マスター】!R23)&amp;"円"</f>
        <v>10,636円</v>
      </c>
      <c r="F25" s="1950" t="str">
        <f>【マスター】!A71</f>
        <v>生活機能向上連携加算（Ⅱ）/月</v>
      </c>
      <c r="G25" s="1950"/>
      <c r="H25" s="1950"/>
      <c r="I25" s="614" t="str">
        <f>IF(【マスター】!C71="","",【マスター】!C71)</f>
        <v/>
      </c>
      <c r="J25" s="467" t="str">
        <f>ASC(【マスター】!D71&amp;"単位")</f>
        <v>100単位</v>
      </c>
      <c r="K25" s="467" t="str">
        <f>ASC(【マスター】!E71)&amp;"円"</f>
        <v>1,014円</v>
      </c>
    </row>
    <row r="26" spans="1:12">
      <c r="A26" s="538" t="s">
        <v>1224</v>
      </c>
      <c r="B26" s="464" t="s">
        <v>1243</v>
      </c>
      <c r="C26" s="465" t="str">
        <f>ASC(【マスター】!Q24)&amp;"単位"</f>
        <v>1,172単位</v>
      </c>
      <c r="D26" s="466" t="str">
        <f>ASC(【マスター】!R24)&amp;"円"</f>
        <v>11,884円</v>
      </c>
      <c r="F26" s="1950" t="str">
        <f>【マスター】!A72</f>
        <v>延長加算（1時間当たり）/回</v>
      </c>
      <c r="G26" s="1950"/>
      <c r="H26" s="1950"/>
      <c r="I26" s="614" t="str">
        <f>IF(【マスター】!C72="","",【マスター】!C72)</f>
        <v>有</v>
      </c>
      <c r="J26" s="467" t="str">
        <f>ASC(【マスター】!D72&amp;"単位")</f>
        <v>50単位</v>
      </c>
      <c r="K26" s="467" t="str">
        <f>ASC(【マスター】!E72)&amp;"円"</f>
        <v>507円</v>
      </c>
    </row>
    <row r="27" spans="1:12">
      <c r="A27" s="539" t="s">
        <v>1208</v>
      </c>
      <c r="B27" s="1949" t="s">
        <v>1244</v>
      </c>
      <c r="C27" s="1949"/>
      <c r="D27" s="1949"/>
      <c r="F27" s="1950" t="str">
        <f>【マスター】!A73</f>
        <v>科学的介護推進体制加算/月</v>
      </c>
      <c r="G27" s="1950"/>
      <c r="H27" s="1950"/>
      <c r="I27" s="614" t="str">
        <f>IF(【マスター】!C73="","",【マスター】!C73)</f>
        <v>有</v>
      </c>
      <c r="J27" s="467" t="str">
        <f>ASC(【マスター】!D73&amp;"単位")</f>
        <v>40単位</v>
      </c>
      <c r="K27" s="467" t="str">
        <f>ASC(【マスター】!E73)&amp;"円"</f>
        <v>405円</v>
      </c>
    </row>
    <row r="28" spans="1:12">
      <c r="A28" s="538" t="s">
        <v>1213</v>
      </c>
      <c r="B28" s="464" t="s">
        <v>1245</v>
      </c>
      <c r="C28" s="465" t="str">
        <f>ASC(【マスター】!Q25)&amp;"単位"</f>
        <v>753単位</v>
      </c>
      <c r="D28" s="466" t="str">
        <f>ASC(【マスター】!R25)&amp;"円"</f>
        <v>7,635円</v>
      </c>
      <c r="F28" s="1950" t="str">
        <f>【マスター】!A74</f>
        <v>介護職員等処遇改善加算（Ⅰ）</v>
      </c>
      <c r="G28" s="1950"/>
      <c r="H28" s="1950"/>
      <c r="I28" s="614" t="str">
        <f>IF(【マスター】!C74="","",【マスター】!C74)</f>
        <v/>
      </c>
      <c r="J28" s="1958" t="str">
        <f>ASC(【マスター】!D74)</f>
        <v>9.2%(1ヶ月の利用合計単位数に乗じる)</v>
      </c>
      <c r="K28" s="1959"/>
    </row>
    <row r="29" spans="1:12">
      <c r="A29" s="538" t="s">
        <v>1216</v>
      </c>
      <c r="B29" s="464" t="s">
        <v>1246</v>
      </c>
      <c r="C29" s="465" t="str">
        <f>ASC(【マスター】!Q26)&amp;"単位"</f>
        <v>890単位</v>
      </c>
      <c r="D29" s="466" t="str">
        <f>ASC(【マスター】!R26)&amp;"円"</f>
        <v>9,024円</v>
      </c>
      <c r="F29" s="1950" t="str">
        <f>【マスター】!A75</f>
        <v>介護職員等処遇改善加算（Ⅱ）</v>
      </c>
      <c r="G29" s="1950"/>
      <c r="H29" s="1950"/>
      <c r="I29" s="614" t="str">
        <f>IF(【マスター】!C75="","",【マスター】!C75)</f>
        <v>有</v>
      </c>
      <c r="J29" s="1958" t="str">
        <f>ASC(【マスター】!D75)</f>
        <v>9.0%(1ヶ月の利用合計単位数に乗じる)</v>
      </c>
      <c r="K29" s="1959"/>
    </row>
    <row r="30" spans="1:12">
      <c r="A30" s="538" t="s">
        <v>1218</v>
      </c>
      <c r="B30" s="464" t="s">
        <v>1247</v>
      </c>
      <c r="C30" s="465" t="str">
        <f>ASC(【マスター】!Q27)&amp;"単位"</f>
        <v>1,032単位</v>
      </c>
      <c r="D30" s="466" t="str">
        <f>ASC(【マスター】!R27)&amp;"円"</f>
        <v>10,464円</v>
      </c>
      <c r="F30" s="1950" t="str">
        <f>【マスター】!A76</f>
        <v>介護職員等処遇改善加算（Ⅲ）</v>
      </c>
      <c r="G30" s="1950"/>
      <c r="H30" s="1950"/>
      <c r="I30" s="614" t="str">
        <f>IF(【マスター】!C76="","",【マスター】!C76)</f>
        <v/>
      </c>
      <c r="J30" s="1958" t="str">
        <f>ASC(【マスター】!D76)</f>
        <v>8.0%(1ヶ月の利用合計単位数に乗じる)</v>
      </c>
      <c r="K30" s="1959"/>
      <c r="L30" s="490"/>
    </row>
    <row r="31" spans="1:12">
      <c r="A31" s="538" t="s">
        <v>1221</v>
      </c>
      <c r="B31" s="464" t="s">
        <v>1248</v>
      </c>
      <c r="C31" s="465" t="str">
        <f>ASC(【マスター】!Q28)&amp;"単位"</f>
        <v>1,172単位</v>
      </c>
      <c r="D31" s="466" t="str">
        <f>ASC(【マスター】!R28)&amp;"円"</f>
        <v>11,884円</v>
      </c>
      <c r="F31" s="1950" t="str">
        <f>【マスター】!A77</f>
        <v>中山間地域等に居住する者へのサービス提供加算</v>
      </c>
      <c r="G31" s="1950"/>
      <c r="H31" s="1950"/>
      <c r="I31" s="614" t="str">
        <f>IF(【マスター】!C77="","",【マスター】!C77)</f>
        <v/>
      </c>
      <c r="J31" s="1958" t="str">
        <f>ASC(【マスター】!D77)</f>
        <v>基本単位数×5/100</v>
      </c>
      <c r="K31" s="1959"/>
      <c r="L31" s="490"/>
    </row>
    <row r="32" spans="1:12">
      <c r="A32" s="538" t="s">
        <v>1224</v>
      </c>
      <c r="B32" s="464" t="s">
        <v>1249</v>
      </c>
      <c r="C32" s="465" t="str">
        <f>ASC(【マスター】!Q29)&amp;"単位"</f>
        <v>1,312単位</v>
      </c>
      <c r="D32" s="466" t="str">
        <f>ASC(【マスター】!R29)&amp;"円"</f>
        <v>13,303円</v>
      </c>
      <c r="F32" s="1950"/>
      <c r="G32" s="1950"/>
      <c r="H32" s="1950"/>
      <c r="I32" s="614" t="str">
        <f>IF(【マスター】!C78="","",【マスター】!C78)</f>
        <v/>
      </c>
      <c r="J32" s="1958" t="str">
        <f>ASC(【マスター】!D78)</f>
        <v/>
      </c>
      <c r="K32" s="1959"/>
    </row>
    <row r="33" spans="1:11">
      <c r="A33" s="539" t="s">
        <v>1208</v>
      </c>
      <c r="B33" s="1952" t="s">
        <v>1250</v>
      </c>
      <c r="C33" s="1953"/>
      <c r="D33" s="1954"/>
      <c r="F33" s="1950"/>
      <c r="G33" s="1950"/>
      <c r="H33" s="1950"/>
      <c r="I33" s="614" t="str">
        <f>IF(【マスター】!C79="","",【マスター】!C79)</f>
        <v/>
      </c>
      <c r="J33" s="1958" t="str">
        <f>ASC(【マスター】!D79)</f>
        <v/>
      </c>
      <c r="K33" s="1959"/>
    </row>
    <row r="34" spans="1:11">
      <c r="A34" s="538" t="s">
        <v>1213</v>
      </c>
      <c r="B34" s="464" t="s">
        <v>1252</v>
      </c>
      <c r="C34" s="465" t="str">
        <f>ASC(【マスター】!Q30)&amp;"単位"</f>
        <v>783単位</v>
      </c>
      <c r="D34" s="466" t="str">
        <f>ASC(【マスター】!R30)&amp;"円"</f>
        <v>7,939円</v>
      </c>
      <c r="F34" s="1950"/>
      <c r="G34" s="1950"/>
      <c r="H34" s="1950"/>
      <c r="I34" s="614" t="str">
        <f>IF(【マスター】!C80="","",【マスター】!C80)</f>
        <v/>
      </c>
      <c r="J34" s="1958" t="str">
        <f>ASC(【マスター】!D80)</f>
        <v/>
      </c>
      <c r="K34" s="1959"/>
    </row>
    <row r="35" spans="1:11" ht="18.75" customHeight="1">
      <c r="A35" s="538" t="s">
        <v>1216</v>
      </c>
      <c r="B35" s="464" t="s">
        <v>1256</v>
      </c>
      <c r="C35" s="465" t="str">
        <f>ASC(【マスター】!Q31)&amp;"単位"</f>
        <v>925単位</v>
      </c>
      <c r="D35" s="466" t="str">
        <f>ASC(【マスター】!R31)&amp;"円"</f>
        <v>9,379円</v>
      </c>
      <c r="F35" s="1944" t="s">
        <v>1207</v>
      </c>
      <c r="G35" s="1944"/>
      <c r="H35" s="1944"/>
      <c r="I35" s="1944"/>
      <c r="J35" s="1944"/>
      <c r="K35" s="1944"/>
    </row>
    <row r="36" spans="1:11">
      <c r="A36" s="538" t="s">
        <v>1218</v>
      </c>
      <c r="B36" s="464" t="s">
        <v>1258</v>
      </c>
      <c r="C36" s="465" t="str">
        <f>ASC(【マスター】!Q32)&amp;"単位"</f>
        <v>1,072単位</v>
      </c>
      <c r="D36" s="466" t="str">
        <f>ASC(【マスター】!R32)&amp;"円"</f>
        <v>10,870円</v>
      </c>
      <c r="F36" s="1951" t="s">
        <v>168</v>
      </c>
      <c r="G36" s="1951"/>
      <c r="H36" s="1951"/>
      <c r="I36" s="540" t="s">
        <v>1210</v>
      </c>
      <c r="J36" s="540" t="s">
        <v>1211</v>
      </c>
      <c r="K36" s="540" t="s">
        <v>1212</v>
      </c>
    </row>
    <row r="37" spans="1:11" ht="18.75" customHeight="1">
      <c r="A37" s="538" t="s">
        <v>1221</v>
      </c>
      <c r="B37" s="464" t="s">
        <v>1259</v>
      </c>
      <c r="C37" s="465" t="str">
        <f>ASC(【マスター】!Q33)&amp;"単位"</f>
        <v>1,220単位</v>
      </c>
      <c r="D37" s="466" t="str">
        <f>ASC(【マスター】!R33)&amp;"円"</f>
        <v>12,370円</v>
      </c>
      <c r="F37" s="1950" t="str">
        <f>【マスター】!H53</f>
        <v>送迎減算</v>
      </c>
      <c r="G37" s="1950"/>
      <c r="H37" s="1950"/>
      <c r="I37" s="614" t="s">
        <v>1215</v>
      </c>
      <c r="J37" s="467" t="str">
        <f>"▲"&amp;ASC(【マスター】!K53&amp;"単位")</f>
        <v>▲47単位</v>
      </c>
      <c r="K37" s="467" t="str">
        <f>"▲"&amp;ASC(【マスター】!L53)&amp;"円"</f>
        <v>▲476円</v>
      </c>
    </row>
    <row r="38" spans="1:11">
      <c r="A38" s="538" t="s">
        <v>1224</v>
      </c>
      <c r="B38" s="464" t="s">
        <v>1261</v>
      </c>
      <c r="C38" s="465" t="str">
        <f>ASC(【マスター】!Q34)&amp;"単位"</f>
        <v>1,365単位</v>
      </c>
      <c r="D38" s="466" t="str">
        <f>ASC(【マスター】!R34)&amp;"円"</f>
        <v>13,841円</v>
      </c>
      <c r="F38" s="1950" t="str">
        <f>【マスター】!H54</f>
        <v>同一建物減</v>
      </c>
      <c r="G38" s="1950"/>
      <c r="H38" s="1950"/>
      <c r="I38" s="614"/>
      <c r="J38" s="467" t="str">
        <f>"▲"&amp;ASC(【マスター】!K54)&amp;"単位"</f>
        <v>▲94単位</v>
      </c>
      <c r="K38" s="467" t="str">
        <f>"▲"&amp;ASC(【マスター】!L54)&amp;"円"</f>
        <v>▲953円</v>
      </c>
    </row>
    <row r="39" spans="1:11" ht="18.75" customHeight="1"/>
    <row r="40" spans="1:11" ht="18.75" customHeight="1">
      <c r="A40" s="1944" t="s">
        <v>1251</v>
      </c>
      <c r="B40" s="1944"/>
      <c r="C40" s="1944"/>
      <c r="D40" s="1944"/>
      <c r="E40" s="1944"/>
      <c r="F40" s="1944"/>
      <c r="G40" s="1944"/>
      <c r="H40" s="1944"/>
      <c r="I40" s="1944"/>
      <c r="J40" s="1944"/>
      <c r="K40" s="1944"/>
    </row>
    <row r="41" spans="1:11" ht="18.75" customHeight="1">
      <c r="A41" s="1951" t="s">
        <v>1253</v>
      </c>
      <c r="B41" s="1951"/>
      <c r="C41" s="1957" t="s">
        <v>1254</v>
      </c>
      <c r="D41" s="1957"/>
      <c r="E41" s="1957"/>
      <c r="F41" s="1957"/>
      <c r="G41" s="1957"/>
      <c r="H41" s="1957"/>
      <c r="I41" s="1957"/>
      <c r="J41" s="1957"/>
      <c r="K41" s="540" t="s">
        <v>1255</v>
      </c>
    </row>
    <row r="42" spans="1:11" ht="18.75" customHeight="1">
      <c r="A42" s="1955" t="s">
        <v>1257</v>
      </c>
      <c r="B42" s="1955"/>
      <c r="C42" s="1956" t="s">
        <v>1762</v>
      </c>
      <c r="D42" s="1956"/>
      <c r="E42" s="1956"/>
      <c r="F42" s="1956"/>
      <c r="G42" s="1956"/>
      <c r="H42" s="1956"/>
      <c r="I42" s="1956"/>
      <c r="J42" s="1956"/>
      <c r="K42" s="467" t="str">
        <f>VALUE(【マスター】!K44)&amp;"円"</f>
        <v>500円</v>
      </c>
    </row>
    <row r="43" spans="1:11" ht="18.75" customHeight="1">
      <c r="A43" s="1955" t="s">
        <v>1260</v>
      </c>
      <c r="B43" s="1955"/>
      <c r="C43" s="1956" t="s">
        <v>1763</v>
      </c>
      <c r="D43" s="1956"/>
      <c r="E43" s="1956"/>
      <c r="F43" s="1956"/>
      <c r="G43" s="1956"/>
      <c r="H43" s="1956"/>
      <c r="I43" s="1956"/>
      <c r="J43" s="1956"/>
      <c r="K43" s="467" t="str">
        <f>VALUE(【マスター】!K45)&amp;"円"</f>
        <v>570円</v>
      </c>
    </row>
    <row r="44" spans="1:11">
      <c r="A44" s="1955" t="s">
        <v>1262</v>
      </c>
      <c r="B44" s="1955"/>
      <c r="C44" s="1956" t="s">
        <v>1882</v>
      </c>
      <c r="D44" s="1956"/>
      <c r="E44" s="1956"/>
      <c r="F44" s="1956"/>
      <c r="G44" s="1956"/>
      <c r="H44" s="1956"/>
      <c r="I44" s="1956"/>
      <c r="J44" s="1956"/>
      <c r="K44" s="467" t="str">
        <f>VALUE(【マスター】!K46)&amp;"円"</f>
        <v>630円</v>
      </c>
    </row>
    <row r="45" spans="1:11">
      <c r="K45" s="462" t="s">
        <v>1263</v>
      </c>
    </row>
    <row r="46" spans="1:11">
      <c r="A46" s="1944" t="s">
        <v>1264</v>
      </c>
      <c r="B46" s="1944"/>
      <c r="C46" s="1944"/>
      <c r="D46" s="1944"/>
      <c r="E46" s="1944"/>
      <c r="F46" s="1944"/>
      <c r="G46" s="1944"/>
      <c r="H46" s="1944"/>
      <c r="I46" s="1944"/>
      <c r="J46" s="1944"/>
      <c r="K46" s="1944"/>
    </row>
    <row r="47" spans="1:11">
      <c r="A47" s="1957" t="s">
        <v>1253</v>
      </c>
      <c r="B47" s="1957"/>
      <c r="C47" s="1957" t="s">
        <v>1254</v>
      </c>
      <c r="D47" s="1957"/>
      <c r="E47" s="1957"/>
      <c r="F47" s="1957"/>
      <c r="G47" s="1957"/>
      <c r="H47" s="1957"/>
      <c r="I47" s="1957"/>
      <c r="J47" s="1957"/>
      <c r="K47" s="540" t="s">
        <v>1255</v>
      </c>
    </row>
    <row r="48" spans="1:11" ht="18.75" customHeight="1">
      <c r="A48" s="1983" t="s">
        <v>1265</v>
      </c>
      <c r="B48" s="1984"/>
      <c r="C48" s="1974" t="str">
        <f>"介護保険外、実費での通所介護サービスです。１回あたり"&amp;【マスター】!I13&amp;【マスター】!D13&amp;【マスター】!K13&amp;"のご利用が可能です。サービス提供時間（"&amp;【マスター】!I13&amp;【マスター】!J13&amp;【マスター】!K13&amp;"）前後の利用を希望される場合は、時間外サービス利用料が別途必要となります。
また、保険外通所介護サービスは原則、①当事業所のみをご利用の方、かつ②利用回数が多く区分支給限度額を超過し10割負担が発生してしまう方の費用負担を軽減することを目的としたサービスになりますので、保険外通所介護サービスのみの提供は致しかねます。"</f>
        <v>介護保険外、実費での通所介護サービスです。１回あたり9:30～17:30のご利用が可能です。サービス提供時間（9:30～17:30）前後の利用を希望される場合は、時間外サービス利用料が別途必要となります。
また、保険外通所介護サービスは原則、①当事業所のみをご利用の方、かつ②利用回数が多く区分支給限度額を超過し10割負担が発生してしまう方の費用負担を軽減することを目的としたサービスになりますので、保険外通所介護サービスのみの提供は致しかねます。</v>
      </c>
      <c r="D48" s="1975"/>
      <c r="E48" s="1975"/>
      <c r="F48" s="1975"/>
      <c r="G48" s="1975"/>
      <c r="H48" s="1975"/>
      <c r="I48" s="1976"/>
      <c r="J48" s="1980" t="s">
        <v>1266</v>
      </c>
      <c r="K48" s="1981" t="str">
        <f>ASC(TEXT(【マスター】!K40,"###,##0"))&amp;"円/日"</f>
        <v>3,500円/日</v>
      </c>
    </row>
    <row r="49" spans="1:11">
      <c r="A49" s="1984"/>
      <c r="B49" s="1984"/>
      <c r="C49" s="1977"/>
      <c r="D49" s="1978"/>
      <c r="E49" s="1978"/>
      <c r="F49" s="1978"/>
      <c r="G49" s="1978"/>
      <c r="H49" s="1978"/>
      <c r="I49" s="1979"/>
      <c r="J49" s="1955"/>
      <c r="K49" s="1981"/>
    </row>
    <row r="50" spans="1:11" ht="18" customHeight="1">
      <c r="A50" s="1984"/>
      <c r="B50" s="1984"/>
      <c r="C50" s="1977"/>
      <c r="D50" s="1978"/>
      <c r="E50" s="1978"/>
      <c r="F50" s="1978"/>
      <c r="G50" s="1978"/>
      <c r="H50" s="1978"/>
      <c r="I50" s="1979"/>
      <c r="J50" s="1955" t="s">
        <v>1267</v>
      </c>
      <c r="K50" s="1973" t="str">
        <f>ASC(TEXT(【マスター】!K41,"###,##0"))&amp;"円/日"</f>
        <v>3,500円/日</v>
      </c>
    </row>
    <row r="51" spans="1:11">
      <c r="A51" s="1984"/>
      <c r="B51" s="1984"/>
      <c r="C51" s="1977"/>
      <c r="D51" s="1978"/>
      <c r="E51" s="1978"/>
      <c r="F51" s="1978"/>
      <c r="G51" s="1978"/>
      <c r="H51" s="1978"/>
      <c r="I51" s="1979"/>
      <c r="J51" s="1982"/>
      <c r="K51" s="1973"/>
    </row>
    <row r="52" spans="1:11">
      <c r="A52" s="1939" t="s">
        <v>2016</v>
      </c>
      <c r="B52" s="1940"/>
      <c r="C52" s="1941" t="s">
        <v>2017</v>
      </c>
      <c r="D52" s="1942"/>
      <c r="E52" s="1942"/>
      <c r="F52" s="1942"/>
      <c r="G52" s="1942"/>
      <c r="H52" s="1942"/>
      <c r="I52" s="1942"/>
      <c r="J52" s="1943"/>
      <c r="K52" s="773" t="s">
        <v>2018</v>
      </c>
    </row>
    <row r="53" spans="1:11" ht="30" customHeight="1">
      <c r="A53" s="1939" t="s">
        <v>2019</v>
      </c>
      <c r="B53" s="1940"/>
      <c r="C53" s="1941" t="s">
        <v>2020</v>
      </c>
      <c r="D53" s="1942"/>
      <c r="E53" s="1942"/>
      <c r="F53" s="1942"/>
      <c r="G53" s="1942"/>
      <c r="H53" s="1942"/>
      <c r="I53" s="1942"/>
      <c r="J53" s="1943"/>
      <c r="K53" s="773" t="s">
        <v>2021</v>
      </c>
    </row>
    <row r="54" spans="1:11" ht="18" customHeight="1">
      <c r="A54" s="1960" t="s">
        <v>1268</v>
      </c>
      <c r="B54" s="1960"/>
      <c r="C54" s="1972" t="str">
        <f>"お泊まりを利用される方の"&amp;【マスター】!I14&amp;【マスター】!J14&amp;【マスター】!K14&amp;"までの夜間介護サービスを提供させていただきます。"</f>
        <v>お泊まりを利用される方の17:31～9:29までの夜間介護サービスを提供させていただきます。</v>
      </c>
      <c r="D54" s="1972"/>
      <c r="E54" s="1972"/>
      <c r="F54" s="1972"/>
      <c r="G54" s="1972"/>
      <c r="H54" s="1972"/>
      <c r="I54" s="1972"/>
      <c r="J54" s="1972"/>
      <c r="K54" s="773" t="str">
        <f>ASC(TEXT(【マスター】!K42,"###,##0"))&amp;"円/日"</f>
        <v>1,200円/日</v>
      </c>
    </row>
    <row r="55" spans="1:11" ht="18.75" customHeight="1">
      <c r="A55" s="1965" t="s">
        <v>1269</v>
      </c>
      <c r="B55" s="1966"/>
      <c r="C55" s="1969" t="s">
        <v>1270</v>
      </c>
      <c r="D55" s="1969"/>
      <c r="E55" s="1969"/>
      <c r="F55" s="1969"/>
      <c r="G55" s="1969"/>
      <c r="H55" s="1969"/>
      <c r="I55" s="1969"/>
      <c r="J55" s="1969"/>
      <c r="K55" s="1973" t="str">
        <f>ASC(TEXT(【マスター】!K49,"###,##0"))&amp;"円/時間"</f>
        <v>200円/時間</v>
      </c>
    </row>
    <row r="56" spans="1:11">
      <c r="A56" s="1967"/>
      <c r="B56" s="1968"/>
      <c r="C56" s="1969"/>
      <c r="D56" s="1969"/>
      <c r="E56" s="1969"/>
      <c r="F56" s="1969"/>
      <c r="G56" s="1969"/>
      <c r="H56" s="1969"/>
      <c r="I56" s="1969"/>
      <c r="J56" s="1969"/>
      <c r="K56" s="1973"/>
    </row>
    <row r="57" spans="1:11" ht="18.75" customHeight="1">
      <c r="A57" s="1965" t="s">
        <v>1271</v>
      </c>
      <c r="B57" s="1966"/>
      <c r="C57" s="1969" t="str">
        <f>"保険外通所介護サービス提供時間（"&amp;【マスター】!I13&amp;【マスター】!J13&amp;【マスター】!K13&amp;"）前後の時間帯、及び、通所介護契約書に基づく通所介護サービス提供時間（"&amp;【マスター】!I13&amp;【マスター】!J13&amp;【マスター】!K13&amp;"）前後の時間帯にサービスを提供させていただきます。"</f>
        <v>保険外通所介護サービス提供時間（9:30～17:30）前後の時間帯、及び、通所介護契約書に基づく通所介護サービス提供時間（9:30～17:30）前後の時間帯にサービスを提供させていただきます。</v>
      </c>
      <c r="D57" s="1969"/>
      <c r="E57" s="1969"/>
      <c r="F57" s="1969"/>
      <c r="G57" s="1969"/>
      <c r="H57" s="1969"/>
      <c r="I57" s="1969"/>
      <c r="J57" s="1969"/>
      <c r="K57" s="1970" t="str">
        <f>ASC(TEXT(【マスター】!K43,"###,##0"))&amp;"円/時間"</f>
        <v>200円/時間</v>
      </c>
    </row>
    <row r="58" spans="1:11">
      <c r="A58" s="1967"/>
      <c r="B58" s="1968"/>
      <c r="C58" s="1969"/>
      <c r="D58" s="1969"/>
      <c r="E58" s="1969"/>
      <c r="F58" s="1969"/>
      <c r="G58" s="1969"/>
      <c r="H58" s="1969"/>
      <c r="I58" s="1969"/>
      <c r="J58" s="1969"/>
      <c r="K58" s="1971"/>
    </row>
    <row r="59" spans="1:11">
      <c r="A59" s="1960" t="s">
        <v>1272</v>
      </c>
      <c r="B59" s="1960"/>
      <c r="C59" s="1961" t="s">
        <v>1273</v>
      </c>
      <c r="D59" s="1961"/>
      <c r="E59" s="1961"/>
      <c r="F59" s="1961"/>
      <c r="G59" s="1961"/>
      <c r="H59" s="1961"/>
      <c r="I59" s="1961"/>
      <c r="J59" s="1961"/>
      <c r="K59" s="775" t="str">
        <f>ASC(TEXT(【マスター】!K47,"###,##0"))&amp;"円/枚"</f>
        <v>100円/枚</v>
      </c>
    </row>
    <row r="60" spans="1:11">
      <c r="A60" s="1960"/>
      <c r="B60" s="1960"/>
      <c r="C60" s="1961" t="s">
        <v>1274</v>
      </c>
      <c r="D60" s="1961"/>
      <c r="E60" s="1961"/>
      <c r="F60" s="1961"/>
      <c r="G60" s="1961"/>
      <c r="H60" s="1961"/>
      <c r="I60" s="1961"/>
      <c r="J60" s="1961"/>
      <c r="K60" s="775" t="str">
        <f>ASC(TEXT(【マスター】!K48,"###,##0"))&amp;"円/枚"</f>
        <v>50円/枚</v>
      </c>
    </row>
    <row r="61" spans="1:11">
      <c r="A61" s="1962" t="str">
        <f>IF(【マスター】!C7="","",【マスター】!C7)</f>
        <v>デイサービスさくら亭</v>
      </c>
      <c r="B61" s="1962"/>
      <c r="C61" s="1962"/>
      <c r="D61" s="462" t="s">
        <v>1275</v>
      </c>
      <c r="E61" s="1963" t="str">
        <f>IF(【マスター】!C10="","",【マスター】!C10)</f>
        <v>0532-39-7855</v>
      </c>
      <c r="F61" s="1963"/>
      <c r="G61" s="1963"/>
      <c r="H61" s="462" t="s">
        <v>1276</v>
      </c>
      <c r="I61" s="1963" t="str">
        <f>IF(【マスター】!I10="","",【マスター】!I10)</f>
        <v>0532-39-7856</v>
      </c>
      <c r="J61" s="1963"/>
    </row>
    <row r="62" spans="1:11">
      <c r="A62" s="1962"/>
      <c r="B62" s="1962"/>
      <c r="C62" s="1962"/>
      <c r="D62" s="462" t="s">
        <v>1277</v>
      </c>
      <c r="E62" s="1963" t="str">
        <f>IF(【マスター】!C21="","",【マスター】!C21)</f>
        <v>小久保　幾生</v>
      </c>
      <c r="F62" s="1963"/>
      <c r="G62" s="1963"/>
      <c r="H62" s="1964"/>
      <c r="I62" s="1964"/>
      <c r="J62" s="1964"/>
      <c r="K62" s="1964"/>
    </row>
  </sheetData>
  <sheetProtection selectLockedCells="1"/>
  <mergeCells count="89">
    <mergeCell ref="F31:H31"/>
    <mergeCell ref="J31:K31"/>
    <mergeCell ref="F34:H34"/>
    <mergeCell ref="J34:K34"/>
    <mergeCell ref="F28:H28"/>
    <mergeCell ref="J28:K28"/>
    <mergeCell ref="F29:H29"/>
    <mergeCell ref="J29:K29"/>
    <mergeCell ref="F30:H30"/>
    <mergeCell ref="J30:K30"/>
    <mergeCell ref="F32:H32"/>
    <mergeCell ref="J32:K32"/>
    <mergeCell ref="C48:I51"/>
    <mergeCell ref="J48:J49"/>
    <mergeCell ref="K48:K49"/>
    <mergeCell ref="A40:K40"/>
    <mergeCell ref="A41:B41"/>
    <mergeCell ref="C41:J41"/>
    <mergeCell ref="C42:J42"/>
    <mergeCell ref="A42:B42"/>
    <mergeCell ref="A44:B44"/>
    <mergeCell ref="C44:J44"/>
    <mergeCell ref="J50:J51"/>
    <mergeCell ref="K50:K51"/>
    <mergeCell ref="A48:B51"/>
    <mergeCell ref="A57:B58"/>
    <mergeCell ref="C57:J58"/>
    <mergeCell ref="K57:K58"/>
    <mergeCell ref="A54:B54"/>
    <mergeCell ref="C54:J54"/>
    <mergeCell ref="A55:B56"/>
    <mergeCell ref="C55:J56"/>
    <mergeCell ref="K55:K56"/>
    <mergeCell ref="A59:B60"/>
    <mergeCell ref="C59:J59"/>
    <mergeCell ref="C60:J60"/>
    <mergeCell ref="A61:C62"/>
    <mergeCell ref="E61:G61"/>
    <mergeCell ref="I61:J61"/>
    <mergeCell ref="E62:G62"/>
    <mergeCell ref="H62:K62"/>
    <mergeCell ref="B27:D27"/>
    <mergeCell ref="F23:H23"/>
    <mergeCell ref="F25:H25"/>
    <mergeCell ref="F24:H24"/>
    <mergeCell ref="F26:H26"/>
    <mergeCell ref="F27:H27"/>
    <mergeCell ref="B33:D33"/>
    <mergeCell ref="A43:B43"/>
    <mergeCell ref="C43:J43"/>
    <mergeCell ref="A46:K46"/>
    <mergeCell ref="A47:B47"/>
    <mergeCell ref="C47:J47"/>
    <mergeCell ref="F36:H36"/>
    <mergeCell ref="F37:H37"/>
    <mergeCell ref="F33:H33"/>
    <mergeCell ref="J33:K33"/>
    <mergeCell ref="F35:K35"/>
    <mergeCell ref="F38:H38"/>
    <mergeCell ref="F22:H22"/>
    <mergeCell ref="F13:H13"/>
    <mergeCell ref="F14:H14"/>
    <mergeCell ref="F15:H15"/>
    <mergeCell ref="F16:H16"/>
    <mergeCell ref="F18:H18"/>
    <mergeCell ref="F19:H19"/>
    <mergeCell ref="F20:H20"/>
    <mergeCell ref="F21:H21"/>
    <mergeCell ref="F8:H8"/>
    <mergeCell ref="F9:H9"/>
    <mergeCell ref="F10:H10"/>
    <mergeCell ref="B15:D15"/>
    <mergeCell ref="F11:H11"/>
    <mergeCell ref="A52:B52"/>
    <mergeCell ref="C52:J52"/>
    <mergeCell ref="A53:B53"/>
    <mergeCell ref="C53:J53"/>
    <mergeCell ref="F2:K2"/>
    <mergeCell ref="A2:D2"/>
    <mergeCell ref="B3:D3"/>
    <mergeCell ref="B21:D21"/>
    <mergeCell ref="F17:H17"/>
    <mergeCell ref="F12:H12"/>
    <mergeCell ref="F3:H3"/>
    <mergeCell ref="F4:H4"/>
    <mergeCell ref="B9:D9"/>
    <mergeCell ref="F5:H5"/>
    <mergeCell ref="F6:H6"/>
    <mergeCell ref="F7:H7"/>
  </mergeCells>
  <phoneticPr fontId="16"/>
  <printOptions horizontalCentered="1"/>
  <pageMargins left="0.59055118110236227" right="0.59055118110236227" top="0" bottom="0.39370078740157483" header="0.31496062992125984" footer="0.19685039370078741"/>
  <pageSetup paperSize="9" scale="7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pageSetUpPr fitToPage="1"/>
  </sheetPr>
  <dimension ref="A1:S53"/>
  <sheetViews>
    <sheetView view="pageBreakPreview" zoomScale="85" zoomScaleNormal="100" zoomScaleSheetLayoutView="85" workbookViewId="0">
      <selection activeCell="W17" sqref="W17"/>
    </sheetView>
  </sheetViews>
  <sheetFormatPr defaultColWidth="9" defaultRowHeight="18.75"/>
  <cols>
    <col min="1" max="1" width="3.875" style="398" bestFit="1" customWidth="1"/>
    <col min="2" max="2" width="15.125" style="398" bestFit="1" customWidth="1"/>
    <col min="3" max="3" width="9.125" style="398" bestFit="1" customWidth="1"/>
    <col min="4" max="4" width="15.125" style="398" bestFit="1" customWidth="1"/>
    <col min="5" max="5" width="9" style="398"/>
    <col min="6" max="6" width="15.125" style="398" bestFit="1" customWidth="1"/>
    <col min="7" max="7" width="9" style="398"/>
    <col min="8" max="8" width="15.125" style="398" bestFit="1" customWidth="1"/>
    <col min="9" max="9" width="9" style="398"/>
    <col min="10" max="10" width="15.125" style="398" bestFit="1" customWidth="1"/>
    <col min="11" max="11" width="9" style="398"/>
    <col min="12" max="20" width="9" style="398" customWidth="1"/>
    <col min="21" max="16384" width="9" style="398"/>
  </cols>
  <sheetData>
    <row r="1" spans="1:19">
      <c r="A1" s="1991" t="s">
        <v>1278</v>
      </c>
      <c r="B1" s="1992"/>
      <c r="C1" s="1992"/>
      <c r="D1" s="1992"/>
      <c r="E1" s="1993"/>
      <c r="F1" s="1997" t="s">
        <v>1279</v>
      </c>
      <c r="G1" s="1998"/>
      <c r="H1" s="1998"/>
      <c r="I1" s="1998"/>
      <c r="J1" s="1998"/>
      <c r="K1" s="1998"/>
    </row>
    <row r="2" spans="1:19">
      <c r="A2" s="1994"/>
      <c r="B2" s="1995"/>
      <c r="C2" s="1995"/>
      <c r="D2" s="1995"/>
      <c r="E2" s="1996"/>
      <c r="F2" s="1999" t="s">
        <v>1280</v>
      </c>
      <c r="G2" s="1999"/>
      <c r="H2" s="444" t="s">
        <v>1281</v>
      </c>
      <c r="I2" s="542" t="s">
        <v>1282</v>
      </c>
      <c r="J2" s="400" t="str">
        <f>【マスター】!$D$40</f>
        <v>7級地</v>
      </c>
      <c r="K2" s="401">
        <f>【マスター】!$F$40</f>
        <v>10.14</v>
      </c>
      <c r="O2" s="1987" t="s">
        <v>1283</v>
      </c>
      <c r="P2" s="1987"/>
      <c r="Q2" s="1987"/>
      <c r="R2" s="1987"/>
      <c r="S2" s="1987"/>
    </row>
    <row r="3" spans="1:19" ht="5.0999999999999996" customHeight="1" thickBot="1"/>
    <row r="4" spans="1:19" ht="19.5" thickBot="1">
      <c r="A4" s="402"/>
      <c r="B4" s="1988" t="s">
        <v>1284</v>
      </c>
      <c r="C4" s="1989"/>
      <c r="D4" s="1989" t="s">
        <v>1285</v>
      </c>
      <c r="E4" s="1989"/>
      <c r="F4" s="1989" t="s">
        <v>1286</v>
      </c>
      <c r="G4" s="1989"/>
      <c r="H4" s="1989" t="s">
        <v>1287</v>
      </c>
      <c r="I4" s="1989"/>
      <c r="J4" s="1989" t="s">
        <v>1288</v>
      </c>
      <c r="K4" s="1990"/>
      <c r="M4" s="403">
        <f>VLOOKUP(H2,O4:Q7,3,FALSE)</f>
        <v>0.9</v>
      </c>
      <c r="O4" s="399" t="s">
        <v>1289</v>
      </c>
      <c r="P4" s="399" t="s">
        <v>1290</v>
      </c>
      <c r="Q4" s="403">
        <v>0.9</v>
      </c>
    </row>
    <row r="5" spans="1:19" ht="19.5" customHeight="1">
      <c r="A5" s="2000" t="s">
        <v>1291</v>
      </c>
      <c r="B5" s="404" t="s">
        <v>1252</v>
      </c>
      <c r="C5" s="405">
        <f>ROUNDDOWN(P9*2*$K$2,0)-(ROUNDDOWN(P9*2*$K$2*$M$4,0))</f>
        <v>1588</v>
      </c>
      <c r="D5" s="406" t="s">
        <v>1256</v>
      </c>
      <c r="E5" s="407">
        <f>ROUNDDOWN(P10*2*$K$2,0)-(ROUNDDOWN(P10*2*$K$2*$M$4,0))</f>
        <v>1876</v>
      </c>
      <c r="F5" s="406" t="s">
        <v>1258</v>
      </c>
      <c r="G5" s="407">
        <f>ROUNDDOWN(P11*2*$K$2,0)-(ROUNDDOWN(P11*2*$K$2*$M$4,0))</f>
        <v>2174</v>
      </c>
      <c r="H5" s="406" t="s">
        <v>1259</v>
      </c>
      <c r="I5" s="407">
        <f>ROUNDDOWN(P12*2*$K$2,0)-(ROUNDDOWN(P12*2*$K$2*$M$4,0))</f>
        <v>2474</v>
      </c>
      <c r="J5" s="406" t="s">
        <v>1261</v>
      </c>
      <c r="K5" s="408">
        <f>ROUNDDOWN(P13*2*$K$2,0)-(ROUNDDOWN(P13*2*$K$2*$M$4,0))</f>
        <v>2769</v>
      </c>
      <c r="O5" s="399" t="s">
        <v>1281</v>
      </c>
      <c r="P5" s="399" t="s">
        <v>1292</v>
      </c>
      <c r="Q5" s="403">
        <v>0.9</v>
      </c>
    </row>
    <row r="6" spans="1:19">
      <c r="A6" s="2001"/>
      <c r="B6" s="409" t="str">
        <f>IF(【マスター】!C51="有","入浴介助加算(Ⅱ)","入浴介助加算(Ⅰ)")</f>
        <v>入浴介助加算(Ⅱ)</v>
      </c>
      <c r="C6" s="410">
        <f>ROUNDDOWN(Q15*2,0)-ROUNDDOWN(Q15*2*$M$4,0)</f>
        <v>112</v>
      </c>
      <c r="D6" s="409" t="str">
        <f>IF(【マスター】!C51="有","入浴介助加算(Ⅱ)","入浴介助加算(Ⅰ)")</f>
        <v>入浴介助加算(Ⅱ)</v>
      </c>
      <c r="E6" s="412">
        <f>C6</f>
        <v>112</v>
      </c>
      <c r="F6" s="409" t="str">
        <f>IF(【マスター】!C51="有","入浴介助加算(Ⅱ)","入浴介助加算(Ⅰ)")</f>
        <v>入浴介助加算(Ⅱ)</v>
      </c>
      <c r="G6" s="412">
        <f>C6</f>
        <v>112</v>
      </c>
      <c r="H6" s="409" t="str">
        <f>IF(【マスター】!C51="有","入浴介助加算(Ⅱ)","入浴介助加算(Ⅰ)")</f>
        <v>入浴介助加算(Ⅱ)</v>
      </c>
      <c r="I6" s="412">
        <f>C6</f>
        <v>112</v>
      </c>
      <c r="J6" s="409" t="str">
        <f>IF(【マスター】!C51="有","入浴介助加算(Ⅱ)","入浴介助加算(Ⅰ)")</f>
        <v>入浴介助加算(Ⅱ)</v>
      </c>
      <c r="K6" s="413">
        <f>C6</f>
        <v>112</v>
      </c>
      <c r="O6" s="399" t="s">
        <v>1293</v>
      </c>
      <c r="P6" s="399" t="s">
        <v>1294</v>
      </c>
      <c r="Q6" s="403">
        <v>0.8</v>
      </c>
    </row>
    <row r="7" spans="1:19">
      <c r="A7" s="2001"/>
      <c r="B7" s="409" t="s">
        <v>1295</v>
      </c>
      <c r="C7" s="410">
        <f>ROUNDDOWN(Q16*2,0)-ROUNDDOWN(Q16*2*$M$4,0)</f>
        <v>-96</v>
      </c>
      <c r="D7" s="411" t="s">
        <v>1295</v>
      </c>
      <c r="E7" s="412">
        <f>C7</f>
        <v>-96</v>
      </c>
      <c r="F7" s="411" t="s">
        <v>1295</v>
      </c>
      <c r="G7" s="412">
        <f>C7</f>
        <v>-96</v>
      </c>
      <c r="H7" s="411" t="s">
        <v>1295</v>
      </c>
      <c r="I7" s="412">
        <f>C7</f>
        <v>-96</v>
      </c>
      <c r="J7" s="411" t="s">
        <v>1295</v>
      </c>
      <c r="K7" s="413">
        <f>C7</f>
        <v>-96</v>
      </c>
      <c r="O7" s="399" t="s">
        <v>1296</v>
      </c>
      <c r="P7" s="399" t="s">
        <v>1297</v>
      </c>
      <c r="Q7" s="403">
        <v>0.7</v>
      </c>
    </row>
    <row r="8" spans="1:19" ht="19.5" thickBot="1">
      <c r="A8" s="2001"/>
      <c r="B8" s="414" t="s">
        <v>1298</v>
      </c>
      <c r="C8" s="415">
        <f>IF($H$2=$O$4,-(SUM(C5:C7)),0)</f>
        <v>0</v>
      </c>
      <c r="D8" s="416" t="s">
        <v>1298</v>
      </c>
      <c r="E8" s="415">
        <f>IF($H$2=$O$4,-(SUM(E5:E7)),0)</f>
        <v>0</v>
      </c>
      <c r="F8" s="416" t="s">
        <v>1298</v>
      </c>
      <c r="G8" s="415">
        <f>IF($H$2=$O$4,-(SUM(G5:G7)),0)</f>
        <v>0</v>
      </c>
      <c r="H8" s="416" t="s">
        <v>1298</v>
      </c>
      <c r="I8" s="415">
        <f>IF($H$2=$O$4,-(SUM(I5:I7)),0)</f>
        <v>0</v>
      </c>
      <c r="J8" s="416" t="s">
        <v>1298</v>
      </c>
      <c r="K8" s="417">
        <f>IF($H$2=$O$4,-(SUM(K5:K7)),0)</f>
        <v>0</v>
      </c>
      <c r="R8" s="418" t="s">
        <v>1299</v>
      </c>
    </row>
    <row r="9" spans="1:19" ht="19.5" thickTop="1">
      <c r="A9" s="2001"/>
      <c r="B9" s="419" t="s">
        <v>1257</v>
      </c>
      <c r="C9" s="742">
        <f>P20*1</f>
        <v>500</v>
      </c>
      <c r="D9" s="421" t="s">
        <v>1257</v>
      </c>
      <c r="E9" s="422">
        <f>C9</f>
        <v>500</v>
      </c>
      <c r="F9" s="421" t="s">
        <v>1257</v>
      </c>
      <c r="G9" s="422">
        <f>C9</f>
        <v>500</v>
      </c>
      <c r="H9" s="421" t="s">
        <v>1257</v>
      </c>
      <c r="I9" s="422">
        <f>C9</f>
        <v>500</v>
      </c>
      <c r="J9" s="421" t="s">
        <v>1257</v>
      </c>
      <c r="K9" s="423">
        <f>C9</f>
        <v>500</v>
      </c>
      <c r="O9" s="403" t="str">
        <f>【マスター】!P30</f>
        <v>要介護1</v>
      </c>
      <c r="P9" s="424" t="str">
        <f>ASC(【マスター】!Q30)</f>
        <v>783</v>
      </c>
      <c r="Q9" s="425" t="str">
        <f>ASC(【マスター】!R30)</f>
        <v>7,939</v>
      </c>
      <c r="R9" s="398">
        <v>22</v>
      </c>
      <c r="S9" s="398">
        <f>31-R9</f>
        <v>9</v>
      </c>
    </row>
    <row r="10" spans="1:19">
      <c r="A10" s="2001"/>
      <c r="B10" s="409" t="s">
        <v>1260</v>
      </c>
      <c r="C10" s="743">
        <f>P19*2</f>
        <v>1140</v>
      </c>
      <c r="D10" s="411" t="s">
        <v>1260</v>
      </c>
      <c r="E10" s="412">
        <f>C10</f>
        <v>1140</v>
      </c>
      <c r="F10" s="411" t="s">
        <v>1260</v>
      </c>
      <c r="G10" s="412">
        <f>E10</f>
        <v>1140</v>
      </c>
      <c r="H10" s="411" t="s">
        <v>1260</v>
      </c>
      <c r="I10" s="412">
        <f>G10</f>
        <v>1140</v>
      </c>
      <c r="J10" s="411" t="s">
        <v>1260</v>
      </c>
      <c r="K10" s="413">
        <f>I10</f>
        <v>1140</v>
      </c>
      <c r="O10" s="403" t="str">
        <f>【マスター】!P31</f>
        <v>要介護2</v>
      </c>
      <c r="P10" s="424" t="str">
        <f>ASC(【マスター】!Q31)</f>
        <v>925</v>
      </c>
      <c r="Q10" s="425" t="str">
        <f>ASC(【マスター】!R31)</f>
        <v>9,379</v>
      </c>
      <c r="R10" s="398">
        <v>22</v>
      </c>
      <c r="S10" s="398">
        <f>31-R10</f>
        <v>9</v>
      </c>
    </row>
    <row r="11" spans="1:19">
      <c r="A11" s="2001"/>
      <c r="B11" s="409" t="s">
        <v>1262</v>
      </c>
      <c r="C11" s="743">
        <f>P21*1</f>
        <v>630</v>
      </c>
      <c r="D11" s="411" t="s">
        <v>1262</v>
      </c>
      <c r="E11" s="412">
        <f>C11</f>
        <v>630</v>
      </c>
      <c r="F11" s="411" t="s">
        <v>1262</v>
      </c>
      <c r="G11" s="412">
        <f>E11</f>
        <v>630</v>
      </c>
      <c r="H11" s="411" t="s">
        <v>1262</v>
      </c>
      <c r="I11" s="412">
        <f>G11</f>
        <v>630</v>
      </c>
      <c r="J11" s="411" t="s">
        <v>1262</v>
      </c>
      <c r="K11" s="413">
        <f>I11</f>
        <v>630</v>
      </c>
      <c r="O11" s="403" t="str">
        <f>【マスター】!P32</f>
        <v>要介護3</v>
      </c>
      <c r="P11" s="424" t="str">
        <f>ASC(【マスター】!Q32)</f>
        <v>1,072</v>
      </c>
      <c r="Q11" s="425" t="str">
        <f>ASC(【マスター】!R32)</f>
        <v>10,870</v>
      </c>
      <c r="R11" s="398">
        <v>26</v>
      </c>
      <c r="S11" s="398">
        <f>31-R11</f>
        <v>5</v>
      </c>
    </row>
    <row r="12" spans="1:19" ht="19.5" thickBot="1">
      <c r="A12" s="2001"/>
      <c r="B12" s="426" t="s">
        <v>1300</v>
      </c>
      <c r="C12" s="744">
        <f>$M$24*1</f>
        <v>1200</v>
      </c>
      <c r="D12" s="472" t="s">
        <v>1300</v>
      </c>
      <c r="E12" s="473">
        <f>C12</f>
        <v>1200</v>
      </c>
      <c r="F12" s="472" t="s">
        <v>1300</v>
      </c>
      <c r="G12" s="473">
        <f>E12</f>
        <v>1200</v>
      </c>
      <c r="H12" s="472" t="s">
        <v>1300</v>
      </c>
      <c r="I12" s="473">
        <f>G12</f>
        <v>1200</v>
      </c>
      <c r="J12" s="472" t="s">
        <v>1300</v>
      </c>
      <c r="K12" s="479">
        <f>I12</f>
        <v>1200</v>
      </c>
      <c r="O12" s="403" t="str">
        <f>【マスター】!P33</f>
        <v>要介護4</v>
      </c>
      <c r="P12" s="424" t="str">
        <f>ASC(【マスター】!Q33)</f>
        <v>1,220</v>
      </c>
      <c r="Q12" s="425" t="str">
        <f>ASC(【マスター】!R33)</f>
        <v>12,370</v>
      </c>
      <c r="R12" s="398">
        <v>26</v>
      </c>
      <c r="S12" s="398">
        <f>31-R12</f>
        <v>5</v>
      </c>
    </row>
    <row r="13" spans="1:19" ht="19.5" thickBot="1">
      <c r="A13" s="2002"/>
      <c r="B13" s="427" t="s">
        <v>1301</v>
      </c>
      <c r="C13" s="428">
        <f>SUM(C5:C12)</f>
        <v>5074</v>
      </c>
      <c r="D13" s="429" t="s">
        <v>1301</v>
      </c>
      <c r="E13" s="428">
        <f>SUM(E5:E12)</f>
        <v>5362</v>
      </c>
      <c r="F13" s="429" t="s">
        <v>1301</v>
      </c>
      <c r="G13" s="428">
        <f>SUM(G5:G12)</f>
        <v>5660</v>
      </c>
      <c r="H13" s="429" t="s">
        <v>1301</v>
      </c>
      <c r="I13" s="428">
        <f>SUM(I5:I12)</f>
        <v>5960</v>
      </c>
      <c r="J13" s="429" t="s">
        <v>1301</v>
      </c>
      <c r="K13" s="430">
        <f>SUM(K5:K12)</f>
        <v>6255</v>
      </c>
      <c r="O13" s="403" t="str">
        <f>【マスター】!P34</f>
        <v>要介護5</v>
      </c>
      <c r="P13" s="424" t="str">
        <f>ASC(【マスター】!Q34)</f>
        <v>1,365</v>
      </c>
      <c r="Q13" s="425" t="str">
        <f>ASC(【マスター】!R34)</f>
        <v>13,841</v>
      </c>
      <c r="R13" s="398">
        <v>27</v>
      </c>
      <c r="S13" s="398">
        <f>31-R13</f>
        <v>4</v>
      </c>
    </row>
    <row r="14" spans="1:19" ht="18" customHeight="1">
      <c r="A14" s="2000" t="s">
        <v>1302</v>
      </c>
      <c r="B14" s="404" t="s">
        <v>1252</v>
      </c>
      <c r="C14" s="407">
        <f>ROUNDDOWN(P9*3*$K$2,0)-(ROUNDDOWN(P9*3*$K$2*$M$4,0))</f>
        <v>2382</v>
      </c>
      <c r="D14" s="406" t="s">
        <v>1256</v>
      </c>
      <c r="E14" s="407">
        <f>ROUNDDOWN(P10*3*$K$2,0)-(ROUNDDOWN(P10*3*$K$2*$M$4,0))</f>
        <v>2814</v>
      </c>
      <c r="F14" s="406" t="s">
        <v>1258</v>
      </c>
      <c r="G14" s="407">
        <f>ROUNDDOWN(P11*3*$K$2,0)-(ROUNDDOWN(P11*3*$K$2*$M$4,0))</f>
        <v>3261</v>
      </c>
      <c r="H14" s="406" t="s">
        <v>1259</v>
      </c>
      <c r="I14" s="407">
        <f>ROUNDDOWN(P12*3*$K$2,0)-(ROUNDDOWN(P12*3*$K$2*$M$4,0))</f>
        <v>3711</v>
      </c>
      <c r="J14" s="406" t="s">
        <v>1261</v>
      </c>
      <c r="K14" s="408">
        <f>ROUNDDOWN(P13*3*$K$2,0)-(ROUNDDOWN(P13*3*$K$2*$M$4,0))</f>
        <v>4153</v>
      </c>
      <c r="S14" s="418" t="s">
        <v>1303</v>
      </c>
    </row>
    <row r="15" spans="1:19" ht="19.5" customHeight="1">
      <c r="A15" s="2001"/>
      <c r="B15" s="409" t="str">
        <f>IF(【マスター】!C51="有","入浴介助加算(Ⅱ)","入浴介助加算(Ⅰ)")</f>
        <v>入浴介助加算(Ⅱ)</v>
      </c>
      <c r="C15" s="410">
        <f>ROUNDDOWN(Q15*3,0)-ROUNDDOWN(Q15*3*$M$4,0)</f>
        <v>168</v>
      </c>
      <c r="D15" s="409" t="str">
        <f>IF(【マスター】!C51="有","入浴介助加算(Ⅱ)","入浴介助加算(Ⅰ)")</f>
        <v>入浴介助加算(Ⅱ)</v>
      </c>
      <c r="E15" s="412">
        <f>C15</f>
        <v>168</v>
      </c>
      <c r="F15" s="409" t="str">
        <f>IF(【マスター】!C51="有","入浴介助加算(Ⅱ)","入浴介助加算(Ⅰ)")</f>
        <v>入浴介助加算(Ⅱ)</v>
      </c>
      <c r="G15" s="412">
        <f>C15</f>
        <v>168</v>
      </c>
      <c r="H15" s="409" t="str">
        <f>IF(【マスター】!C51="有","入浴介助加算(Ⅱ)","入浴介助加算(Ⅰ)")</f>
        <v>入浴介助加算(Ⅱ)</v>
      </c>
      <c r="I15" s="412">
        <f>C15</f>
        <v>168</v>
      </c>
      <c r="J15" s="409" t="str">
        <f>IF(【マスター】!C51="有","入浴介助加算(Ⅱ)","入浴介助加算(Ⅰ)")</f>
        <v>入浴介助加算(Ⅱ)</v>
      </c>
      <c r="K15" s="413">
        <f>C15</f>
        <v>168</v>
      </c>
      <c r="O15" s="701" t="str">
        <f>IF(【マスター】!C51="有","入浴(Ⅱ)","入浴(Ⅰ)")</f>
        <v>入浴(Ⅱ)</v>
      </c>
      <c r="P15" s="467">
        <f>IF(【マスター】!C51="有",55,40)</f>
        <v>55</v>
      </c>
      <c r="Q15" s="424" t="str">
        <f>IF(【マスター】!C51="有",(ASC(【マスター】!E51)),(ASC(【マスター】!E50)))</f>
        <v>557</v>
      </c>
    </row>
    <row r="16" spans="1:19">
      <c r="A16" s="2001"/>
      <c r="B16" s="409" t="s">
        <v>1295</v>
      </c>
      <c r="C16" s="410">
        <f>ROUNDDOWN(Q16*4,0)-ROUNDDOWN(Q16*4*$M$4,0)</f>
        <v>-191</v>
      </c>
      <c r="D16" s="411" t="s">
        <v>1295</v>
      </c>
      <c r="E16" s="412">
        <f>C16</f>
        <v>-191</v>
      </c>
      <c r="F16" s="411" t="s">
        <v>1295</v>
      </c>
      <c r="G16" s="412">
        <f>C16</f>
        <v>-191</v>
      </c>
      <c r="H16" s="411" t="s">
        <v>1295</v>
      </c>
      <c r="I16" s="412">
        <f>C16</f>
        <v>-191</v>
      </c>
      <c r="J16" s="411" t="s">
        <v>1295</v>
      </c>
      <c r="K16" s="413">
        <f>C16</f>
        <v>-191</v>
      </c>
      <c r="O16" s="403" t="s">
        <v>1295</v>
      </c>
      <c r="P16" s="424">
        <f>-(ASC(【マスター】!K53))</f>
        <v>-47</v>
      </c>
      <c r="Q16" s="424">
        <f>-(ASC(【マスター】!L53))</f>
        <v>-476</v>
      </c>
    </row>
    <row r="17" spans="1:18" ht="19.5" thickBot="1">
      <c r="A17" s="2001"/>
      <c r="B17" s="414" t="s">
        <v>1298</v>
      </c>
      <c r="C17" s="415">
        <f>IF($H$2=$O$4,-(SUM(C14:C16)),0)</f>
        <v>0</v>
      </c>
      <c r="D17" s="416" t="s">
        <v>1298</v>
      </c>
      <c r="E17" s="415">
        <f>IF($H$2=$O$4,-(SUM(E14:E16)),0)</f>
        <v>0</v>
      </c>
      <c r="F17" s="416" t="s">
        <v>1298</v>
      </c>
      <c r="G17" s="415">
        <f>IF($H$2=$O$4,-(SUM(G14:G16)),0)</f>
        <v>0</v>
      </c>
      <c r="H17" s="416" t="s">
        <v>1298</v>
      </c>
      <c r="I17" s="415">
        <f>IF($H$2=$O$4,-(SUM(I14:I16)),0)</f>
        <v>0</v>
      </c>
      <c r="J17" s="416" t="s">
        <v>1298</v>
      </c>
      <c r="K17" s="417">
        <f>IF($H$2=$O$4,-(SUM(K14:K16)),0)</f>
        <v>0</v>
      </c>
      <c r="O17" s="701" t="s">
        <v>1915</v>
      </c>
      <c r="P17" s="467">
        <f>-(ASC(【マスター】!K54))</f>
        <v>-94</v>
      </c>
      <c r="Q17" s="467">
        <f>-(ASC(【マスター】!L54))</f>
        <v>-953</v>
      </c>
      <c r="R17" s="461"/>
    </row>
    <row r="18" spans="1:18" ht="19.5" thickTop="1">
      <c r="A18" s="2001"/>
      <c r="B18" s="419" t="s">
        <v>1257</v>
      </c>
      <c r="C18" s="420">
        <f>$P$20*2</f>
        <v>1000</v>
      </c>
      <c r="D18" s="421" t="s">
        <v>1257</v>
      </c>
      <c r="E18" s="422">
        <f>C18</f>
        <v>1000</v>
      </c>
      <c r="F18" s="421" t="s">
        <v>1257</v>
      </c>
      <c r="G18" s="422">
        <f>C18</f>
        <v>1000</v>
      </c>
      <c r="H18" s="421" t="s">
        <v>1257</v>
      </c>
      <c r="I18" s="422">
        <f>C18</f>
        <v>1000</v>
      </c>
      <c r="J18" s="421" t="s">
        <v>1257</v>
      </c>
      <c r="K18" s="423">
        <f>C18</f>
        <v>1000</v>
      </c>
    </row>
    <row r="19" spans="1:18">
      <c r="A19" s="2001"/>
      <c r="B19" s="409" t="s">
        <v>1260</v>
      </c>
      <c r="C19" s="410">
        <f>$P$19*3</f>
        <v>1710</v>
      </c>
      <c r="D19" s="411" t="s">
        <v>1260</v>
      </c>
      <c r="E19" s="412">
        <f>C19</f>
        <v>1710</v>
      </c>
      <c r="F19" s="411" t="s">
        <v>1260</v>
      </c>
      <c r="G19" s="412">
        <f>E19</f>
        <v>1710</v>
      </c>
      <c r="H19" s="411" t="s">
        <v>1260</v>
      </c>
      <c r="I19" s="412">
        <f>G19</f>
        <v>1710</v>
      </c>
      <c r="J19" s="411" t="s">
        <v>1260</v>
      </c>
      <c r="K19" s="413">
        <f>I19</f>
        <v>1710</v>
      </c>
      <c r="O19" s="403" t="s">
        <v>1304</v>
      </c>
      <c r="P19" s="424" t="str">
        <f>ASC(【マスター】!$K$45)</f>
        <v>570</v>
      </c>
    </row>
    <row r="20" spans="1:18">
      <c r="A20" s="2001"/>
      <c r="B20" s="409" t="s">
        <v>1262</v>
      </c>
      <c r="C20" s="410">
        <f>$P$21*2</f>
        <v>1260</v>
      </c>
      <c r="D20" s="411" t="s">
        <v>1262</v>
      </c>
      <c r="E20" s="412">
        <f>C20</f>
        <v>1260</v>
      </c>
      <c r="F20" s="411" t="s">
        <v>1262</v>
      </c>
      <c r="G20" s="412">
        <f>E20</f>
        <v>1260</v>
      </c>
      <c r="H20" s="411" t="s">
        <v>1262</v>
      </c>
      <c r="I20" s="412">
        <f>G20</f>
        <v>1260</v>
      </c>
      <c r="J20" s="411" t="s">
        <v>1262</v>
      </c>
      <c r="K20" s="413">
        <f>I20</f>
        <v>1260</v>
      </c>
      <c r="O20" s="403" t="s">
        <v>1305</v>
      </c>
      <c r="P20" s="424" t="str">
        <f>ASC(【マスター】!$K$44)</f>
        <v>500</v>
      </c>
    </row>
    <row r="21" spans="1:18" ht="19.5" thickBot="1">
      <c r="A21" s="2001"/>
      <c r="B21" s="409" t="s">
        <v>1300</v>
      </c>
      <c r="C21" s="410">
        <f>$M$24*2</f>
        <v>2400</v>
      </c>
      <c r="D21" s="411" t="s">
        <v>1300</v>
      </c>
      <c r="E21" s="412">
        <f>C21</f>
        <v>2400</v>
      </c>
      <c r="F21" s="411" t="s">
        <v>1300</v>
      </c>
      <c r="G21" s="412">
        <f>E21</f>
        <v>2400</v>
      </c>
      <c r="H21" s="411" t="s">
        <v>1300</v>
      </c>
      <c r="I21" s="412">
        <f>G21</f>
        <v>2400</v>
      </c>
      <c r="J21" s="411" t="s">
        <v>1300</v>
      </c>
      <c r="K21" s="413">
        <f>I21</f>
        <v>2400</v>
      </c>
      <c r="O21" s="403" t="s">
        <v>1306</v>
      </c>
      <c r="P21" s="424" t="str">
        <f>ASC(【マスター】!$K$46)</f>
        <v>630</v>
      </c>
    </row>
    <row r="22" spans="1:18" ht="19.5" thickBot="1">
      <c r="A22" s="2002"/>
      <c r="B22" s="427" t="s">
        <v>1301</v>
      </c>
      <c r="C22" s="428">
        <f>SUM(C14:C21)</f>
        <v>8729</v>
      </c>
      <c r="D22" s="429" t="s">
        <v>1301</v>
      </c>
      <c r="E22" s="428">
        <f>SUM(E14:E21)</f>
        <v>9161</v>
      </c>
      <c r="F22" s="429" t="s">
        <v>1301</v>
      </c>
      <c r="G22" s="428">
        <f>SUM(G14:G21)</f>
        <v>9608</v>
      </c>
      <c r="H22" s="429" t="s">
        <v>1301</v>
      </c>
      <c r="I22" s="428">
        <f>SUM(I14:I21)</f>
        <v>10058</v>
      </c>
      <c r="J22" s="429" t="s">
        <v>1301</v>
      </c>
      <c r="K22" s="430">
        <f>SUM(K14:K21)</f>
        <v>10500</v>
      </c>
    </row>
    <row r="23" spans="1:18">
      <c r="A23" s="2000" t="s">
        <v>1308</v>
      </c>
      <c r="B23" s="431" t="s">
        <v>1252</v>
      </c>
      <c r="C23" s="407">
        <f>ROUNDDOWN(P9*8*$K$2,0)-(ROUNDDOWN(P9*8*$K$2*$M$4,0))</f>
        <v>6351</v>
      </c>
      <c r="D23" s="403" t="s">
        <v>1256</v>
      </c>
      <c r="E23" s="407">
        <f>ROUNDDOWN(P10*8*$K$2,0)-(ROUNDDOWN(P10*8*$K$2*$M$4,0))</f>
        <v>7504</v>
      </c>
      <c r="F23" s="403" t="s">
        <v>1258</v>
      </c>
      <c r="G23" s="407">
        <f>ROUNDDOWN(P11*8*$K$2,0)-(ROUNDDOWN(P11*8*$K$2*$M$4,0))</f>
        <v>8696</v>
      </c>
      <c r="H23" s="403" t="s">
        <v>1259</v>
      </c>
      <c r="I23" s="407">
        <f>ROUNDDOWN(P12*8*$K$2,0)-(ROUNDDOWN(P12*8*$K$2*$M$4,0))</f>
        <v>9897</v>
      </c>
      <c r="J23" s="403" t="s">
        <v>1261</v>
      </c>
      <c r="K23" s="408">
        <f>ROUNDDOWN(P13*8*$K$2,0)-(ROUNDDOWN(P13*8*$K$2*$M$4,0))</f>
        <v>11073</v>
      </c>
      <c r="O23" s="398" t="s">
        <v>1307</v>
      </c>
    </row>
    <row r="24" spans="1:18" ht="18" customHeight="1">
      <c r="A24" s="2001"/>
      <c r="B24" s="409" t="str">
        <f>IF(【マスター】!C51="有","入浴介助加算(Ⅱ)","入浴介助加算(Ⅰ)")</f>
        <v>入浴介助加算(Ⅱ)</v>
      </c>
      <c r="C24" s="410">
        <f>ROUNDDOWN(Q15*8,0)-ROUNDDOWN(Q15*8*$M$4,0)</f>
        <v>446</v>
      </c>
      <c r="D24" s="411" t="str">
        <f>IF(【マスター】!C51="有","入浴介助加算(Ⅱ)","入浴介助加算(Ⅰ)")</f>
        <v>入浴介助加算(Ⅱ)</v>
      </c>
      <c r="E24" s="412">
        <f>C24</f>
        <v>446</v>
      </c>
      <c r="F24" s="411" t="str">
        <f>IF(【マスター】!C51="有","入浴介助加算(Ⅱ)","入浴介助加算(Ⅰ)")</f>
        <v>入浴介助加算(Ⅱ)</v>
      </c>
      <c r="G24" s="412">
        <f>C24</f>
        <v>446</v>
      </c>
      <c r="H24" s="411" t="str">
        <f>IF(【マスター】!C51="有","入浴介助加算(Ⅱ)","入浴介助加算(Ⅰ)")</f>
        <v>入浴介助加算(Ⅱ)</v>
      </c>
      <c r="I24" s="412">
        <f>C24</f>
        <v>446</v>
      </c>
      <c r="J24" s="411" t="str">
        <f>IF(【マスター】!C51="有","入浴介助加算(Ⅱ)","入浴介助加算(Ⅰ)")</f>
        <v>入浴介助加算(Ⅱ)</v>
      </c>
      <c r="K24" s="413">
        <f>C24</f>
        <v>446</v>
      </c>
      <c r="M24" s="424" t="str">
        <f>VLOOKUP($H$2,O24:P27,2,FALSE)</f>
        <v>1,200</v>
      </c>
      <c r="O24" s="399" t="s">
        <v>1289</v>
      </c>
      <c r="P24" s="424" t="str">
        <f>ASC(【マスター】!J42)</f>
        <v>1,200</v>
      </c>
    </row>
    <row r="25" spans="1:18" ht="19.5" customHeight="1">
      <c r="A25" s="2001"/>
      <c r="B25" s="409" t="s">
        <v>1295</v>
      </c>
      <c r="C25" s="410">
        <f>ROUNDDOWN(Q16*14,0)-ROUNDDOWN(Q16*14*$M$4,0)</f>
        <v>-667</v>
      </c>
      <c r="D25" s="411" t="s">
        <v>1295</v>
      </c>
      <c r="E25" s="412">
        <f>C25</f>
        <v>-667</v>
      </c>
      <c r="F25" s="411" t="s">
        <v>1295</v>
      </c>
      <c r="G25" s="412">
        <f>C25</f>
        <v>-667</v>
      </c>
      <c r="H25" s="411" t="s">
        <v>1295</v>
      </c>
      <c r="I25" s="412">
        <f>C25</f>
        <v>-667</v>
      </c>
      <c r="J25" s="411" t="s">
        <v>1295</v>
      </c>
      <c r="K25" s="413">
        <f>C25</f>
        <v>-667</v>
      </c>
      <c r="O25" s="399" t="s">
        <v>1281</v>
      </c>
      <c r="P25" s="424" t="str">
        <f>ASC(【マスター】!K42)</f>
        <v>1,200</v>
      </c>
    </row>
    <row r="26" spans="1:18" ht="19.5" thickBot="1">
      <c r="A26" s="2001"/>
      <c r="B26" s="414" t="s">
        <v>1298</v>
      </c>
      <c r="C26" s="415">
        <f>IF($H$2=$O$4,-(SUM(C23:C25)),0)</f>
        <v>0</v>
      </c>
      <c r="D26" s="416" t="s">
        <v>1298</v>
      </c>
      <c r="E26" s="415">
        <f>IF($H$2=$O$4,-(SUM(E23:E25)),0)</f>
        <v>0</v>
      </c>
      <c r="F26" s="416" t="s">
        <v>1298</v>
      </c>
      <c r="G26" s="415">
        <f>IF($H$2=$O$4,-(SUM(G23:G25)),0)</f>
        <v>0</v>
      </c>
      <c r="H26" s="416" t="s">
        <v>1298</v>
      </c>
      <c r="I26" s="415">
        <f>IF($H$2=$O$4,-(SUM(I23:I25)),0)</f>
        <v>0</v>
      </c>
      <c r="J26" s="416" t="s">
        <v>1298</v>
      </c>
      <c r="K26" s="417">
        <f>IF($H$2=$O$4,-(SUM(K23:K25)),0)</f>
        <v>0</v>
      </c>
      <c r="O26" s="399" t="s">
        <v>1293</v>
      </c>
      <c r="P26" s="424" t="str">
        <f>ASC(【マスター】!L42)</f>
        <v>1,200</v>
      </c>
    </row>
    <row r="27" spans="1:18" ht="19.5" thickTop="1">
      <c r="A27" s="2001"/>
      <c r="B27" s="419" t="s">
        <v>1257</v>
      </c>
      <c r="C27" s="420">
        <f>$P$20*7</f>
        <v>3500</v>
      </c>
      <c r="D27" s="421" t="s">
        <v>1257</v>
      </c>
      <c r="E27" s="422">
        <f>C27</f>
        <v>3500</v>
      </c>
      <c r="F27" s="421" t="s">
        <v>1257</v>
      </c>
      <c r="G27" s="422">
        <f>C27</f>
        <v>3500</v>
      </c>
      <c r="H27" s="421" t="s">
        <v>1257</v>
      </c>
      <c r="I27" s="422">
        <f>C27</f>
        <v>3500</v>
      </c>
      <c r="J27" s="421" t="s">
        <v>1257</v>
      </c>
      <c r="K27" s="423">
        <f>C27</f>
        <v>3500</v>
      </c>
      <c r="O27" s="399" t="s">
        <v>1296</v>
      </c>
      <c r="P27" s="424" t="str">
        <f>P26</f>
        <v>1,200</v>
      </c>
    </row>
    <row r="28" spans="1:18">
      <c r="A28" s="2001"/>
      <c r="B28" s="409" t="s">
        <v>1260</v>
      </c>
      <c r="C28" s="410">
        <f>$P$19*8</f>
        <v>4560</v>
      </c>
      <c r="D28" s="411" t="s">
        <v>1260</v>
      </c>
      <c r="E28" s="412">
        <f>C28</f>
        <v>4560</v>
      </c>
      <c r="F28" s="411" t="s">
        <v>1260</v>
      </c>
      <c r="G28" s="412">
        <f>E28</f>
        <v>4560</v>
      </c>
      <c r="H28" s="411" t="s">
        <v>1260</v>
      </c>
      <c r="I28" s="412">
        <f>G28</f>
        <v>4560</v>
      </c>
      <c r="J28" s="411" t="s">
        <v>1260</v>
      </c>
      <c r="K28" s="413">
        <f>I28</f>
        <v>4560</v>
      </c>
    </row>
    <row r="29" spans="1:18">
      <c r="A29" s="2001"/>
      <c r="B29" s="409" t="s">
        <v>1262</v>
      </c>
      <c r="C29" s="410">
        <f>$P$21*7</f>
        <v>4410</v>
      </c>
      <c r="D29" s="411" t="s">
        <v>1262</v>
      </c>
      <c r="E29" s="412">
        <f>C29</f>
        <v>4410</v>
      </c>
      <c r="F29" s="411" t="s">
        <v>1262</v>
      </c>
      <c r="G29" s="412">
        <f>E29</f>
        <v>4410</v>
      </c>
      <c r="H29" s="411" t="s">
        <v>1262</v>
      </c>
      <c r="I29" s="412">
        <f>G29</f>
        <v>4410</v>
      </c>
      <c r="J29" s="411" t="s">
        <v>1262</v>
      </c>
      <c r="K29" s="413">
        <f>I29</f>
        <v>4410</v>
      </c>
      <c r="O29" s="398" t="s">
        <v>1309</v>
      </c>
    </row>
    <row r="30" spans="1:18" ht="19.5" thickBot="1">
      <c r="A30" s="2001"/>
      <c r="B30" s="409" t="s">
        <v>1300</v>
      </c>
      <c r="C30" s="410">
        <f>$M$24*7</f>
        <v>8400</v>
      </c>
      <c r="D30" s="411" t="s">
        <v>1300</v>
      </c>
      <c r="E30" s="412">
        <f>C30</f>
        <v>8400</v>
      </c>
      <c r="F30" s="411" t="s">
        <v>1300</v>
      </c>
      <c r="G30" s="412">
        <f>E30</f>
        <v>8400</v>
      </c>
      <c r="H30" s="411" t="s">
        <v>1300</v>
      </c>
      <c r="I30" s="412">
        <f>G30</f>
        <v>8400</v>
      </c>
      <c r="J30" s="411" t="s">
        <v>1300</v>
      </c>
      <c r="K30" s="413">
        <f>I30</f>
        <v>8400</v>
      </c>
      <c r="M30" s="424" t="str">
        <f>VLOOKUP($H$2,O30:P33,2,FALSE)</f>
        <v>3,500</v>
      </c>
      <c r="O30" s="399" t="s">
        <v>1289</v>
      </c>
      <c r="P30" s="424" t="str">
        <f>ASC(【マスター】!J40)</f>
        <v>3,500</v>
      </c>
    </row>
    <row r="31" spans="1:18" ht="19.5" thickBot="1">
      <c r="A31" s="2002"/>
      <c r="B31" s="427" t="s">
        <v>1301</v>
      </c>
      <c r="C31" s="428">
        <f>SUM(C23:C30)</f>
        <v>27000</v>
      </c>
      <c r="D31" s="429" t="s">
        <v>1301</v>
      </c>
      <c r="E31" s="428">
        <f>SUM(E23:E30)</f>
        <v>28153</v>
      </c>
      <c r="F31" s="429" t="s">
        <v>1301</v>
      </c>
      <c r="G31" s="428">
        <f>SUM(G23:G30)</f>
        <v>29345</v>
      </c>
      <c r="H31" s="429" t="s">
        <v>1301</v>
      </c>
      <c r="I31" s="428">
        <f>SUM(I23:I30)</f>
        <v>30546</v>
      </c>
      <c r="J31" s="429" t="s">
        <v>1301</v>
      </c>
      <c r="K31" s="430">
        <f>SUM(K23:K30)</f>
        <v>31722</v>
      </c>
      <c r="O31" s="399" t="s">
        <v>1281</v>
      </c>
      <c r="P31" s="424" t="str">
        <f>ASC(【マスター】!K40)</f>
        <v>3,500</v>
      </c>
    </row>
    <row r="32" spans="1:18">
      <c r="A32" s="2000" t="s">
        <v>1310</v>
      </c>
      <c r="B32" s="440" t="s">
        <v>1252</v>
      </c>
      <c r="C32" s="441">
        <f>ROUNDDOWN(P9*15*$K$2,0)-(ROUNDDOWN(P9*15*$K$2*$M$4,0))</f>
        <v>11910</v>
      </c>
      <c r="D32" s="442" t="s">
        <v>1256</v>
      </c>
      <c r="E32" s="441">
        <f>ROUNDDOWN(P10*15*$K$2,0)-(ROUNDDOWN(P10*15*$K$2*$M$4,0))</f>
        <v>14069</v>
      </c>
      <c r="F32" s="442" t="s">
        <v>1258</v>
      </c>
      <c r="G32" s="441">
        <f>ROUNDDOWN(P11*15*$K$2,0)-(ROUNDDOWN(P11*15*$K$2*$M$4,0))</f>
        <v>16305</v>
      </c>
      <c r="H32" s="442" t="s">
        <v>1259</v>
      </c>
      <c r="I32" s="441">
        <f>ROUNDDOWN(P12*15*$K$2,0)-(ROUNDDOWN(P12*15*$K$2*$M$4,0))</f>
        <v>18557</v>
      </c>
      <c r="J32" s="442" t="s">
        <v>1261</v>
      </c>
      <c r="K32" s="443">
        <f>ROUNDDOWN(P13*15*$K$2,0)-(ROUNDDOWN(P13*15*$K$2*$M$4,0))</f>
        <v>20762</v>
      </c>
      <c r="O32" s="399" t="s">
        <v>1293</v>
      </c>
      <c r="P32" s="424" t="str">
        <f>ASC(【マスター】!L40)</f>
        <v>3,500</v>
      </c>
    </row>
    <row r="33" spans="1:16">
      <c r="A33" s="2001"/>
      <c r="B33" s="409" t="str">
        <f>IF(【マスター】!C51="有","入浴介助加算(Ⅱ)","入浴介助加算(Ⅰ)")</f>
        <v>入浴介助加算(Ⅱ)</v>
      </c>
      <c r="C33" s="410">
        <f>ROUNDDOWN(Q15*15,0)-ROUNDDOWN(Q15*15*$M$4,0)</f>
        <v>836</v>
      </c>
      <c r="D33" s="411" t="str">
        <f>IF(【マスター】!C51="有","入浴介助加算(Ⅱ)","入浴介助加算(Ⅰ)")</f>
        <v>入浴介助加算(Ⅱ)</v>
      </c>
      <c r="E33" s="412">
        <f>C33</f>
        <v>836</v>
      </c>
      <c r="F33" s="411" t="str">
        <f>IF(【マスター】!C51="有","入浴介助加算(Ⅱ)","入浴介助加算(Ⅰ)")</f>
        <v>入浴介助加算(Ⅱ)</v>
      </c>
      <c r="G33" s="412">
        <f>C33</f>
        <v>836</v>
      </c>
      <c r="H33" s="411" t="str">
        <f>IF(【マスター】!C51="有","入浴介助加算(Ⅱ)","入浴介助加算(Ⅰ)")</f>
        <v>入浴介助加算(Ⅱ)</v>
      </c>
      <c r="I33" s="412">
        <f>C33</f>
        <v>836</v>
      </c>
      <c r="J33" s="411" t="str">
        <f>IF(【マスター】!C51="有","入浴介助加算(Ⅱ)","入浴介助加算(Ⅰ)")</f>
        <v>入浴介助加算(Ⅱ)</v>
      </c>
      <c r="K33" s="413">
        <f>C33</f>
        <v>836</v>
      </c>
      <c r="O33" s="399" t="s">
        <v>1296</v>
      </c>
      <c r="P33" s="424" t="str">
        <f>P32</f>
        <v>3,500</v>
      </c>
    </row>
    <row r="34" spans="1:16" ht="18" customHeight="1">
      <c r="A34" s="2001"/>
      <c r="B34" s="409" t="s">
        <v>1295</v>
      </c>
      <c r="C34" s="410">
        <f>ROUNDDOWN(Q16*28,0)-ROUNDDOWN(Q16*28*$M$4,0)</f>
        <v>-1333</v>
      </c>
      <c r="D34" s="411" t="s">
        <v>1295</v>
      </c>
      <c r="E34" s="412">
        <f>C34</f>
        <v>-1333</v>
      </c>
      <c r="F34" s="411" t="s">
        <v>1295</v>
      </c>
      <c r="G34" s="412">
        <f>C34</f>
        <v>-1333</v>
      </c>
      <c r="H34" s="411" t="s">
        <v>1295</v>
      </c>
      <c r="I34" s="412">
        <f>C34</f>
        <v>-1333</v>
      </c>
      <c r="J34" s="411" t="s">
        <v>1295</v>
      </c>
      <c r="K34" s="413">
        <f>C34</f>
        <v>-1333</v>
      </c>
      <c r="O34" s="398" t="s">
        <v>1311</v>
      </c>
    </row>
    <row r="35" spans="1:16" ht="19.5" customHeight="1" thickBot="1">
      <c r="A35" s="2001"/>
      <c r="B35" s="414" t="s">
        <v>1298</v>
      </c>
      <c r="C35" s="415">
        <f>IF($H$2=$O$4,-(SUM(C32:C34)),0)</f>
        <v>0</v>
      </c>
      <c r="D35" s="416" t="s">
        <v>1298</v>
      </c>
      <c r="E35" s="415">
        <f>IF($H$2=$O$4,-(SUM(E32:E34)),0)</f>
        <v>0</v>
      </c>
      <c r="F35" s="416" t="s">
        <v>1298</v>
      </c>
      <c r="G35" s="415">
        <f>IF($H$2=$O$4,-(SUM(G32:G34)),0)</f>
        <v>0</v>
      </c>
      <c r="H35" s="416" t="s">
        <v>1298</v>
      </c>
      <c r="I35" s="415">
        <f>IF($H$2=$O$4,-(SUM(I32:I34)),0)</f>
        <v>0</v>
      </c>
      <c r="J35" s="416" t="s">
        <v>1298</v>
      </c>
      <c r="K35" s="417">
        <f>IF($H$2=$O$4,-(SUM(K32:K34)),0)</f>
        <v>0</v>
      </c>
      <c r="M35" s="424" t="str">
        <f>VLOOKUP($H$2,O35:P38,2,FALSE)</f>
        <v>3,500</v>
      </c>
      <c r="O35" s="399" t="s">
        <v>1289</v>
      </c>
      <c r="P35" s="424" t="str">
        <f>ASC(【マスター】!J41)</f>
        <v>3,500</v>
      </c>
    </row>
    <row r="36" spans="1:16" ht="19.5" thickTop="1">
      <c r="A36" s="2001"/>
      <c r="B36" s="419" t="s">
        <v>1257</v>
      </c>
      <c r="C36" s="420">
        <f>$P$20*14</f>
        <v>7000</v>
      </c>
      <c r="D36" s="421" t="s">
        <v>1257</v>
      </c>
      <c r="E36" s="422">
        <f>C36</f>
        <v>7000</v>
      </c>
      <c r="F36" s="421" t="s">
        <v>1257</v>
      </c>
      <c r="G36" s="422">
        <f>C36</f>
        <v>7000</v>
      </c>
      <c r="H36" s="421" t="s">
        <v>1257</v>
      </c>
      <c r="I36" s="422">
        <f>C36</f>
        <v>7000</v>
      </c>
      <c r="J36" s="421" t="s">
        <v>1257</v>
      </c>
      <c r="K36" s="423">
        <f>C36</f>
        <v>7000</v>
      </c>
      <c r="O36" s="399" t="s">
        <v>1281</v>
      </c>
      <c r="P36" s="424" t="str">
        <f>ASC(【マスター】!K41)</f>
        <v>3,500</v>
      </c>
    </row>
    <row r="37" spans="1:16">
      <c r="A37" s="2001"/>
      <c r="B37" s="409" t="s">
        <v>1260</v>
      </c>
      <c r="C37" s="410">
        <f>$P$19*15</f>
        <v>8550</v>
      </c>
      <c r="D37" s="411" t="s">
        <v>1260</v>
      </c>
      <c r="E37" s="412">
        <f>C37</f>
        <v>8550</v>
      </c>
      <c r="F37" s="411" t="s">
        <v>1260</v>
      </c>
      <c r="G37" s="412">
        <f>E37</f>
        <v>8550</v>
      </c>
      <c r="H37" s="411" t="s">
        <v>1260</v>
      </c>
      <c r="I37" s="412">
        <f>G37</f>
        <v>8550</v>
      </c>
      <c r="J37" s="411" t="s">
        <v>1260</v>
      </c>
      <c r="K37" s="413">
        <f>I37</f>
        <v>8550</v>
      </c>
      <c r="O37" s="399" t="s">
        <v>1293</v>
      </c>
      <c r="P37" s="424" t="str">
        <f>ASC(【マスター】!L41)</f>
        <v>3,500</v>
      </c>
    </row>
    <row r="38" spans="1:16">
      <c r="A38" s="2001"/>
      <c r="B38" s="409" t="s">
        <v>1262</v>
      </c>
      <c r="C38" s="410">
        <f>$P$21*14</f>
        <v>8820</v>
      </c>
      <c r="D38" s="411" t="s">
        <v>1262</v>
      </c>
      <c r="E38" s="412">
        <f>C38</f>
        <v>8820</v>
      </c>
      <c r="F38" s="411" t="s">
        <v>1262</v>
      </c>
      <c r="G38" s="412">
        <f>E38</f>
        <v>8820</v>
      </c>
      <c r="H38" s="411" t="s">
        <v>1262</v>
      </c>
      <c r="I38" s="412">
        <f>G38</f>
        <v>8820</v>
      </c>
      <c r="J38" s="411" t="s">
        <v>1262</v>
      </c>
      <c r="K38" s="413">
        <f>I38</f>
        <v>8820</v>
      </c>
      <c r="O38" s="399" t="s">
        <v>1296</v>
      </c>
      <c r="P38" s="424" t="str">
        <f>P37</f>
        <v>3,500</v>
      </c>
    </row>
    <row r="39" spans="1:16" ht="19.5" thickBot="1">
      <c r="A39" s="2001"/>
      <c r="B39" s="409" t="s">
        <v>1300</v>
      </c>
      <c r="C39" s="410">
        <f>$M$24*14</f>
        <v>16800</v>
      </c>
      <c r="D39" s="411" t="s">
        <v>1300</v>
      </c>
      <c r="E39" s="412">
        <f>C39</f>
        <v>16800</v>
      </c>
      <c r="F39" s="411" t="s">
        <v>1300</v>
      </c>
      <c r="G39" s="412">
        <f>E39</f>
        <v>16800</v>
      </c>
      <c r="H39" s="411" t="s">
        <v>1300</v>
      </c>
      <c r="I39" s="412">
        <f>G39</f>
        <v>16800</v>
      </c>
      <c r="J39" s="411" t="s">
        <v>1300</v>
      </c>
      <c r="K39" s="413">
        <f>I39</f>
        <v>16800</v>
      </c>
    </row>
    <row r="40" spans="1:16" ht="19.5" thickBot="1">
      <c r="A40" s="2002"/>
      <c r="B40" s="427" t="s">
        <v>1301</v>
      </c>
      <c r="C40" s="428">
        <f>SUM(C32:C39)</f>
        <v>52583</v>
      </c>
      <c r="D40" s="429" t="s">
        <v>1301</v>
      </c>
      <c r="E40" s="428">
        <f>SUM(E32:E39)</f>
        <v>54742</v>
      </c>
      <c r="F40" s="429" t="s">
        <v>1301</v>
      </c>
      <c r="G40" s="428">
        <f>SUM(G32:G39)</f>
        <v>56978</v>
      </c>
      <c r="H40" s="429" t="s">
        <v>1301</v>
      </c>
      <c r="I40" s="428">
        <f>SUM(I32:I39)</f>
        <v>59230</v>
      </c>
      <c r="J40" s="429" t="s">
        <v>1301</v>
      </c>
      <c r="K40" s="430">
        <f>SUM(K32:K39)</f>
        <v>61435</v>
      </c>
    </row>
    <row r="41" spans="1:16" ht="20.100000000000001" customHeight="1">
      <c r="B41" s="1985" t="s">
        <v>1897</v>
      </c>
      <c r="C41" s="1985"/>
      <c r="D41" s="1985"/>
      <c r="E41" s="1985"/>
      <c r="F41" s="1985"/>
      <c r="G41" s="1985"/>
      <c r="H41" s="1985"/>
      <c r="I41" s="1985"/>
      <c r="J41" s="1985"/>
      <c r="K41" s="1985"/>
    </row>
    <row r="42" spans="1:16" ht="20.100000000000001" customHeight="1">
      <c r="B42" s="1986" t="s">
        <v>1312</v>
      </c>
      <c r="C42" s="1986"/>
      <c r="D42" s="1986"/>
      <c r="E42" s="1986"/>
      <c r="F42" s="1986"/>
      <c r="G42" s="1986"/>
      <c r="H42" s="1986"/>
      <c r="I42" s="1986"/>
    </row>
    <row r="43" spans="1:16" ht="20.100000000000001" customHeight="1">
      <c r="B43" s="398" t="s">
        <v>1313</v>
      </c>
      <c r="M43" s="315">
        <f>IF(【マスター】!C74="有",1,0)</f>
        <v>0</v>
      </c>
      <c r="N43" s="315" t="s">
        <v>594</v>
      </c>
      <c r="O43" s="315" t="str">
        <f>【マスター】!D74</f>
        <v>9.2%（1ヶ月の利用合計単位数に乗じる）</v>
      </c>
      <c r="P43" s="461"/>
    </row>
    <row r="44" spans="1:16" ht="19.5">
      <c r="A44" s="2006" t="s">
        <v>1314</v>
      </c>
      <c r="B44" s="698" t="s">
        <v>1315</v>
      </c>
      <c r="C44" s="539" t="s">
        <v>1877</v>
      </c>
      <c r="D44" s="539" t="s">
        <v>1315</v>
      </c>
      <c r="E44" s="539" t="s">
        <v>1877</v>
      </c>
      <c r="F44" s="539" t="s">
        <v>1315</v>
      </c>
      <c r="G44" s="539" t="s">
        <v>1877</v>
      </c>
      <c r="H44" s="539" t="s">
        <v>1315</v>
      </c>
      <c r="I44" s="539" t="s">
        <v>1877</v>
      </c>
      <c r="J44" s="539" t="s">
        <v>1315</v>
      </c>
      <c r="K44" s="539" t="s">
        <v>1877</v>
      </c>
      <c r="M44" s="315">
        <f>IF(【マスター】!C75="有",1,0)</f>
        <v>1</v>
      </c>
      <c r="N44" s="315" t="s">
        <v>597</v>
      </c>
      <c r="O44" s="315" t="str">
        <f>【マスター】!D75</f>
        <v>9.0%（1ヶ月の利用合計単位数に乗じる）</v>
      </c>
      <c r="P44" s="461"/>
    </row>
    <row r="45" spans="1:16" ht="19.5">
      <c r="A45" s="2006"/>
      <c r="B45" s="464" t="str">
        <f>'料金表（1回分)'!F4</f>
        <v>入浴介助加算（Ⅰ）/日</v>
      </c>
      <c r="C45" s="699" t="str">
        <f>IF(【マスター】!C50="","算定なし",ASC("\"&amp;ROUNDDOWN(【マスター】!E50,0)-ROUNDDOWN(【マスター】!E50*$M$4,0)))</f>
        <v>\41</v>
      </c>
      <c r="D45" s="464" t="str">
        <f>'料金表（1回分)'!F9</f>
        <v>個別機能訓練加算（Ⅰ）イ/日</v>
      </c>
      <c r="E45" s="699" t="str">
        <f>IF(【マスター】!C55="","算定なし",ASC("\"&amp;ROUNDDOWN(【マスター】!E55,0)-ROUNDDOWN(【マスター】!E55*$M$4,0)))</f>
        <v>\57</v>
      </c>
      <c r="F45" s="464" t="str">
        <f>'料金表（1回分)'!F14</f>
        <v>サービス提供体制強化加算（Ⅲ）/日</v>
      </c>
      <c r="G45" s="699" t="str">
        <f>IF(【マスター】!C60="","算定なし",ASC("\"&amp;ROUNDDOWN(【マスター】!E60,0)-ROUNDDOWN(【マスター】!E60*$M$4,0)))</f>
        <v>算定なし</v>
      </c>
      <c r="H45" s="464" t="str">
        <f>'料金表（1回分)'!F19</f>
        <v>口腔機能向上加算（Ⅰ）/回</v>
      </c>
      <c r="I45" s="699" t="str">
        <f>IF(【マスター】!C65="","算定なし",ASC("\"&amp;ROUNDDOWN(【マスター】!E65,0)-ROUNDDOWN(【マスター】!E65*$M$4,0)))</f>
        <v>\153</v>
      </c>
      <c r="J45" s="464" t="str">
        <f>'料金表（1回分)'!F24</f>
        <v>生活機能向上連携加算（Ⅰ）/月</v>
      </c>
      <c r="K45" s="614" t="str">
        <f>IF(【マスター】!C70="","算定なし",ASC("\"&amp;ROUNDDOWN(【マスター】!E70,0)-ROUNDDOWN(【マスター】!E70*$M$4,0)))</f>
        <v>算定なし</v>
      </c>
      <c r="M45" s="315">
        <f>IF(【マスター】!C76="有",1,0)</f>
        <v>0</v>
      </c>
      <c r="N45" s="315" t="s">
        <v>601</v>
      </c>
      <c r="O45" s="315" t="str">
        <f>【マスター】!D76</f>
        <v>8.0%（1ヶ月の利用合計単位数に乗じる）</v>
      </c>
      <c r="P45" s="461"/>
    </row>
    <row r="46" spans="1:16" ht="19.5">
      <c r="A46" s="2006"/>
      <c r="B46" s="464" t="str">
        <f>'料金表（1回分)'!F5</f>
        <v>入浴介助加算（Ⅱ）/日</v>
      </c>
      <c r="C46" s="699" t="str">
        <f>IF(【マスター】!C51="","算定なし",ASC("\"&amp;ROUNDDOWN(【マスター】!E51,0)-ROUNDDOWN(【マスター】!E51*$M$4,0)))</f>
        <v>\56</v>
      </c>
      <c r="D46" s="464" t="str">
        <f>'料金表（1回分)'!F10</f>
        <v>個別機能訓練加算（Ⅰ）ロ/日</v>
      </c>
      <c r="E46" s="699" t="str">
        <f>IF(【マスター】!C56="","算定なし",ASC("\"&amp;ROUNDDOWN(【マスター】!E56,0)-ROUNDDOWN(【マスター】!E56*$M$4,0)))</f>
        <v>算定なし</v>
      </c>
      <c r="F46" s="464" t="str">
        <f>'料金表（1回分)'!F15</f>
        <v>栄養改善加算/回</v>
      </c>
      <c r="G46" s="699" t="str">
        <f>IF(【マスター】!C61="","算定なし",ASC("\"&amp;ROUNDDOWN(【マスター】!E61,0)-ROUNDDOWN(【マスター】!E61*$M$4,0)))</f>
        <v>算定なし</v>
      </c>
      <c r="H46" s="464" t="str">
        <f>'料金表（1回分)'!F20</f>
        <v>口腔機能向上加算（Ⅱ）/回</v>
      </c>
      <c r="I46" s="699" t="str">
        <f>IF(【マスター】!C66="","算定なし",ASC("\"&amp;ROUNDDOWN(【マスター】!E66,0)-ROUNDDOWN(【マスター】!E66*$M$4,0)))</f>
        <v>算定なし</v>
      </c>
      <c r="J46" s="464" t="str">
        <f>'料金表（1回分)'!F25</f>
        <v>生活機能向上連携加算（Ⅱ）/月</v>
      </c>
      <c r="K46" s="614" t="str">
        <f>IF(【マスター】!C71="","算定なし",ASC("\"&amp;ROUNDDOWN(【マスター】!E71,0)-ROUNDDOWN(【マスター】!E71*$M$4,0)))</f>
        <v>算定なし</v>
      </c>
      <c r="M46" s="315">
        <f>SUM(M43:M45)</f>
        <v>1</v>
      </c>
      <c r="N46" s="315" t="s">
        <v>611</v>
      </c>
      <c r="O46" s="461"/>
      <c r="P46" s="461"/>
    </row>
    <row r="47" spans="1:16">
      <c r="A47" s="2006"/>
      <c r="B47" s="464" t="str">
        <f>'料金表（1回分)'!F6</f>
        <v>認知症加算/日</v>
      </c>
      <c r="C47" s="699" t="str">
        <f>IF(【マスター】!C52="","算定なし",ASC("\"&amp;ROUNDDOWN(【マスター】!E52,0)-ROUNDDOWN(【マスター】!E52*$M$4,0)))</f>
        <v>算定なし</v>
      </c>
      <c r="D47" s="464" t="str">
        <f>'料金表（1回分)'!F11</f>
        <v>個別機能訓練加算（Ⅱ）/月</v>
      </c>
      <c r="E47" s="699" t="str">
        <f>IF(【マスター】!C57="","算定なし",ASC("\"&amp;ROUNDDOWN(【マスター】!E57,0)-ROUNDDOWN(【マスター】!E57*$M$4,0)))</f>
        <v>算定なし</v>
      </c>
      <c r="F47" s="464" t="str">
        <f>'料金表（1回分)'!F16</f>
        <v>栄養アセスメント加算/月</v>
      </c>
      <c r="G47" s="699" t="str">
        <f>IF(【マスター】!C62="","算定なし",ASC("\"&amp;ROUNDDOWN(【マスター】!E62,0)-ROUNDDOWN(【マスター】!E62*$M$4,0)))</f>
        <v>算定なし</v>
      </c>
      <c r="H47" s="464" t="str">
        <f>'料金表（1回分)'!F21</f>
        <v>ＡＤＬ維持等加算（Ⅰ）/月</v>
      </c>
      <c r="I47" s="699" t="str">
        <f>IF(【マスター】!C67="","算定なし",ASC("\"&amp;ROUNDDOWN(【マスター】!E67,0)-ROUNDDOWN(【マスター】!E67*$M$4,0)))</f>
        <v>算定なし</v>
      </c>
      <c r="J47" s="464" t="str">
        <f>'料金表（1回分)'!F26</f>
        <v>延長加算（1時間当たり）/回</v>
      </c>
      <c r="K47" s="614" t="str">
        <f>IF(【マスター】!C72="","算定なし",ASC("\"&amp;ROUNDDOWN(【マスター】!E72,0)-ROUNDDOWN(【マスター】!E72*$M$4,0)))</f>
        <v>\51</v>
      </c>
      <c r="M47" s="461"/>
      <c r="N47" s="461"/>
      <c r="O47" s="461"/>
      <c r="P47" s="461"/>
    </row>
    <row r="48" spans="1:16" ht="19.5">
      <c r="A48" s="2006"/>
      <c r="B48" s="464" t="str">
        <f>'料金表（1回分)'!F7</f>
        <v>若年性認知症利用者受入加算/日</v>
      </c>
      <c r="C48" s="699" t="str">
        <f>IF(【マスター】!C53="","算定なし",ASC("\"&amp;ROUNDDOWN(【マスター】!E53,0)-ROUNDDOWN(【マスター】!E53*$M$4,0)))</f>
        <v>\61</v>
      </c>
      <c r="D48" s="464" t="str">
        <f>'料金表（1回分)'!F12</f>
        <v>サービス提供体制強化加算（Ⅰ）/日</v>
      </c>
      <c r="E48" s="699" t="str">
        <f>IF(【マスター】!C58="","算定なし",ASC("\"&amp;ROUNDDOWN(【マスター】!E58,0)-ROUNDDOWN(【マスター】!E58*$M$4,0)))</f>
        <v>算定なし</v>
      </c>
      <c r="F48" s="464" t="str">
        <f>'料金表（1回分)'!F17</f>
        <v>口腔・栄養スクリーニング加算（Ⅰ）/回</v>
      </c>
      <c r="G48" s="699" t="str">
        <f>IF(【マスター】!C63="","算定なし",ASC("\"&amp;ROUNDDOWN(【マスター】!E63,0)-ROUNDDOWN(【マスター】!E63*$M$4,0)))</f>
        <v>算定なし</v>
      </c>
      <c r="H48" s="464" t="str">
        <f>'料金表（1回分)'!F22</f>
        <v>ＡＤＬ維持等加算（Ⅱ）/月</v>
      </c>
      <c r="I48" s="699" t="str">
        <f>IF(【マスター】!C68="","算定なし",ASC("\"&amp;ROUNDDOWN(【マスター】!E68,0)-ROUNDDOWN(【マスター】!E68*$M$4,0)))</f>
        <v>算定なし</v>
      </c>
      <c r="J48" s="464" t="str">
        <f>'料金表（1回分)'!F27</f>
        <v>科学的介護推進体制加算/月</v>
      </c>
      <c r="K48" s="614" t="str">
        <f>IF(【マスター】!C73="","算定なし",ASC("\"&amp;ROUNDDOWN(【マスター】!E73,0)-ROUNDDOWN(【マスター】!E73*$M$4,0)))</f>
        <v>\41</v>
      </c>
      <c r="M48" s="315">
        <f>IF(【マスター】!C78="有",1,0)</f>
        <v>0</v>
      </c>
      <c r="N48" s="315" t="s">
        <v>594</v>
      </c>
      <c r="O48" s="315">
        <f>【マスター】!D78</f>
        <v>0</v>
      </c>
      <c r="P48" s="461"/>
    </row>
    <row r="49" spans="1:19" ht="19.5">
      <c r="A49" s="2006"/>
      <c r="B49" s="464" t="str">
        <f>'料金表（1回分)'!F8</f>
        <v>中重度者ケア体制加算/日</v>
      </c>
      <c r="C49" s="699" t="str">
        <f>IF(【マスター】!C54="","算定なし",ASC("\"&amp;ROUNDDOWN(【マスター】!E54,0)-ROUNDDOWN(【マスター】!E54*$M$4,0)))</f>
        <v>算定なし</v>
      </c>
      <c r="D49" s="464" t="str">
        <f>'料金表（1回分)'!F13</f>
        <v>サービス提供体制強化加算（Ⅱ）/日</v>
      </c>
      <c r="E49" s="699" t="str">
        <f>IF(【マスター】!C59="","算定なし",ASC("\"&amp;ROUNDDOWN(【マスター】!E59,0)-ROUNDDOWN(【マスター】!E59*$M$4,0)))</f>
        <v>算定なし</v>
      </c>
      <c r="F49" s="464" t="str">
        <f>'料金表（1回分)'!F18</f>
        <v>口腔・栄養スクリーニング加算（Ⅱ）/回</v>
      </c>
      <c r="G49" s="699" t="str">
        <f>IF(【マスター】!C64="","算定なし",ASC("\"&amp;ROUNDDOWN(【マスター】!E64,0)-ROUNDDOWN(【マスター】!E64*$M$4,0)))</f>
        <v>算定なし</v>
      </c>
      <c r="H49" s="464" t="str">
        <f>'料金表（1回分)'!F23</f>
        <v>ＡＤＬ維持等加算（Ⅲ）/月</v>
      </c>
      <c r="I49" s="699" t="str">
        <f>IF(【マスター】!C69="","算定なし",ASC("\"&amp;ROUNDDOWN(【マスター】!E69,0)-ROUNDDOWN(【マスター】!E69*$M$4,0)))</f>
        <v>算定なし</v>
      </c>
      <c r="J49" s="461"/>
      <c r="K49" s="461"/>
      <c r="M49" s="315">
        <f>IF(【マスター】!C79="有",1,0)</f>
        <v>0</v>
      </c>
      <c r="N49" s="315" t="s">
        <v>597</v>
      </c>
      <c r="O49" s="315">
        <f>【マスター】!D79</f>
        <v>0</v>
      </c>
      <c r="P49" s="461"/>
    </row>
    <row r="50" spans="1:19" ht="19.5">
      <c r="A50" s="2006"/>
      <c r="B50" s="613" t="s">
        <v>1316</v>
      </c>
      <c r="C50" s="1958" t="str">
        <f>IF(M46=0,N46,VLOOKUP(1,M43:O45,3,FALSE))</f>
        <v>9.0%（1ヶ月の利用合計単位数に乗じる）</v>
      </c>
      <c r="D50" s="1959"/>
      <c r="E50" s="700" t="s">
        <v>1317</v>
      </c>
      <c r="F50" s="2004" t="str">
        <f>IF(M50=0,N50,VLOOKUP(1,M48:O49,3,FALSE))</f>
        <v>算定なし</v>
      </c>
      <c r="G50" s="2005"/>
      <c r="H50" s="700" t="s">
        <v>1898</v>
      </c>
      <c r="I50" s="1955" t="str">
        <f>IF(M53=0,N53,VLOOKUP(1,M52:O53,3,FALSE))</f>
        <v>算定なし</v>
      </c>
      <c r="J50" s="1955"/>
      <c r="K50" s="461"/>
      <c r="M50" s="315">
        <f>SUM(M48:M49)</f>
        <v>0</v>
      </c>
      <c r="N50" s="315" t="s">
        <v>611</v>
      </c>
      <c r="P50" s="461"/>
    </row>
    <row r="51" spans="1:19">
      <c r="A51" s="2003" t="str">
        <f>【マスター】!C7</f>
        <v>デイサービスさくら亭</v>
      </c>
      <c r="B51" s="2003"/>
      <c r="C51" s="2003"/>
      <c r="D51" s="2003"/>
      <c r="E51" s="2003"/>
      <c r="F51" s="1963" t="str">
        <f>"TEL:"&amp;【マスター】!C10</f>
        <v>TEL:0532-39-7855</v>
      </c>
      <c r="G51" s="1963"/>
      <c r="H51" s="1963" t="str">
        <f>"FAX:"&amp;【マスター】!I10</f>
        <v>FAX:0532-39-7856</v>
      </c>
      <c r="I51" s="1963"/>
      <c r="J51" s="1963" t="str">
        <f>"担当:"&amp;【マスター】!C21</f>
        <v>担当:小久保　幾生</v>
      </c>
      <c r="K51" s="1963"/>
    </row>
    <row r="52" spans="1:19" ht="19.5">
      <c r="M52" s="315">
        <f>IF(【マスター】!C80="有",1,0)</f>
        <v>0</v>
      </c>
      <c r="N52" s="315" t="s">
        <v>1899</v>
      </c>
      <c r="O52" s="315">
        <f>【マスター】!D80</f>
        <v>0</v>
      </c>
      <c r="P52" s="461"/>
      <c r="Q52" s="461"/>
      <c r="R52" s="461"/>
      <c r="S52" s="461"/>
    </row>
    <row r="53" spans="1:19" ht="19.5">
      <c r="M53" s="315">
        <f>SUM(M52:M52)</f>
        <v>0</v>
      </c>
      <c r="N53" s="315" t="s">
        <v>611</v>
      </c>
      <c r="P53" s="461"/>
      <c r="Q53" s="461"/>
      <c r="R53" s="461"/>
      <c r="S53" s="461"/>
    </row>
  </sheetData>
  <sheetProtection selectLockedCells="1"/>
  <mergeCells count="23">
    <mergeCell ref="A51:E51"/>
    <mergeCell ref="F51:G51"/>
    <mergeCell ref="H51:I51"/>
    <mergeCell ref="J51:K51"/>
    <mergeCell ref="C50:D50"/>
    <mergeCell ref="F50:G50"/>
    <mergeCell ref="I50:J50"/>
    <mergeCell ref="A44:A50"/>
    <mergeCell ref="B41:K41"/>
    <mergeCell ref="B42:I42"/>
    <mergeCell ref="O2:S2"/>
    <mergeCell ref="B4:C4"/>
    <mergeCell ref="D4:E4"/>
    <mergeCell ref="F4:G4"/>
    <mergeCell ref="H4:I4"/>
    <mergeCell ref="J4:K4"/>
    <mergeCell ref="A1:E2"/>
    <mergeCell ref="F1:K1"/>
    <mergeCell ref="F2:G2"/>
    <mergeCell ref="A32:A40"/>
    <mergeCell ref="A23:A31"/>
    <mergeCell ref="A14:A22"/>
    <mergeCell ref="A5:A13"/>
  </mergeCells>
  <phoneticPr fontId="16"/>
  <dataValidations disablePrompts="1" count="1">
    <dataValidation type="list" allowBlank="1" showInputMessage="1" showErrorMessage="1" sqref="H2" xr:uid="{00000000-0002-0000-0F00-000000000000}">
      <formula1>$O$4:$O$7</formula1>
    </dataValidation>
  </dataValidations>
  <printOptions horizontalCentered="1"/>
  <pageMargins left="0.59055118110236227" right="0.59055118110236227" top="0.59055118110236227" bottom="0.39370078740157483" header="0.31496062992125984" footer="0.19685039370078741"/>
  <pageSetup paperSize="9" scale="7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Q189"/>
  <sheetViews>
    <sheetView view="pageBreakPreview" zoomScale="85" zoomScaleNormal="85" zoomScaleSheetLayoutView="85" zoomScalePageLayoutView="85" workbookViewId="0">
      <selection activeCell="B17" sqref="B17:H17"/>
    </sheetView>
  </sheetViews>
  <sheetFormatPr defaultColWidth="5.625" defaultRowHeight="19.5"/>
  <cols>
    <col min="1" max="24" width="4.125" style="312" customWidth="1"/>
    <col min="25" max="25" width="5.625" style="312"/>
    <col min="26" max="26" width="2.875" style="312" customWidth="1"/>
    <col min="27" max="27" width="9.875" style="312" customWidth="1"/>
    <col min="28" max="28" width="12.125" style="312" customWidth="1"/>
    <col min="29" max="29" width="8.5" style="312" customWidth="1"/>
    <col min="30" max="30" width="9.875" style="312" customWidth="1"/>
    <col min="31" max="32" width="35.5" style="312" customWidth="1"/>
    <col min="33" max="33" width="7.875" style="312" customWidth="1"/>
    <col min="34" max="34" width="9.875" style="312" customWidth="1"/>
    <col min="35" max="35" width="14.125" style="312" customWidth="1"/>
    <col min="36" max="36" width="5.625" style="312" customWidth="1"/>
    <col min="37" max="37" width="34.125" style="312" customWidth="1"/>
    <col min="38" max="42" width="9.875" style="312" customWidth="1"/>
    <col min="43" max="43" width="6.875" style="312" customWidth="1"/>
    <col min="44" max="44" width="5.5" style="312" customWidth="1"/>
    <col min="45" max="16384" width="5.625" style="312"/>
  </cols>
  <sheetData>
    <row r="1" spans="1:43" ht="20.25" thickBot="1">
      <c r="AE1" s="312" t="s">
        <v>571</v>
      </c>
    </row>
    <row r="2" spans="1:43" ht="35.1" customHeight="1" thickBot="1">
      <c r="A2" s="1392" t="str">
        <f>【マスター】!C7&amp;" 見積書"</f>
        <v>デイサービスさくら亭 見積書</v>
      </c>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AA2" s="312" t="s">
        <v>1884</v>
      </c>
      <c r="AB2" s="312">
        <f>【マスター】!F40</f>
        <v>10.14</v>
      </c>
      <c r="AE2" s="313" t="s">
        <v>573</v>
      </c>
      <c r="AF2" s="314" t="s">
        <v>866</v>
      </c>
    </row>
    <row r="3" spans="1:43" ht="5.0999999999999996" customHeight="1"/>
    <row r="4" spans="1:43" ht="25.35" customHeight="1">
      <c r="A4" s="1393" t="str">
        <f>IF(【マスター】!B156="","当事業所が、あなたに提供するサービスは以下の通りです。","当事業所が、"&amp;【マスター】!B156&amp;"様に提供するサービスは以下の通りです。")</f>
        <v>当事業所が、あなたに提供するサービスは以下の通りです。</v>
      </c>
      <c r="B4" s="1393"/>
      <c r="C4" s="1393"/>
      <c r="D4" s="1393"/>
      <c r="E4" s="1393"/>
      <c r="F4" s="1393"/>
      <c r="G4" s="1393"/>
      <c r="H4" s="1393"/>
      <c r="I4" s="1393"/>
      <c r="J4" s="1393"/>
      <c r="K4" s="1393"/>
      <c r="L4" s="1393"/>
      <c r="M4" s="1393"/>
      <c r="N4" s="1393"/>
      <c r="O4" s="1393"/>
      <c r="P4" s="1393"/>
      <c r="Q4" s="1393"/>
      <c r="R4" s="1393"/>
      <c r="S4" s="1393"/>
      <c r="T4" s="1393"/>
      <c r="U4" s="1393"/>
      <c r="V4" s="1393"/>
      <c r="W4" s="1393"/>
      <c r="X4" s="1393"/>
      <c r="AE4" s="312" t="s">
        <v>575</v>
      </c>
    </row>
    <row r="5" spans="1:43" ht="20.100000000000001" customHeight="1">
      <c r="A5" s="1394" t="s">
        <v>576</v>
      </c>
      <c r="B5" s="1394"/>
      <c r="C5" s="1394"/>
      <c r="D5" s="1394" t="s">
        <v>577</v>
      </c>
      <c r="E5" s="1394"/>
      <c r="F5" s="1394"/>
      <c r="G5" s="1394"/>
      <c r="H5" s="1394"/>
      <c r="I5" s="1394"/>
      <c r="J5" s="1394"/>
      <c r="K5" s="1394"/>
      <c r="L5" s="1394"/>
      <c r="M5" s="1394"/>
      <c r="N5" s="1394"/>
      <c r="O5" s="1394"/>
      <c r="P5" s="1394"/>
      <c r="Q5" s="1394"/>
      <c r="R5" s="1394"/>
      <c r="S5" s="1394"/>
      <c r="T5" s="1394"/>
      <c r="U5" s="1394"/>
      <c r="V5" s="1394"/>
      <c r="W5" s="1394"/>
      <c r="X5" s="1394"/>
      <c r="AA5" s="315" t="s">
        <v>578</v>
      </c>
      <c r="AB5" s="315" t="s">
        <v>579</v>
      </c>
      <c r="AC5" s="315">
        <v>1</v>
      </c>
      <c r="AE5" s="733">
        <f ca="1">SUMIF(B11:H17,"*要介護*",R11:R17)-SUMIF(I11:N17,"*延長*",R11:R17)</f>
        <v>0</v>
      </c>
      <c r="AF5" s="312" t="s">
        <v>1867</v>
      </c>
    </row>
    <row r="6" spans="1:43" ht="20.100000000000001" customHeight="1">
      <c r="A6" s="1394"/>
      <c r="B6" s="1394"/>
      <c r="C6" s="1394"/>
      <c r="D6" s="1389" t="s">
        <v>1970</v>
      </c>
      <c r="E6" s="1389"/>
      <c r="F6" s="1389"/>
      <c r="G6" s="1389" t="s">
        <v>1971</v>
      </c>
      <c r="H6" s="1389"/>
      <c r="I6" s="1389"/>
      <c r="J6" s="1389"/>
      <c r="K6" s="1389" t="s">
        <v>1972</v>
      </c>
      <c r="L6" s="1389"/>
      <c r="M6" s="1389"/>
      <c r="N6" s="1389"/>
      <c r="O6" s="1389"/>
      <c r="P6" s="1389"/>
      <c r="Q6" s="1389"/>
      <c r="R6" s="1389"/>
      <c r="S6" s="1389"/>
      <c r="T6" s="1389"/>
      <c r="U6" s="1389" t="s">
        <v>1976</v>
      </c>
      <c r="V6" s="1389"/>
      <c r="W6" s="1389"/>
      <c r="X6" s="1389"/>
      <c r="AA6" s="315" t="s">
        <v>573</v>
      </c>
      <c r="AB6" s="315" t="s">
        <v>580</v>
      </c>
      <c r="AC6" s="315">
        <v>0.9</v>
      </c>
      <c r="AE6" s="733">
        <f ca="1">SUMIF(B11:H17,"*要介護*",T11:X17)-SUMIF(I11:N17,"*延長*",T11:X17)</f>
        <v>0</v>
      </c>
      <c r="AF6" s="312" t="s">
        <v>1870</v>
      </c>
    </row>
    <row r="7" spans="1:43" s="316" customFormat="1" ht="20.100000000000001" customHeight="1">
      <c r="A7" s="1395" t="s">
        <v>605</v>
      </c>
      <c r="B7" s="1395"/>
      <c r="C7" s="1395"/>
      <c r="D7" s="1389"/>
      <c r="E7" s="1389"/>
      <c r="F7" s="1389"/>
      <c r="G7" s="1389"/>
      <c r="H7" s="1389"/>
      <c r="I7" s="1389"/>
      <c r="J7" s="1389"/>
      <c r="K7" s="1389"/>
      <c r="L7" s="1389"/>
      <c r="M7" s="1389"/>
      <c r="N7" s="1389"/>
      <c r="O7" s="1389"/>
      <c r="P7" s="1389"/>
      <c r="Q7" s="1389"/>
      <c r="R7" s="1389"/>
      <c r="S7" s="1389"/>
      <c r="T7" s="1389"/>
      <c r="U7" s="1389"/>
      <c r="V7" s="1389"/>
      <c r="W7" s="1389"/>
      <c r="X7" s="1389"/>
      <c r="AA7" s="315" t="s">
        <v>582</v>
      </c>
      <c r="AB7" s="315" t="s">
        <v>583</v>
      </c>
      <c r="AC7" s="315">
        <v>0.8</v>
      </c>
      <c r="AE7" s="734">
        <f ca="1">SUMIF(B11:H17,"*要介護*",T11:X17)+T22</f>
        <v>0</v>
      </c>
      <c r="AF7" s="312" t="s">
        <v>1868</v>
      </c>
      <c r="AG7" s="312"/>
    </row>
    <row r="8" spans="1:43" ht="20.100000000000001" customHeight="1">
      <c r="A8" s="1395"/>
      <c r="B8" s="1395"/>
      <c r="C8" s="1395"/>
      <c r="D8" s="1396" t="str">
        <f>IF(Z14=0,AA14,VLOOKUP(1,Z11:AB13,2,FALSE))</f>
        <v>（Ⅱ）</v>
      </c>
      <c r="E8" s="1396"/>
      <c r="F8" s="1396"/>
      <c r="G8" s="1337">
        <f>IF(Z40=0,AA40,VLOOKUP(1,Z38:AB39,2,FALSE))</f>
        <v>0</v>
      </c>
      <c r="H8" s="1337"/>
      <c r="I8" s="1337"/>
      <c r="J8" s="1337"/>
      <c r="K8" s="1337">
        <f>IF(Z47=0,AA47,VLOOKUP(1,Z46:AB47,2,FALSE))</f>
        <v>0</v>
      </c>
      <c r="L8" s="1337"/>
      <c r="M8" s="1337"/>
      <c r="N8" s="1337"/>
      <c r="O8" s="1337"/>
      <c r="P8" s="1337"/>
      <c r="Q8" s="1337"/>
      <c r="R8" s="1338"/>
      <c r="S8" s="1338"/>
      <c r="T8" s="1338"/>
      <c r="U8" s="1338" t="s">
        <v>1973</v>
      </c>
      <c r="V8" s="1338"/>
      <c r="W8" s="1338"/>
      <c r="X8" s="1338"/>
      <c r="AA8" s="315" t="s">
        <v>584</v>
      </c>
      <c r="AB8" s="315" t="s">
        <v>585</v>
      </c>
      <c r="AC8" s="315">
        <v>0.7</v>
      </c>
    </row>
    <row r="9" spans="1:43" ht="10.35" customHeight="1"/>
    <row r="10" spans="1:43" ht="20.100000000000001" customHeight="1">
      <c r="A10" s="519" t="s">
        <v>586</v>
      </c>
      <c r="B10" s="1356" t="s">
        <v>587</v>
      </c>
      <c r="C10" s="1356"/>
      <c r="D10" s="1356"/>
      <c r="E10" s="1356"/>
      <c r="F10" s="1356"/>
      <c r="G10" s="1356"/>
      <c r="H10" s="1356"/>
      <c r="I10" s="1356" t="s">
        <v>588</v>
      </c>
      <c r="J10" s="1356"/>
      <c r="K10" s="1356"/>
      <c r="L10" s="1356"/>
      <c r="M10" s="1356"/>
      <c r="N10" s="1356"/>
      <c r="O10" s="1356" t="s">
        <v>589</v>
      </c>
      <c r="P10" s="1356"/>
      <c r="Q10" s="1356"/>
      <c r="R10" s="1356" t="s">
        <v>590</v>
      </c>
      <c r="S10" s="1356"/>
      <c r="T10" s="1356" t="s">
        <v>591</v>
      </c>
      <c r="U10" s="1356"/>
      <c r="V10" s="1356"/>
      <c r="W10" s="1356"/>
      <c r="X10" s="1356"/>
      <c r="Y10" s="317"/>
      <c r="Z10" s="317" t="s">
        <v>592</v>
      </c>
      <c r="AA10" s="317"/>
      <c r="AB10" s="317"/>
      <c r="AC10" s="317"/>
      <c r="AD10" s="317"/>
      <c r="AE10" s="317" t="s">
        <v>581</v>
      </c>
      <c r="AJ10" s="317"/>
      <c r="AK10" s="317"/>
      <c r="AL10" s="317"/>
      <c r="AM10" s="317"/>
      <c r="AN10" s="317"/>
      <c r="AO10" s="317"/>
      <c r="AP10" s="317"/>
      <c r="AQ10" s="317"/>
    </row>
    <row r="11" spans="1:43" ht="20.100000000000001" customHeight="1">
      <c r="A11" s="315" t="str">
        <f>IF(B11="","",1)</f>
        <v/>
      </c>
      <c r="B11" s="1314"/>
      <c r="C11" s="1314"/>
      <c r="D11" s="1314"/>
      <c r="E11" s="1314"/>
      <c r="F11" s="1314"/>
      <c r="G11" s="1314"/>
      <c r="H11" s="1314"/>
      <c r="I11" s="1316" t="str">
        <f t="shared" ref="I11:I17" si="0">IF(B11="","",VLOOKUP(B11,$AE$11:$AH$188,2,FALSE))</f>
        <v/>
      </c>
      <c r="J11" s="1316"/>
      <c r="K11" s="1316"/>
      <c r="L11" s="1316"/>
      <c r="M11" s="1316"/>
      <c r="N11" s="1316"/>
      <c r="O11" s="1313" t="str">
        <f>IF(B11="","",VLOOKUP(B11,$AE$11:$AH$189,3,FALSE))</f>
        <v/>
      </c>
      <c r="P11" s="1313"/>
      <c r="Q11" s="1313"/>
      <c r="R11" s="318">
        <v>24</v>
      </c>
      <c r="S11" s="319" t="str">
        <f>IF(B11="","",VLOOKUP(B11,$AE$11:$AH$189,4,FALSE))</f>
        <v/>
      </c>
      <c r="T11" s="1315" t="str">
        <f t="shared" ref="T11:T17" si="1">IF(B11="","",O11*R11)</f>
        <v/>
      </c>
      <c r="U11" s="1315"/>
      <c r="V11" s="1315"/>
      <c r="W11" s="1315"/>
      <c r="X11" s="1315"/>
      <c r="Z11" s="315">
        <f>IF(【マスター】!C74="有",1,0)</f>
        <v>0</v>
      </c>
      <c r="AA11" s="315" t="s">
        <v>594</v>
      </c>
      <c r="AB11" s="315" t="str">
        <f>LEFT(【マスター】!$D$74,3)&amp;"%"</f>
        <v>9.2%</v>
      </c>
      <c r="AC11" s="315">
        <f>AB11*1</f>
        <v>9.1999999999999998E-2</v>
      </c>
      <c r="AD11" s="317" t="s">
        <v>576</v>
      </c>
      <c r="AE11" s="729" t="s">
        <v>595</v>
      </c>
      <c r="AF11" s="320" t="s">
        <v>588</v>
      </c>
      <c r="AG11" s="320" t="s">
        <v>589</v>
      </c>
      <c r="AH11" s="320" t="s">
        <v>590</v>
      </c>
      <c r="AI11" s="320" t="s">
        <v>596</v>
      </c>
    </row>
    <row r="12" spans="1:43" s="317" customFormat="1" ht="20.100000000000001" customHeight="1">
      <c r="A12" s="315" t="str">
        <f>IF(B12="","",2)</f>
        <v/>
      </c>
      <c r="B12" s="1314"/>
      <c r="C12" s="1314"/>
      <c r="D12" s="1314"/>
      <c r="E12" s="1314"/>
      <c r="F12" s="1314"/>
      <c r="G12" s="1314"/>
      <c r="H12" s="1314"/>
      <c r="I12" s="1316" t="str">
        <f t="shared" si="0"/>
        <v/>
      </c>
      <c r="J12" s="1316"/>
      <c r="K12" s="1316"/>
      <c r="L12" s="1316"/>
      <c r="M12" s="1316"/>
      <c r="N12" s="1316"/>
      <c r="O12" s="1313" t="str">
        <f t="shared" ref="O12:O17" si="2">IF(B12="","",VLOOKUP(B12,$AE$11:$AH$189,3,FALSE))</f>
        <v/>
      </c>
      <c r="P12" s="1313"/>
      <c r="Q12" s="1313"/>
      <c r="R12" s="318">
        <v>1</v>
      </c>
      <c r="S12" s="319" t="str">
        <f t="shared" ref="S12:S17" si="3">IF(B12="","",VLOOKUP(B12,$AE$11:$AH$189,4,FALSE))</f>
        <v/>
      </c>
      <c r="T12" s="1315" t="str">
        <f t="shared" si="1"/>
        <v/>
      </c>
      <c r="U12" s="1315"/>
      <c r="V12" s="1315"/>
      <c r="W12" s="1315"/>
      <c r="X12" s="1315"/>
      <c r="Y12" s="312"/>
      <c r="Z12" s="315">
        <f>IF(【マスター】!C75="有",1,0)</f>
        <v>1</v>
      </c>
      <c r="AA12" s="315" t="s">
        <v>597</v>
      </c>
      <c r="AB12" s="315" t="str">
        <f>LEFT(【マスター】!$D$75,3)&amp;"%"</f>
        <v>9.0%</v>
      </c>
      <c r="AC12" s="315">
        <f>AB12*1</f>
        <v>0.09</v>
      </c>
      <c r="AD12" s="312" t="s">
        <v>581</v>
      </c>
      <c r="AE12" s="730" t="s">
        <v>598</v>
      </c>
      <c r="AF12" s="315" t="s">
        <v>599</v>
      </c>
      <c r="AG12" s="694">
        <f>$AG$14*0.7</f>
        <v>305.2</v>
      </c>
      <c r="AH12" s="315" t="s">
        <v>600</v>
      </c>
      <c r="AI12" s="315"/>
      <c r="AJ12" s="315"/>
      <c r="AK12" s="312"/>
      <c r="AL12" s="312"/>
      <c r="AM12" s="312"/>
      <c r="AN12" s="312"/>
      <c r="AO12" s="312"/>
      <c r="AP12" s="312"/>
      <c r="AQ12" s="312"/>
    </row>
    <row r="13" spans="1:43" ht="20.100000000000001" customHeight="1">
      <c r="A13" s="315" t="str">
        <f>IF(B13="","",3)</f>
        <v/>
      </c>
      <c r="B13" s="1314"/>
      <c r="C13" s="1314"/>
      <c r="D13" s="1314"/>
      <c r="E13" s="1314"/>
      <c r="F13" s="1314"/>
      <c r="G13" s="1314"/>
      <c r="H13" s="1314"/>
      <c r="I13" s="1316" t="str">
        <f t="shared" si="0"/>
        <v/>
      </c>
      <c r="J13" s="1316"/>
      <c r="K13" s="1316"/>
      <c r="L13" s="1316"/>
      <c r="M13" s="1316"/>
      <c r="N13" s="1316"/>
      <c r="O13" s="1313" t="str">
        <f t="shared" si="2"/>
        <v/>
      </c>
      <c r="P13" s="1313"/>
      <c r="Q13" s="1313"/>
      <c r="R13" s="318">
        <v>25</v>
      </c>
      <c r="S13" s="319" t="str">
        <f t="shared" si="3"/>
        <v/>
      </c>
      <c r="T13" s="1315" t="str">
        <f t="shared" si="1"/>
        <v/>
      </c>
      <c r="U13" s="1315"/>
      <c r="V13" s="1315"/>
      <c r="W13" s="1315"/>
      <c r="X13" s="1315"/>
      <c r="Z13" s="315">
        <f>IF(【マスター】!C76="有",1,0)</f>
        <v>0</v>
      </c>
      <c r="AA13" s="315" t="s">
        <v>601</v>
      </c>
      <c r="AB13" s="315" t="str">
        <f>LEFT(【マスター】!$D$76,3)&amp;"%"</f>
        <v>8.0%</v>
      </c>
      <c r="AC13" s="315">
        <f>AB13*1</f>
        <v>0.08</v>
      </c>
      <c r="AD13" s="312" t="s">
        <v>602</v>
      </c>
      <c r="AE13" s="730" t="s">
        <v>603</v>
      </c>
      <c r="AF13" s="315" t="s">
        <v>604</v>
      </c>
      <c r="AG13" s="694">
        <f>【マスター】!$V$18</f>
        <v>416</v>
      </c>
      <c r="AH13" s="315" t="s">
        <v>600</v>
      </c>
      <c r="AI13" s="315"/>
      <c r="AJ13" s="315"/>
    </row>
    <row r="14" spans="1:43" ht="20.100000000000001" customHeight="1">
      <c r="A14" s="315" t="str">
        <f>IF(B14="","",4)</f>
        <v/>
      </c>
      <c r="B14" s="1314"/>
      <c r="C14" s="1314"/>
      <c r="D14" s="1314"/>
      <c r="E14" s="1314"/>
      <c r="F14" s="1314"/>
      <c r="G14" s="1314"/>
      <c r="H14" s="1314"/>
      <c r="I14" s="1316" t="str">
        <f t="shared" si="0"/>
        <v/>
      </c>
      <c r="J14" s="1316"/>
      <c r="K14" s="1316"/>
      <c r="L14" s="1316"/>
      <c r="M14" s="1316"/>
      <c r="N14" s="1316"/>
      <c r="O14" s="1313" t="str">
        <f t="shared" si="2"/>
        <v/>
      </c>
      <c r="P14" s="1313"/>
      <c r="Q14" s="1313"/>
      <c r="R14" s="318">
        <v>2</v>
      </c>
      <c r="S14" s="319" t="str">
        <f t="shared" si="3"/>
        <v/>
      </c>
      <c r="T14" s="1315" t="str">
        <f t="shared" si="1"/>
        <v/>
      </c>
      <c r="U14" s="1315"/>
      <c r="V14" s="1315"/>
      <c r="W14" s="1315"/>
      <c r="X14" s="1315"/>
      <c r="Z14" s="315">
        <f>SUM(Z11:Z13)</f>
        <v>1</v>
      </c>
      <c r="AA14" s="315" t="s">
        <v>611</v>
      </c>
      <c r="AB14" s="315" t="s">
        <v>612</v>
      </c>
      <c r="AC14" s="315">
        <v>0</v>
      </c>
      <c r="AD14" s="312" t="s">
        <v>605</v>
      </c>
      <c r="AE14" s="730" t="s">
        <v>606</v>
      </c>
      <c r="AF14" s="315" t="s">
        <v>607</v>
      </c>
      <c r="AG14" s="694">
        <f>【マスター】!$AA$18</f>
        <v>436</v>
      </c>
      <c r="AH14" s="315" t="s">
        <v>600</v>
      </c>
      <c r="AI14" s="315"/>
      <c r="AJ14" s="315"/>
    </row>
    <row r="15" spans="1:43" ht="20.100000000000001" customHeight="1" thickBot="1">
      <c r="A15" s="315" t="str">
        <f>IF(B15="","",5)</f>
        <v/>
      </c>
      <c r="B15" s="1314"/>
      <c r="C15" s="1314"/>
      <c r="D15" s="1314"/>
      <c r="E15" s="1314"/>
      <c r="F15" s="1314"/>
      <c r="G15" s="1314"/>
      <c r="H15" s="1314"/>
      <c r="I15" s="1316"/>
      <c r="J15" s="1316"/>
      <c r="K15" s="1316"/>
      <c r="L15" s="1316"/>
      <c r="M15" s="1316"/>
      <c r="N15" s="1316"/>
      <c r="O15" s="1313" t="str">
        <f t="shared" ref="O15" si="4">IF(B15="","",VLOOKUP(B15,$AE$11:$AH$189,3,FALSE))</f>
        <v/>
      </c>
      <c r="P15" s="1313"/>
      <c r="Q15" s="1313"/>
      <c r="R15" s="318">
        <v>18</v>
      </c>
      <c r="S15" s="319" t="str">
        <f t="shared" si="3"/>
        <v/>
      </c>
      <c r="T15" s="1315" t="str">
        <f t="shared" si="1"/>
        <v/>
      </c>
      <c r="U15" s="1315"/>
      <c r="V15" s="1315"/>
      <c r="W15" s="1315"/>
      <c r="X15" s="1315"/>
      <c r="AC15" s="329">
        <f>VLOOKUP(D8,AA11:AC14,3,FALSE)</f>
        <v>0.09</v>
      </c>
      <c r="AD15" s="312" t="s">
        <v>608</v>
      </c>
      <c r="AE15" s="730" t="s">
        <v>609</v>
      </c>
      <c r="AF15" s="315" t="s">
        <v>610</v>
      </c>
      <c r="AG15" s="694">
        <f>【マスター】!AF18</f>
        <v>657</v>
      </c>
      <c r="AH15" s="315" t="s">
        <v>600</v>
      </c>
      <c r="AI15" s="315"/>
      <c r="AJ15" s="315"/>
    </row>
    <row r="16" spans="1:43" ht="20.100000000000001" customHeight="1" thickTop="1">
      <c r="A16" s="315" t="str">
        <f>IF(B16="","",6)</f>
        <v/>
      </c>
      <c r="B16" s="1314"/>
      <c r="C16" s="1314"/>
      <c r="D16" s="1314"/>
      <c r="E16" s="1314"/>
      <c r="F16" s="1314"/>
      <c r="G16" s="1314"/>
      <c r="H16" s="1314"/>
      <c r="I16" s="1316" t="str">
        <f t="shared" si="0"/>
        <v/>
      </c>
      <c r="J16" s="1316"/>
      <c r="K16" s="1316"/>
      <c r="L16" s="1316"/>
      <c r="M16" s="1316"/>
      <c r="N16" s="1316"/>
      <c r="O16" s="1313" t="str">
        <f t="shared" si="2"/>
        <v/>
      </c>
      <c r="P16" s="1313"/>
      <c r="Q16" s="1313"/>
      <c r="R16" s="318">
        <v>1</v>
      </c>
      <c r="S16" s="319" t="str">
        <f t="shared" si="3"/>
        <v/>
      </c>
      <c r="T16" s="1315" t="str">
        <f t="shared" si="1"/>
        <v/>
      </c>
      <c r="U16" s="1315"/>
      <c r="V16" s="1315"/>
      <c r="W16" s="1315"/>
      <c r="X16" s="1315"/>
      <c r="AC16" s="321" t="s">
        <v>618</v>
      </c>
      <c r="AD16" s="312" t="s">
        <v>613</v>
      </c>
      <c r="AE16" s="730" t="s">
        <v>614</v>
      </c>
      <c r="AF16" s="315" t="s">
        <v>615</v>
      </c>
      <c r="AG16" s="694">
        <f>【マスター】!AK18</f>
        <v>678</v>
      </c>
      <c r="AH16" s="315" t="s">
        <v>600</v>
      </c>
      <c r="AI16" s="315"/>
      <c r="AJ16" s="315"/>
    </row>
    <row r="17" spans="1:43" ht="20.100000000000001" customHeight="1">
      <c r="A17" s="315" t="str">
        <f>IF(B17="","",7)</f>
        <v/>
      </c>
      <c r="B17" s="1314"/>
      <c r="C17" s="1314"/>
      <c r="D17" s="1314"/>
      <c r="E17" s="1314"/>
      <c r="F17" s="1314"/>
      <c r="G17" s="1314"/>
      <c r="H17" s="1314"/>
      <c r="I17" s="1316" t="str">
        <f t="shared" si="0"/>
        <v/>
      </c>
      <c r="J17" s="1316"/>
      <c r="K17" s="1316"/>
      <c r="L17" s="1316"/>
      <c r="M17" s="1316"/>
      <c r="N17" s="1316"/>
      <c r="O17" s="1313" t="str">
        <f t="shared" si="2"/>
        <v/>
      </c>
      <c r="P17" s="1313"/>
      <c r="Q17" s="1313"/>
      <c r="R17" s="318"/>
      <c r="S17" s="319" t="str">
        <f t="shared" si="3"/>
        <v/>
      </c>
      <c r="T17" s="1315" t="str">
        <f t="shared" si="1"/>
        <v/>
      </c>
      <c r="U17" s="1315"/>
      <c r="V17" s="1315"/>
      <c r="W17" s="1315"/>
      <c r="X17" s="1315"/>
      <c r="AC17" s="322" t="s">
        <v>622</v>
      </c>
      <c r="AE17" s="730" t="s">
        <v>616</v>
      </c>
      <c r="AF17" s="315" t="s">
        <v>617</v>
      </c>
      <c r="AG17" s="694">
        <f>【マスター】!AP18</f>
        <v>753</v>
      </c>
      <c r="AH17" s="315" t="s">
        <v>600</v>
      </c>
      <c r="AI17" s="315"/>
      <c r="AJ17" s="315"/>
    </row>
    <row r="18" spans="1:43" ht="20.100000000000001" customHeight="1">
      <c r="O18" s="1358" t="s">
        <v>621</v>
      </c>
      <c r="P18" s="1358"/>
      <c r="Q18" s="1358"/>
      <c r="R18" s="1358"/>
      <c r="S18" s="1358"/>
      <c r="T18" s="1357" t="str">
        <f>IF(T11="","",SUM(T11:X17))</f>
        <v/>
      </c>
      <c r="U18" s="1357"/>
      <c r="V18" s="1357"/>
      <c r="W18" s="1357"/>
      <c r="X18" s="1357"/>
      <c r="Z18" s="317" t="s">
        <v>627</v>
      </c>
      <c r="AA18" s="323"/>
      <c r="AB18" s="323"/>
      <c r="AE18" s="730" t="s">
        <v>619</v>
      </c>
      <c r="AF18" s="315" t="s">
        <v>620</v>
      </c>
      <c r="AG18" s="694">
        <f>【マスター】!AU18</f>
        <v>783</v>
      </c>
      <c r="AH18" s="315" t="s">
        <v>600</v>
      </c>
      <c r="AI18" s="315"/>
      <c r="AJ18" s="315"/>
    </row>
    <row r="19" spans="1:43" ht="20.100000000000001" customHeight="1">
      <c r="A19" s="323" t="s">
        <v>623</v>
      </c>
      <c r="B19" s="323"/>
      <c r="C19" s="323"/>
      <c r="D19" s="323"/>
      <c r="E19" s="323" t="s">
        <v>624</v>
      </c>
      <c r="F19" s="323"/>
      <c r="G19" s="323"/>
      <c r="H19" s="323" t="s">
        <v>397</v>
      </c>
      <c r="I19" s="323"/>
      <c r="J19" s="323"/>
      <c r="K19" s="323" t="s">
        <v>399</v>
      </c>
      <c r="L19" s="323"/>
      <c r="M19" s="323"/>
      <c r="N19" s="323" t="s">
        <v>401</v>
      </c>
      <c r="O19" s="323"/>
      <c r="P19" s="323"/>
      <c r="Q19" s="323" t="s">
        <v>403</v>
      </c>
      <c r="R19" s="323"/>
      <c r="S19" s="323"/>
      <c r="T19" s="323" t="s">
        <v>495</v>
      </c>
      <c r="U19" s="323"/>
      <c r="V19" s="323"/>
      <c r="W19" s="323"/>
      <c r="X19" s="323"/>
      <c r="Z19" s="324">
        <f>IF(【マスター】!C58="有",1,0)</f>
        <v>0</v>
      </c>
      <c r="AA19" s="315" t="s">
        <v>204</v>
      </c>
      <c r="AB19" s="315">
        <f>【マスター】!$P$58</f>
        <v>22</v>
      </c>
      <c r="AC19" s="323"/>
      <c r="AE19" s="730" t="s">
        <v>1837</v>
      </c>
      <c r="AF19" s="315" t="s">
        <v>1796</v>
      </c>
      <c r="AG19" s="315">
        <v>50</v>
      </c>
      <c r="AH19" s="315" t="s">
        <v>600</v>
      </c>
      <c r="AI19" s="315"/>
    </row>
    <row r="20" spans="1:43" ht="20.100000000000001" customHeight="1">
      <c r="A20" s="1339" t="s">
        <v>628</v>
      </c>
      <c r="B20" s="1371"/>
      <c r="C20" s="1372"/>
      <c r="D20" s="1345" t="s">
        <v>629</v>
      </c>
      <c r="E20" s="1347" t="s">
        <v>592</v>
      </c>
      <c r="F20" s="1348"/>
      <c r="G20" s="1349"/>
      <c r="H20" s="1317" t="s">
        <v>1974</v>
      </c>
      <c r="I20" s="1318"/>
      <c r="J20" s="1346"/>
      <c r="K20" s="1339" t="s">
        <v>1975</v>
      </c>
      <c r="L20" s="1340"/>
      <c r="M20" s="1354"/>
      <c r="N20" s="1317"/>
      <c r="O20" s="1318"/>
      <c r="P20" s="1318"/>
      <c r="Q20" s="1319"/>
      <c r="R20" s="1320"/>
      <c r="S20" s="1321"/>
      <c r="T20" s="1325"/>
      <c r="U20" s="1326"/>
      <c r="V20" s="1327"/>
      <c r="W20" s="1359" t="s">
        <v>1886</v>
      </c>
      <c r="X20" s="1360"/>
      <c r="Y20" s="323"/>
      <c r="Z20" s="324">
        <f>IF(【マスター】!C59="有",1,0)</f>
        <v>0</v>
      </c>
      <c r="AA20" s="324" t="s">
        <v>211</v>
      </c>
      <c r="AB20" s="324">
        <f>【マスター】!$P$59</f>
        <v>18</v>
      </c>
      <c r="AE20" s="730" t="s">
        <v>1838</v>
      </c>
      <c r="AF20" s="315" t="s">
        <v>1797</v>
      </c>
      <c r="AG20" s="315">
        <v>100</v>
      </c>
      <c r="AH20" s="315" t="s">
        <v>600</v>
      </c>
      <c r="AI20" s="315"/>
      <c r="AK20" s="323"/>
      <c r="AL20" s="323"/>
      <c r="AM20" s="323"/>
      <c r="AN20" s="323"/>
      <c r="AO20" s="323"/>
      <c r="AP20" s="323"/>
      <c r="AQ20" s="323"/>
    </row>
    <row r="21" spans="1:43" ht="20.100000000000001" customHeight="1">
      <c r="A21" s="1373"/>
      <c r="B21" s="1374"/>
      <c r="C21" s="1375"/>
      <c r="D21" s="1345"/>
      <c r="E21" s="1331" t="str">
        <f>"("&amp;IF(Z14=0,AA14,VLOOKUP(1,Z11:AB13,3,FALSE))&amp;")"</f>
        <v>(9.0%)</v>
      </c>
      <c r="F21" s="1332"/>
      <c r="G21" s="1333"/>
      <c r="H21" s="1331" t="str">
        <f>IF(G8="算定なし","算定なし","("&amp;VLOOKUP(O8,AB19:AC22,2,FALSE)&amp;"単位/回"&amp;")")</f>
        <v>(単位/回)</v>
      </c>
      <c r="I21" s="1332"/>
      <c r="J21" s="1333"/>
      <c r="K21" s="1342"/>
      <c r="L21" s="1343"/>
      <c r="M21" s="1344"/>
      <c r="N21" s="1331"/>
      <c r="O21" s="1332"/>
      <c r="P21" s="1333"/>
      <c r="Q21" s="1322"/>
      <c r="R21" s="1323"/>
      <c r="S21" s="1324"/>
      <c r="T21" s="1328"/>
      <c r="U21" s="1329"/>
      <c r="V21" s="1330"/>
      <c r="W21" s="1359"/>
      <c r="X21" s="1360"/>
      <c r="Z21" s="324">
        <f>IF(【マスター】!C60="有",1,0)</f>
        <v>0</v>
      </c>
      <c r="AA21" s="315" t="s">
        <v>1081</v>
      </c>
      <c r="AB21" s="315">
        <f>【マスター】!$P$60</f>
        <v>6</v>
      </c>
      <c r="AE21" s="730" t="s">
        <v>1839</v>
      </c>
      <c r="AF21" s="315" t="s">
        <v>1798</v>
      </c>
      <c r="AG21" s="315">
        <v>150</v>
      </c>
      <c r="AH21" s="315" t="s">
        <v>600</v>
      </c>
      <c r="AI21" s="325"/>
    </row>
    <row r="22" spans="1:43" s="323" customFormat="1" ht="20.100000000000001" customHeight="1">
      <c r="A22" s="1376" t="str">
        <f>IF(T18="","",IF(T18&gt;AB30,AB30,T18))</f>
        <v/>
      </c>
      <c r="B22" s="1338"/>
      <c r="C22" s="1338"/>
      <c r="D22" s="1345"/>
      <c r="E22" s="1313" t="str">
        <f>IF(T18="","",ROUND(A22*AC15,0))</f>
        <v/>
      </c>
      <c r="F22" s="1313"/>
      <c r="G22" s="1313"/>
      <c r="H22" s="1334" t="str">
        <f>IF(T18="","",ROUND(A22*AD45,0))</f>
        <v/>
      </c>
      <c r="I22" s="1335"/>
      <c r="J22" s="1336"/>
      <c r="K22" s="1334">
        <f>IF(R8="有",AG7*0.05,0)</f>
        <v>0</v>
      </c>
      <c r="L22" s="1335"/>
      <c r="M22" s="1336"/>
      <c r="N22" s="1334"/>
      <c r="O22" s="1335"/>
      <c r="P22" s="1336"/>
      <c r="Q22" s="1334"/>
      <c r="R22" s="1335"/>
      <c r="S22" s="1336"/>
      <c r="T22" s="1334"/>
      <c r="U22" s="1335"/>
      <c r="V22" s="1336"/>
      <c r="W22" s="1359"/>
      <c r="X22" s="1360"/>
      <c r="Y22" s="312"/>
      <c r="Z22" s="315">
        <f>SUM(Z19:Z21)</f>
        <v>0</v>
      </c>
      <c r="AA22" s="315" t="s">
        <v>611</v>
      </c>
      <c r="AB22" s="315">
        <v>0</v>
      </c>
      <c r="AC22" s="326"/>
      <c r="AD22" s="312"/>
      <c r="AE22" s="730" t="s">
        <v>1840</v>
      </c>
      <c r="AF22" s="315" t="s">
        <v>1799</v>
      </c>
      <c r="AG22" s="315">
        <v>200</v>
      </c>
      <c r="AH22" s="315" t="s">
        <v>600</v>
      </c>
      <c r="AI22" s="315"/>
      <c r="AJ22" s="312"/>
      <c r="AK22" s="312"/>
      <c r="AL22" s="312"/>
      <c r="AM22" s="312"/>
      <c r="AN22" s="312"/>
      <c r="AO22" s="312"/>
      <c r="AP22" s="312"/>
      <c r="AQ22" s="312"/>
    </row>
    <row r="23" spans="1:43" ht="20.100000000000001" customHeight="1">
      <c r="A23" s="323" t="s">
        <v>497</v>
      </c>
      <c r="B23" s="323"/>
      <c r="C23" s="323"/>
      <c r="D23" s="735"/>
      <c r="E23" s="735"/>
      <c r="F23" s="735"/>
      <c r="G23" s="735"/>
      <c r="H23" s="735"/>
      <c r="I23" s="735"/>
      <c r="J23" s="735" t="s">
        <v>1887</v>
      </c>
      <c r="K23" s="735"/>
      <c r="L23" s="735"/>
      <c r="M23" s="735"/>
      <c r="AA23" s="312" t="e">
        <f ca="1">AB23*AE5</f>
        <v>#N/A</v>
      </c>
      <c r="AB23" s="312" t="e">
        <f>VLOOKUP(O8,AA19:AB22,2,FALSE)</f>
        <v>#N/A</v>
      </c>
      <c r="AE23" s="730" t="s">
        <v>1841</v>
      </c>
      <c r="AF23" s="315" t="s">
        <v>1800</v>
      </c>
      <c r="AG23" s="315">
        <v>250</v>
      </c>
      <c r="AH23" s="315" t="s">
        <v>600</v>
      </c>
      <c r="AI23" s="315"/>
    </row>
    <row r="24" spans="1:43" ht="20.100000000000001" customHeight="1">
      <c r="A24" s="1339" t="s">
        <v>1866</v>
      </c>
      <c r="B24" s="1340"/>
      <c r="C24" s="1340"/>
      <c r="D24" s="1341"/>
      <c r="E24" s="1345" t="s">
        <v>631</v>
      </c>
      <c r="F24" s="1317" t="s">
        <v>516</v>
      </c>
      <c r="G24" s="1318"/>
      <c r="H24" s="1346"/>
      <c r="I24" s="1345" t="s">
        <v>630</v>
      </c>
      <c r="J24" s="1347" t="s">
        <v>632</v>
      </c>
      <c r="K24" s="1348"/>
      <c r="L24" s="1349"/>
      <c r="M24" s="731"/>
      <c r="Y24" s="326"/>
      <c r="Z24" s="317"/>
      <c r="AE24" s="697" t="s">
        <v>1751</v>
      </c>
      <c r="AF24" s="695" t="s">
        <v>1751</v>
      </c>
      <c r="AG24" s="747" t="str">
        <f>ASC(【マスター】!$D$50)</f>
        <v>40</v>
      </c>
      <c r="AH24" s="695" t="s">
        <v>1769</v>
      </c>
      <c r="AI24" s="695"/>
      <c r="AJ24" s="326"/>
      <c r="AK24" s="326"/>
      <c r="AL24" s="326"/>
      <c r="AM24" s="326"/>
      <c r="AN24" s="326"/>
      <c r="AO24" s="326"/>
      <c r="AP24" s="326"/>
      <c r="AQ24" s="326"/>
    </row>
    <row r="25" spans="1:43" ht="19.350000000000001" customHeight="1">
      <c r="A25" s="1342"/>
      <c r="B25" s="1343"/>
      <c r="C25" s="1343"/>
      <c r="D25" s="1344"/>
      <c r="E25" s="1345"/>
      <c r="F25" s="1331"/>
      <c r="G25" s="1332"/>
      <c r="H25" s="1333"/>
      <c r="I25" s="1345"/>
      <c r="J25" s="1331" t="s">
        <v>633</v>
      </c>
      <c r="K25" s="1332"/>
      <c r="L25" s="1333"/>
      <c r="M25" s="731"/>
      <c r="Z25" s="317"/>
      <c r="AA25" s="315" t="s">
        <v>581</v>
      </c>
      <c r="AB25" s="327">
        <f>【マスター】!Q37</f>
        <v>16765</v>
      </c>
      <c r="AE25" s="697" t="s">
        <v>1752</v>
      </c>
      <c r="AF25" s="695" t="s">
        <v>1752</v>
      </c>
      <c r="AG25" s="747" t="str">
        <f>ASC(【マスター】!$D$51)</f>
        <v>55</v>
      </c>
      <c r="AH25" s="695" t="s">
        <v>1769</v>
      </c>
      <c r="AI25" s="695"/>
    </row>
    <row r="26" spans="1:43" s="326" customFormat="1" ht="20.100000000000001" customHeight="1">
      <c r="A26" s="1350" t="str">
        <f>IF(T18="","",A22+E22+H22+K22+N22+Q22+T22)</f>
        <v/>
      </c>
      <c r="B26" s="1351"/>
      <c r="C26" s="1351"/>
      <c r="D26" s="1352"/>
      <c r="E26" s="1345"/>
      <c r="F26" s="1353">
        <f>【マスター】!F40</f>
        <v>10.14</v>
      </c>
      <c r="G26" s="1353"/>
      <c r="H26" s="1353"/>
      <c r="I26" s="1345"/>
      <c r="J26" s="1313" t="str">
        <f>IF(T18="","",ROUNDDOWN(A26*F26,0))</f>
        <v/>
      </c>
      <c r="K26" s="1313"/>
      <c r="L26" s="1313"/>
      <c r="M26" s="731"/>
      <c r="N26" s="312"/>
      <c r="Y26" s="312"/>
      <c r="Z26" s="317"/>
      <c r="AA26" s="315" t="s">
        <v>602</v>
      </c>
      <c r="AB26" s="327">
        <f>【マスター】!Q38</f>
        <v>19705</v>
      </c>
      <c r="AC26" s="312"/>
      <c r="AD26" s="312"/>
      <c r="AE26" s="697" t="s">
        <v>638</v>
      </c>
      <c r="AF26" s="695" t="s">
        <v>638</v>
      </c>
      <c r="AG26" s="761" t="str">
        <f>ASC(【マスター】!$D$54)</f>
        <v>45</v>
      </c>
      <c r="AH26" s="695" t="s">
        <v>600</v>
      </c>
      <c r="AI26" s="696"/>
      <c r="AJ26" s="312"/>
      <c r="AK26" s="312"/>
      <c r="AL26" s="312"/>
      <c r="AM26" s="312"/>
      <c r="AN26" s="312"/>
      <c r="AO26" s="312"/>
      <c r="AP26" s="312"/>
      <c r="AQ26" s="312"/>
    </row>
    <row r="27" spans="1:43" ht="20.100000000000001" customHeight="1" thickBot="1">
      <c r="A27" s="323" t="s">
        <v>656</v>
      </c>
      <c r="B27" s="323"/>
      <c r="C27" s="323"/>
      <c r="D27" s="323"/>
      <c r="E27" s="323"/>
      <c r="F27" s="323"/>
      <c r="G27" s="323"/>
      <c r="H27" s="323"/>
      <c r="I27" s="323" t="s">
        <v>1869</v>
      </c>
      <c r="J27" s="323"/>
      <c r="K27" s="323"/>
      <c r="L27" s="323"/>
      <c r="M27" s="326"/>
      <c r="O27" s="323" t="s">
        <v>1136</v>
      </c>
      <c r="P27" s="323"/>
      <c r="Q27" s="323"/>
      <c r="R27" s="326"/>
      <c r="S27" s="326"/>
      <c r="T27" s="326"/>
      <c r="U27" s="326"/>
      <c r="V27" s="326"/>
      <c r="W27" s="326"/>
      <c r="X27" s="326"/>
      <c r="AA27" s="315" t="s">
        <v>605</v>
      </c>
      <c r="AB27" s="327">
        <f>【マスター】!Q39</f>
        <v>27048</v>
      </c>
      <c r="AE27" s="697" t="s">
        <v>1753</v>
      </c>
      <c r="AF27" s="697" t="s">
        <v>1802</v>
      </c>
      <c r="AG27" s="747" t="str">
        <f>ASC(【マスター】!$D$70)</f>
        <v>100</v>
      </c>
      <c r="AH27" s="695" t="s">
        <v>639</v>
      </c>
      <c r="AI27" s="716" t="s">
        <v>1801</v>
      </c>
    </row>
    <row r="28" spans="1:43" ht="19.350000000000001" customHeight="1">
      <c r="A28" s="1317" t="s">
        <v>632</v>
      </c>
      <c r="B28" s="1318"/>
      <c r="C28" s="1346"/>
      <c r="D28" s="1345" t="s">
        <v>631</v>
      </c>
      <c r="E28" s="1317" t="s">
        <v>636</v>
      </c>
      <c r="F28" s="1318"/>
      <c r="G28" s="1346"/>
      <c r="H28" s="1345" t="s">
        <v>630</v>
      </c>
      <c r="I28" s="1325" t="s">
        <v>637</v>
      </c>
      <c r="J28" s="2018"/>
      <c r="K28" s="2019"/>
      <c r="O28" s="1361" t="s">
        <v>1888</v>
      </c>
      <c r="P28" s="1362"/>
      <c r="Q28" s="1362"/>
      <c r="R28" s="1362"/>
      <c r="S28" s="1362"/>
      <c r="T28" s="1362"/>
      <c r="U28" s="1362"/>
      <c r="V28" s="1362"/>
      <c r="W28" s="1362"/>
      <c r="X28" s="1363"/>
      <c r="AA28" s="315" t="s">
        <v>608</v>
      </c>
      <c r="AB28" s="327">
        <f>【マスター】!Q40</f>
        <v>30938</v>
      </c>
      <c r="AE28" s="697" t="s">
        <v>1754</v>
      </c>
      <c r="AF28" s="697" t="s">
        <v>1754</v>
      </c>
      <c r="AG28" s="747" t="str">
        <f>ASC(【マスター】!$D$71)</f>
        <v>100</v>
      </c>
      <c r="AH28" s="695" t="s">
        <v>639</v>
      </c>
      <c r="AI28" s="695"/>
      <c r="AK28"/>
      <c r="AL28"/>
      <c r="AM28"/>
      <c r="AN28"/>
      <c r="AO28"/>
      <c r="AP28"/>
      <c r="AQ28"/>
    </row>
    <row r="29" spans="1:43" ht="19.350000000000001" customHeight="1">
      <c r="A29" s="1331" t="s">
        <v>633</v>
      </c>
      <c r="B29" s="1332"/>
      <c r="C29" s="1333"/>
      <c r="D29" s="1345"/>
      <c r="E29" s="1331" t="str">
        <f>IF(AE2="","",VLOOKUP(AE2,AA5:AC8,2,FALSE))</f>
        <v>９割</v>
      </c>
      <c r="F29" s="1332"/>
      <c r="G29" s="1333"/>
      <c r="H29" s="1345"/>
      <c r="I29" s="2020"/>
      <c r="J29" s="2021"/>
      <c r="K29" s="2022"/>
      <c r="O29" s="1364" t="str">
        <f>IF(T18="","",IF(AB33&gt;0,A30-I30+(AB33+AB33*AC15+AB33*AC41)*AB2,A30-I30))</f>
        <v/>
      </c>
      <c r="P29" s="1365"/>
      <c r="Q29" s="1365"/>
      <c r="R29" s="1365"/>
      <c r="S29" s="1365"/>
      <c r="T29" s="1365"/>
      <c r="U29" s="1365"/>
      <c r="V29" s="1365"/>
      <c r="W29" s="1365"/>
      <c r="X29" s="1366"/>
      <c r="AA29" s="315" t="s">
        <v>613</v>
      </c>
      <c r="AB29" s="327">
        <f>【マスター】!Q41</f>
        <v>36217</v>
      </c>
      <c r="AE29" s="697" t="s">
        <v>1755</v>
      </c>
      <c r="AF29" s="697" t="s">
        <v>1755</v>
      </c>
      <c r="AG29" s="747" t="str">
        <f>ASC(【マスター】!$D$55)</f>
        <v>56</v>
      </c>
      <c r="AH29" s="695" t="s">
        <v>641</v>
      </c>
      <c r="AI29" s="695"/>
      <c r="AK29"/>
      <c r="AL29"/>
      <c r="AM29"/>
      <c r="AN29"/>
      <c r="AO29"/>
      <c r="AP29"/>
      <c r="AQ29"/>
    </row>
    <row r="30" spans="1:43" ht="20.100000000000001" customHeight="1" thickBot="1">
      <c r="A30" s="1337" t="str">
        <f>J26</f>
        <v/>
      </c>
      <c r="B30" s="1337"/>
      <c r="C30" s="1337"/>
      <c r="D30" s="1345"/>
      <c r="E30" s="1338">
        <f>IF(AE2="","",VLOOKUP(AE2,AA5:AC8,3,FALSE))</f>
        <v>0.9</v>
      </c>
      <c r="F30" s="1338"/>
      <c r="G30" s="1338"/>
      <c r="H30" s="1345"/>
      <c r="I30" s="2015" t="str">
        <f>IF(T18="","",ROUNDDOWN(A30*E30,0))</f>
        <v/>
      </c>
      <c r="J30" s="2016"/>
      <c r="K30" s="2017"/>
      <c r="N30" s="326"/>
      <c r="O30" s="1367"/>
      <c r="P30" s="1368"/>
      <c r="Q30" s="1368"/>
      <c r="R30" s="1368"/>
      <c r="S30" s="1368"/>
      <c r="T30" s="1368"/>
      <c r="U30" s="1368"/>
      <c r="V30" s="1368"/>
      <c r="W30" s="1368"/>
      <c r="X30" s="1369"/>
      <c r="AB30" s="328">
        <f>VLOOKUP(A7,AA25:AB29,2,FALSE)</f>
        <v>27048</v>
      </c>
      <c r="AE30" s="697" t="s">
        <v>1756</v>
      </c>
      <c r="AF30" s="697" t="s">
        <v>1756</v>
      </c>
      <c r="AG30" s="747" t="str">
        <f>ASC(【マスター】!$D$56)</f>
        <v>76</v>
      </c>
      <c r="AH30" s="695" t="s">
        <v>706</v>
      </c>
      <c r="AI30" s="695"/>
      <c r="AK30" s="758" t="s">
        <v>1911</v>
      </c>
      <c r="AL30" s="758" t="s">
        <v>1912</v>
      </c>
      <c r="AM30" s="759"/>
      <c r="AN30" s="748"/>
      <c r="AO30"/>
      <c r="AP30"/>
      <c r="AQ30"/>
    </row>
    <row r="31" spans="1:43" ht="20.100000000000001" customHeight="1">
      <c r="A31" s="312" t="s">
        <v>640</v>
      </c>
      <c r="AB31" s="321" t="s">
        <v>618</v>
      </c>
      <c r="AE31" s="697" t="s">
        <v>644</v>
      </c>
      <c r="AF31" s="697" t="s">
        <v>644</v>
      </c>
      <c r="AG31" s="747" t="str">
        <f>ASC(【マスター】!$D$57)</f>
        <v>20</v>
      </c>
      <c r="AH31" s="695" t="s">
        <v>639</v>
      </c>
      <c r="AI31" s="695"/>
      <c r="AK31" s="760" t="str">
        <f>【マスター】!$H$40</f>
        <v>保険外1.2</v>
      </c>
      <c r="AL31" s="760" t="str">
        <f>【マスター】!$J$40</f>
        <v>３，５００</v>
      </c>
      <c r="AM31" s="759" t="s">
        <v>1913</v>
      </c>
      <c r="AN31" s="751" t="s">
        <v>1905</v>
      </c>
      <c r="AO31"/>
      <c r="AP31"/>
      <c r="AQ31"/>
    </row>
    <row r="32" spans="1:43" ht="20.100000000000001" customHeight="1">
      <c r="A32" s="519" t="s">
        <v>586</v>
      </c>
      <c r="B32" s="1356" t="s">
        <v>587</v>
      </c>
      <c r="C32" s="1356"/>
      <c r="D32" s="1356"/>
      <c r="E32" s="1356"/>
      <c r="F32" s="1356"/>
      <c r="G32" s="1356"/>
      <c r="H32" s="1356"/>
      <c r="I32" s="1356"/>
      <c r="J32" s="1356"/>
      <c r="K32" s="1356"/>
      <c r="L32" s="1356"/>
      <c r="M32" s="1356"/>
      <c r="N32" s="1356"/>
      <c r="O32" s="2011" t="s">
        <v>642</v>
      </c>
      <c r="P32" s="1356"/>
      <c r="Q32" s="1356"/>
      <c r="R32" s="1356" t="s">
        <v>590</v>
      </c>
      <c r="S32" s="1356"/>
      <c r="T32" s="1356" t="s">
        <v>643</v>
      </c>
      <c r="U32" s="1356"/>
      <c r="V32" s="1356"/>
      <c r="W32" s="1356"/>
      <c r="X32" s="1356"/>
      <c r="Y32" s="746" t="s">
        <v>650</v>
      </c>
      <c r="Z32" s="484"/>
      <c r="AA32" s="484"/>
      <c r="AB32" s="484"/>
      <c r="AE32" s="697" t="s">
        <v>209</v>
      </c>
      <c r="AF32" s="697" t="s">
        <v>209</v>
      </c>
      <c r="AG32" s="747" t="str">
        <f>ASC(【マスター】!$D$67)</f>
        <v>30</v>
      </c>
      <c r="AH32" s="695" t="s">
        <v>639</v>
      </c>
      <c r="AI32" s="695"/>
      <c r="AK32" s="760" t="str">
        <f>【マスター】!$H$41</f>
        <v>保険外3.4.5</v>
      </c>
      <c r="AL32" s="760" t="str">
        <f>【マスター】!$J$41</f>
        <v>３，５００</v>
      </c>
      <c r="AM32" s="759" t="s">
        <v>1913</v>
      </c>
      <c r="AN32" s="751" t="s">
        <v>1905</v>
      </c>
      <c r="AO32"/>
      <c r="AP32"/>
      <c r="AQ32"/>
    </row>
    <row r="33" spans="1:43" ht="20.100000000000001" customHeight="1" thickBot="1">
      <c r="A33" s="315" t="str">
        <f>IF(B33="","",1)</f>
        <v/>
      </c>
      <c r="B33" s="2007"/>
      <c r="C33" s="2007"/>
      <c r="D33" s="2007"/>
      <c r="E33" s="2007"/>
      <c r="F33" s="2007"/>
      <c r="G33" s="2007"/>
      <c r="H33" s="2007"/>
      <c r="I33" s="2007"/>
      <c r="J33" s="2007"/>
      <c r="K33" s="2007"/>
      <c r="L33" s="2007"/>
      <c r="M33" s="2007"/>
      <c r="N33" s="2007"/>
      <c r="O33" s="2008" t="str">
        <f>IF(B33="","",VLOOKUP(B33,$AK$31:$AM$40,2,FALSE))</f>
        <v/>
      </c>
      <c r="P33" s="2009"/>
      <c r="Q33" s="2009"/>
      <c r="R33" s="566">
        <v>5</v>
      </c>
      <c r="S33" s="568" t="str">
        <f>IF(B33="","",VLOOKUP(B33,$AK$31:$AM$40,3,FALSE))</f>
        <v/>
      </c>
      <c r="T33" s="2010" t="str">
        <f>IF(B33="","",O33*R33)</f>
        <v/>
      </c>
      <c r="U33" s="2010"/>
      <c r="V33" s="2010"/>
      <c r="W33" s="2010"/>
      <c r="X33" s="2010"/>
      <c r="AB33" s="330" t="str">
        <f>IF(T18="","",IF(AB30&gt;T18,0,T18-AB30))</f>
        <v/>
      </c>
      <c r="AE33" s="697" t="s">
        <v>210</v>
      </c>
      <c r="AF33" s="697" t="s">
        <v>210</v>
      </c>
      <c r="AG33" s="747" t="str">
        <f>ASC(【マスター】!$D$68)</f>
        <v>60</v>
      </c>
      <c r="AH33" s="695" t="s">
        <v>639</v>
      </c>
      <c r="AI33" s="695"/>
      <c r="AK33" s="760" t="str">
        <f>【マスター】!$H$42</f>
        <v>夜間</v>
      </c>
      <c r="AL33" s="760" t="str">
        <f>【マスター】!$J$42</f>
        <v>１，２００</v>
      </c>
      <c r="AM33" s="759" t="s">
        <v>1913</v>
      </c>
      <c r="AN33" s="751" t="s">
        <v>1905</v>
      </c>
      <c r="AO33"/>
      <c r="AP33"/>
      <c r="AQ33"/>
    </row>
    <row r="34" spans="1:43" ht="20.100000000000001" customHeight="1" thickTop="1">
      <c r="A34" s="315" t="str">
        <f>IF(B34="","",2)</f>
        <v/>
      </c>
      <c r="B34" s="2007"/>
      <c r="C34" s="2007"/>
      <c r="D34" s="2007"/>
      <c r="E34" s="2007"/>
      <c r="F34" s="2007"/>
      <c r="G34" s="2007"/>
      <c r="H34" s="2007"/>
      <c r="I34" s="2007"/>
      <c r="J34" s="2007"/>
      <c r="K34" s="2007"/>
      <c r="L34" s="2007"/>
      <c r="M34" s="2007"/>
      <c r="N34" s="2007"/>
      <c r="O34" s="2008" t="str">
        <f t="shared" ref="O34:O41" si="5">IF(B34="","",VLOOKUP(B34,$AK$31:$AM$40,2,FALSE))</f>
        <v/>
      </c>
      <c r="P34" s="2009"/>
      <c r="Q34" s="2009"/>
      <c r="R34" s="566">
        <v>1</v>
      </c>
      <c r="S34" s="568" t="str">
        <f t="shared" ref="S34:S41" si="6">IF(B34="","",VLOOKUP(B34,$AK$31:$AM$40,3,FALSE))</f>
        <v/>
      </c>
      <c r="T34" s="2010" t="str">
        <f t="shared" ref="T34:T41" si="7">IF(B34="","",O34*R34)</f>
        <v/>
      </c>
      <c r="U34" s="2010"/>
      <c r="V34" s="2010"/>
      <c r="W34" s="2010"/>
      <c r="X34" s="2010"/>
      <c r="AB34" s="321" t="s">
        <v>618</v>
      </c>
      <c r="AE34" s="697" t="s">
        <v>1757</v>
      </c>
      <c r="AF34" s="697" t="s">
        <v>1757</v>
      </c>
      <c r="AG34" s="747" t="str">
        <f>ASC(【マスター】!$D$69)</f>
        <v>3</v>
      </c>
      <c r="AH34" s="695" t="s">
        <v>1770</v>
      </c>
      <c r="AI34" s="695"/>
      <c r="AK34" s="760" t="str">
        <f>【マスター】!$H$43</f>
        <v>時間外</v>
      </c>
      <c r="AL34" s="760" t="str">
        <f>【マスター】!$J$43</f>
        <v>２００</v>
      </c>
      <c r="AM34" s="759" t="s">
        <v>1698</v>
      </c>
      <c r="AN34" s="751" t="s">
        <v>1905</v>
      </c>
      <c r="AO34"/>
      <c r="AP34"/>
      <c r="AQ34"/>
    </row>
    <row r="35" spans="1:43" ht="20.100000000000001" customHeight="1">
      <c r="A35" s="315" t="str">
        <f>IF(B35="","",3)</f>
        <v/>
      </c>
      <c r="B35" s="2007"/>
      <c r="C35" s="2007"/>
      <c r="D35" s="2007"/>
      <c r="E35" s="2007"/>
      <c r="F35" s="2007"/>
      <c r="G35" s="2007"/>
      <c r="H35" s="2007"/>
      <c r="I35" s="2007"/>
      <c r="J35" s="2007"/>
      <c r="K35" s="2007"/>
      <c r="L35" s="2007"/>
      <c r="M35" s="2007"/>
      <c r="N35" s="2007"/>
      <c r="O35" s="2008" t="str">
        <f t="shared" si="5"/>
        <v/>
      </c>
      <c r="P35" s="2009"/>
      <c r="Q35" s="2009"/>
      <c r="R35" s="566">
        <v>30</v>
      </c>
      <c r="S35" s="568" t="str">
        <f t="shared" si="6"/>
        <v/>
      </c>
      <c r="T35" s="2010" t="str">
        <f t="shared" si="7"/>
        <v/>
      </c>
      <c r="U35" s="2010"/>
      <c r="V35" s="2010"/>
      <c r="W35" s="2010"/>
      <c r="X35" s="2010"/>
      <c r="AB35" s="322" t="s">
        <v>653</v>
      </c>
      <c r="AE35" s="697" t="s">
        <v>647</v>
      </c>
      <c r="AF35" s="697" t="s">
        <v>647</v>
      </c>
      <c r="AG35" s="747" t="str">
        <f>ASC(【マスター】!$D$52)</f>
        <v>60</v>
      </c>
      <c r="AH35" s="695" t="s">
        <v>641</v>
      </c>
      <c r="AI35" s="695"/>
      <c r="AK35" s="760" t="str">
        <f>【マスター】!$H$44</f>
        <v>朝食</v>
      </c>
      <c r="AL35" s="760" t="str">
        <f>【マスター】!$J$44</f>
        <v>５００</v>
      </c>
      <c r="AM35" s="759" t="s">
        <v>645</v>
      </c>
      <c r="AN35" s="751" t="s">
        <v>1905</v>
      </c>
      <c r="AO35"/>
      <c r="AP35"/>
      <c r="AQ35"/>
    </row>
    <row r="36" spans="1:43" ht="20.100000000000001" customHeight="1">
      <c r="A36" s="315" t="str">
        <f>IF(B36="","",4)</f>
        <v/>
      </c>
      <c r="B36" s="2007"/>
      <c r="C36" s="2007"/>
      <c r="D36" s="2007"/>
      <c r="E36" s="2007"/>
      <c r="F36" s="2007"/>
      <c r="G36" s="2007"/>
      <c r="H36" s="2007"/>
      <c r="I36" s="2007"/>
      <c r="J36" s="2007"/>
      <c r="K36" s="2007"/>
      <c r="L36" s="2007"/>
      <c r="M36" s="2007"/>
      <c r="N36" s="2007"/>
      <c r="O36" s="2008" t="str">
        <f t="shared" si="5"/>
        <v/>
      </c>
      <c r="P36" s="2009"/>
      <c r="Q36" s="2009"/>
      <c r="R36" s="566">
        <v>1</v>
      </c>
      <c r="S36" s="568" t="str">
        <f t="shared" si="6"/>
        <v/>
      </c>
      <c r="T36" s="2010" t="str">
        <f t="shared" si="7"/>
        <v/>
      </c>
      <c r="U36" s="2010"/>
      <c r="V36" s="2010"/>
      <c r="W36" s="2010"/>
      <c r="X36" s="2010"/>
      <c r="AE36" s="697" t="s">
        <v>649</v>
      </c>
      <c r="AF36" s="697" t="s">
        <v>649</v>
      </c>
      <c r="AG36" s="747" t="str">
        <f>ASC(【マスター】!$D$53)</f>
        <v>60</v>
      </c>
      <c r="AH36" s="695" t="s">
        <v>641</v>
      </c>
      <c r="AI36" s="695"/>
      <c r="AK36" s="760" t="str">
        <f>【マスター】!$H$45</f>
        <v>昼食</v>
      </c>
      <c r="AL36" s="760" t="str">
        <f>【マスター】!$J$45</f>
        <v>５７０</v>
      </c>
      <c r="AM36" s="759" t="s">
        <v>645</v>
      </c>
      <c r="AN36" s="751" t="s">
        <v>1905</v>
      </c>
      <c r="AO36"/>
      <c r="AP36"/>
      <c r="AQ36"/>
    </row>
    <row r="37" spans="1:43" ht="20.100000000000001" customHeight="1">
      <c r="A37" s="315" t="str">
        <f>IF(B37="","",5)</f>
        <v/>
      </c>
      <c r="B37" s="2007"/>
      <c r="C37" s="2007"/>
      <c r="D37" s="2007"/>
      <c r="E37" s="2007"/>
      <c r="F37" s="2007"/>
      <c r="G37" s="2007"/>
      <c r="H37" s="2007"/>
      <c r="I37" s="2007"/>
      <c r="J37" s="2007"/>
      <c r="K37" s="2007"/>
      <c r="L37" s="2007"/>
      <c r="M37" s="2007"/>
      <c r="N37" s="2007"/>
      <c r="O37" s="2008" t="str">
        <f t="shared" si="5"/>
        <v/>
      </c>
      <c r="P37" s="2009"/>
      <c r="Q37" s="2009"/>
      <c r="R37" s="566"/>
      <c r="S37" s="568" t="str">
        <f t="shared" si="6"/>
        <v/>
      </c>
      <c r="T37" s="2010" t="str">
        <f t="shared" si="7"/>
        <v/>
      </c>
      <c r="U37" s="2010"/>
      <c r="V37" s="2010"/>
      <c r="W37" s="2010"/>
      <c r="X37" s="2010"/>
      <c r="Z37" s="317"/>
      <c r="AA37" s="317"/>
      <c r="AB37" s="317"/>
      <c r="AC37" s="317"/>
      <c r="AE37" s="697" t="s">
        <v>651</v>
      </c>
      <c r="AF37" s="697" t="s">
        <v>1803</v>
      </c>
      <c r="AG37" s="747" t="str">
        <f>ASC(【マスター】!$D$61)</f>
        <v>200</v>
      </c>
      <c r="AH37" s="695" t="s">
        <v>600</v>
      </c>
      <c r="AI37" s="695" t="s">
        <v>652</v>
      </c>
      <c r="AK37" s="760" t="str">
        <f>【マスター】!$H$46</f>
        <v>夕食</v>
      </c>
      <c r="AL37" s="760" t="str">
        <f>【マスター】!$J$46</f>
        <v>６３０</v>
      </c>
      <c r="AM37" s="759" t="s">
        <v>645</v>
      </c>
      <c r="AN37" s="751" t="s">
        <v>1905</v>
      </c>
      <c r="AO37"/>
      <c r="AP37"/>
      <c r="AQ37"/>
    </row>
    <row r="38" spans="1:43" ht="20.100000000000001" customHeight="1">
      <c r="A38" s="315" t="str">
        <f>IF(B38="","",6)</f>
        <v/>
      </c>
      <c r="B38" s="2007"/>
      <c r="C38" s="2007"/>
      <c r="D38" s="2007"/>
      <c r="E38" s="2007"/>
      <c r="F38" s="2007"/>
      <c r="G38" s="2007"/>
      <c r="H38" s="2007"/>
      <c r="I38" s="2007"/>
      <c r="J38" s="2007"/>
      <c r="K38" s="2007"/>
      <c r="L38" s="2007"/>
      <c r="M38" s="2007"/>
      <c r="N38" s="2007"/>
      <c r="O38" s="2008" t="str">
        <f t="shared" si="5"/>
        <v/>
      </c>
      <c r="P38" s="2009"/>
      <c r="Q38" s="2009"/>
      <c r="R38" s="566"/>
      <c r="S38" s="568" t="str">
        <f t="shared" si="6"/>
        <v/>
      </c>
      <c r="T38" s="2010" t="str">
        <f t="shared" si="7"/>
        <v/>
      </c>
      <c r="U38" s="2010"/>
      <c r="V38" s="2010"/>
      <c r="W38" s="2010"/>
      <c r="X38" s="2010"/>
      <c r="AE38" s="697" t="s">
        <v>1758</v>
      </c>
      <c r="AF38" s="697" t="s">
        <v>1758</v>
      </c>
      <c r="AG38" s="747" t="str">
        <f>ASC(【マスター】!$D$61)</f>
        <v>200</v>
      </c>
      <c r="AH38" s="695" t="s">
        <v>705</v>
      </c>
      <c r="AI38" s="695"/>
      <c r="AK38" s="760" t="str">
        <f>【マスター】!$H$47</f>
        <v>おむつ・リハパン</v>
      </c>
      <c r="AL38" s="760" t="str">
        <f>【マスター】!$J$47</f>
        <v>１００</v>
      </c>
      <c r="AM38" s="759" t="s">
        <v>1914</v>
      </c>
      <c r="AN38" s="751" t="s">
        <v>1905</v>
      </c>
      <c r="AO38"/>
      <c r="AP38"/>
      <c r="AQ38"/>
    </row>
    <row r="39" spans="1:43" ht="20.100000000000001" customHeight="1">
      <c r="A39" s="315" t="str">
        <f>IF(B39="","",7)</f>
        <v/>
      </c>
      <c r="B39" s="2007"/>
      <c r="C39" s="2007"/>
      <c r="D39" s="2007"/>
      <c r="E39" s="2007"/>
      <c r="F39" s="2007"/>
      <c r="G39" s="2007"/>
      <c r="H39" s="2007"/>
      <c r="I39" s="2007"/>
      <c r="J39" s="2007"/>
      <c r="K39" s="2007"/>
      <c r="L39" s="2007"/>
      <c r="M39" s="2007"/>
      <c r="N39" s="2007"/>
      <c r="O39" s="2008" t="str">
        <f t="shared" si="5"/>
        <v/>
      </c>
      <c r="P39" s="2009"/>
      <c r="Q39" s="2009"/>
      <c r="R39" s="566"/>
      <c r="S39" s="568" t="str">
        <f t="shared" si="6"/>
        <v/>
      </c>
      <c r="T39" s="2010" t="str">
        <f t="shared" si="7"/>
        <v/>
      </c>
      <c r="U39" s="2010"/>
      <c r="V39" s="2010"/>
      <c r="W39" s="2010"/>
      <c r="X39" s="2010"/>
      <c r="AE39" s="697" t="s">
        <v>1879</v>
      </c>
      <c r="AF39" s="697" t="s">
        <v>1804</v>
      </c>
      <c r="AG39" s="747" t="str">
        <f>ASC(【マスター】!$D$63)</f>
        <v>20</v>
      </c>
      <c r="AH39" s="695" t="s">
        <v>600</v>
      </c>
      <c r="AI39" s="697" t="s">
        <v>1759</v>
      </c>
      <c r="AK39" s="760" t="str">
        <f>【マスター】!$H$48</f>
        <v>パッド</v>
      </c>
      <c r="AL39" s="760" t="str">
        <f>【マスター】!$J$48</f>
        <v>５０</v>
      </c>
      <c r="AM39" s="759" t="s">
        <v>648</v>
      </c>
      <c r="AN39" s="751" t="s">
        <v>1905</v>
      </c>
      <c r="AO39"/>
      <c r="AP39"/>
      <c r="AQ39"/>
    </row>
    <row r="40" spans="1:43">
      <c r="A40" s="315" t="str">
        <f>IF(B40="","",8)</f>
        <v/>
      </c>
      <c r="B40" s="2007"/>
      <c r="C40" s="2007"/>
      <c r="D40" s="2007"/>
      <c r="E40" s="2007"/>
      <c r="F40" s="2007"/>
      <c r="G40" s="2007"/>
      <c r="H40" s="2007"/>
      <c r="I40" s="2007"/>
      <c r="J40" s="2007"/>
      <c r="K40" s="2007"/>
      <c r="L40" s="2007"/>
      <c r="M40" s="2007"/>
      <c r="N40" s="2007"/>
      <c r="O40" s="2008" t="str">
        <f t="shared" si="5"/>
        <v/>
      </c>
      <c r="P40" s="2009"/>
      <c r="Q40" s="2009"/>
      <c r="R40" s="566"/>
      <c r="S40" s="568" t="str">
        <f t="shared" si="6"/>
        <v/>
      </c>
      <c r="T40" s="2010" t="str">
        <f t="shared" si="7"/>
        <v/>
      </c>
      <c r="U40" s="2010"/>
      <c r="V40" s="2010"/>
      <c r="W40" s="2010"/>
      <c r="X40" s="2010"/>
      <c r="AE40" s="697" t="s">
        <v>1880</v>
      </c>
      <c r="AF40" s="697" t="s">
        <v>1805</v>
      </c>
      <c r="AG40" s="747" t="str">
        <f>ASC(【マスター】!$D$64)</f>
        <v>5</v>
      </c>
      <c r="AH40" s="695" t="s">
        <v>692</v>
      </c>
      <c r="AI40" s="697" t="s">
        <v>1759</v>
      </c>
      <c r="AK40" s="760" t="str">
        <f>【マスター】!$H$49</f>
        <v>付き添い</v>
      </c>
      <c r="AL40" s="760" t="str">
        <f>【マスター】!$J$49</f>
        <v>２００</v>
      </c>
      <c r="AM40" s="759" t="s">
        <v>867</v>
      </c>
      <c r="AN40" s="751" t="s">
        <v>1905</v>
      </c>
      <c r="AO40"/>
      <c r="AP40"/>
      <c r="AQ40"/>
    </row>
    <row r="41" spans="1:43">
      <c r="A41" s="315" t="str">
        <f>IF(B41="","",9)</f>
        <v/>
      </c>
      <c r="B41" s="2007"/>
      <c r="C41" s="2007"/>
      <c r="D41" s="2007"/>
      <c r="E41" s="2007"/>
      <c r="F41" s="2007"/>
      <c r="G41" s="2007"/>
      <c r="H41" s="2007"/>
      <c r="I41" s="2007"/>
      <c r="J41" s="2007"/>
      <c r="K41" s="2007"/>
      <c r="L41" s="2007"/>
      <c r="M41" s="2007"/>
      <c r="N41" s="2007"/>
      <c r="O41" s="2008" t="str">
        <f t="shared" si="5"/>
        <v/>
      </c>
      <c r="P41" s="2009"/>
      <c r="Q41" s="2009"/>
      <c r="R41" s="566"/>
      <c r="S41" s="568" t="str">
        <f t="shared" si="6"/>
        <v/>
      </c>
      <c r="T41" s="2010" t="str">
        <f t="shared" si="7"/>
        <v/>
      </c>
      <c r="U41" s="2010"/>
      <c r="V41" s="2010"/>
      <c r="W41" s="2010"/>
      <c r="X41" s="2010"/>
      <c r="AE41" s="697" t="s">
        <v>1760</v>
      </c>
      <c r="AF41" s="697" t="s">
        <v>1806</v>
      </c>
      <c r="AG41" s="747" t="str">
        <f>ASC(【マスター】!$D$65)</f>
        <v>150</v>
      </c>
      <c r="AH41" s="695" t="s">
        <v>600</v>
      </c>
      <c r="AI41" s="695" t="s">
        <v>652</v>
      </c>
    </row>
    <row r="42" spans="1:43">
      <c r="M42" s="317"/>
      <c r="N42" s="317"/>
      <c r="O42" s="1358" t="s">
        <v>1890</v>
      </c>
      <c r="P42" s="1358"/>
      <c r="Q42" s="1358"/>
      <c r="R42" s="1358"/>
      <c r="S42" s="1358"/>
      <c r="T42" s="1388" t="str">
        <f>IF(B33="","",SUM(T33:X41))</f>
        <v/>
      </c>
      <c r="U42" s="1388"/>
      <c r="V42" s="1388"/>
      <c r="W42" s="1388"/>
      <c r="X42" s="1388"/>
      <c r="AC42" s="321"/>
      <c r="AE42" s="697" t="s">
        <v>1761</v>
      </c>
      <c r="AF42" s="697" t="s">
        <v>1807</v>
      </c>
      <c r="AG42" s="747" t="str">
        <f>ASC(【マスター】!$D$66)</f>
        <v>160</v>
      </c>
      <c r="AH42" s="695" t="s">
        <v>600</v>
      </c>
      <c r="AI42" s="695" t="s">
        <v>652</v>
      </c>
    </row>
    <row r="43" spans="1:43" ht="19.5" customHeight="1" thickBot="1">
      <c r="A43" s="323" t="s">
        <v>1874</v>
      </c>
      <c r="B43" s="326"/>
      <c r="C43" s="326"/>
      <c r="D43" s="323"/>
      <c r="E43" s="323"/>
      <c r="F43" s="326"/>
      <c r="H43" s="323" t="s">
        <v>1875</v>
      </c>
      <c r="O43" s="323" t="s">
        <v>1896</v>
      </c>
      <c r="AC43" s="322"/>
      <c r="AE43" s="697" t="s">
        <v>1871</v>
      </c>
      <c r="AF43" s="697" t="s">
        <v>1872</v>
      </c>
      <c r="AG43" s="695" t="str">
        <f>ASC(【マスター】!$D$73)</f>
        <v>40</v>
      </c>
      <c r="AH43" s="695" t="s">
        <v>1873</v>
      </c>
      <c r="AI43" s="695"/>
    </row>
    <row r="44" spans="1:43" ht="20.25" customHeight="1">
      <c r="A44" s="1356" t="s">
        <v>1895</v>
      </c>
      <c r="B44" s="1356"/>
      <c r="C44" s="1356"/>
      <c r="D44" s="1356"/>
      <c r="E44" s="1356"/>
      <c r="F44" s="1356"/>
      <c r="G44" s="1386" t="s">
        <v>629</v>
      </c>
      <c r="H44" s="1358" t="s">
        <v>1890</v>
      </c>
      <c r="I44" s="1358"/>
      <c r="J44" s="1358"/>
      <c r="K44" s="1358"/>
      <c r="L44" s="1358"/>
      <c r="M44" s="1358"/>
      <c r="N44" s="1345" t="s">
        <v>630</v>
      </c>
      <c r="O44" s="2012" t="s">
        <v>657</v>
      </c>
      <c r="P44" s="2013"/>
      <c r="Q44" s="2013"/>
      <c r="R44" s="2013"/>
      <c r="S44" s="2013"/>
      <c r="T44" s="2013"/>
      <c r="U44" s="2013"/>
      <c r="V44" s="2013"/>
      <c r="W44" s="2013"/>
      <c r="X44" s="2014"/>
      <c r="AE44" s="697" t="s">
        <v>169</v>
      </c>
      <c r="AF44" s="697" t="s">
        <v>1808</v>
      </c>
      <c r="AG44" s="747" t="str">
        <f>ASC("-"&amp;【マスター】!$K$53)</f>
        <v>-47</v>
      </c>
      <c r="AH44" s="695" t="s">
        <v>600</v>
      </c>
      <c r="AI44" s="695" t="s">
        <v>654</v>
      </c>
    </row>
    <row r="45" spans="1:43">
      <c r="A45" s="1377" t="str">
        <f>O29</f>
        <v/>
      </c>
      <c r="B45" s="1377"/>
      <c r="C45" s="1377"/>
      <c r="D45" s="1377"/>
      <c r="E45" s="1377"/>
      <c r="F45" s="1377"/>
      <c r="G45" s="1386"/>
      <c r="H45" s="1378" t="str">
        <f>T42</f>
        <v/>
      </c>
      <c r="I45" s="1378"/>
      <c r="J45" s="1378"/>
      <c r="K45" s="1378"/>
      <c r="L45" s="1378"/>
      <c r="M45" s="1378"/>
      <c r="N45" s="1345"/>
      <c r="O45" s="1380" t="str">
        <f>IF(H45="",A45,A45+H45)</f>
        <v/>
      </c>
      <c r="P45" s="1381"/>
      <c r="Q45" s="1381"/>
      <c r="R45" s="1381"/>
      <c r="S45" s="1381"/>
      <c r="T45" s="1381"/>
      <c r="U45" s="1381"/>
      <c r="V45" s="1381"/>
      <c r="W45" s="1381"/>
      <c r="X45" s="1382"/>
      <c r="Z45" s="798"/>
      <c r="AA45" s="798"/>
      <c r="AB45" s="798"/>
      <c r="AC45" s="798"/>
      <c r="AE45" s="695" t="s">
        <v>1909</v>
      </c>
      <c r="AF45" s="695" t="s">
        <v>1909</v>
      </c>
      <c r="AG45" s="747" t="str">
        <f>ASC("-"&amp;【マスター】!$K$54)</f>
        <v>-94</v>
      </c>
      <c r="AH45" s="747" t="s">
        <v>91</v>
      </c>
      <c r="AI45" s="747"/>
      <c r="AJ45" s="748"/>
    </row>
    <row r="46" spans="1:43" ht="19.350000000000001" customHeight="1" thickBot="1">
      <c r="A46" s="1377"/>
      <c r="B46" s="1377"/>
      <c r="C46" s="1377"/>
      <c r="D46" s="1377"/>
      <c r="E46" s="1377"/>
      <c r="F46" s="1377"/>
      <c r="G46" s="1386"/>
      <c r="H46" s="1378"/>
      <c r="I46" s="1378"/>
      <c r="J46" s="1378"/>
      <c r="K46" s="1378"/>
      <c r="L46" s="1378"/>
      <c r="M46" s="1378"/>
      <c r="N46" s="1345"/>
      <c r="O46" s="1383"/>
      <c r="P46" s="1384"/>
      <c r="Q46" s="1384"/>
      <c r="R46" s="1384"/>
      <c r="S46" s="1384"/>
      <c r="T46" s="1384"/>
      <c r="U46" s="1384"/>
      <c r="V46" s="1384"/>
      <c r="W46" s="1384"/>
      <c r="X46" s="1385"/>
      <c r="Z46" s="748"/>
      <c r="AA46" s="748"/>
      <c r="AB46" s="748"/>
      <c r="AC46" s="748"/>
      <c r="AE46" s="484" t="s">
        <v>602</v>
      </c>
    </row>
    <row r="47" spans="1:43" ht="19.350000000000001" customHeight="1">
      <c r="Z47" s="748"/>
      <c r="AA47" s="748"/>
      <c r="AB47" s="748"/>
      <c r="AC47" s="748"/>
      <c r="AE47" s="729" t="s">
        <v>595</v>
      </c>
      <c r="AF47" s="320" t="s">
        <v>588</v>
      </c>
      <c r="AG47" s="320" t="s">
        <v>589</v>
      </c>
      <c r="AH47" s="320" t="s">
        <v>590</v>
      </c>
      <c r="AI47" s="320" t="s">
        <v>596</v>
      </c>
    </row>
    <row r="48" spans="1:43">
      <c r="Z48" s="748"/>
      <c r="AA48" s="748"/>
      <c r="AB48" s="748"/>
      <c r="AC48" s="748"/>
      <c r="AE48" s="730" t="s">
        <v>658</v>
      </c>
      <c r="AF48" s="315" t="s">
        <v>659</v>
      </c>
      <c r="AG48" s="694">
        <f>$AG$50*0.7</f>
        <v>350.7</v>
      </c>
      <c r="AH48" s="315" t="s">
        <v>600</v>
      </c>
      <c r="AI48" s="315"/>
      <c r="AJ48" s="315"/>
    </row>
    <row r="49" spans="26:36">
      <c r="Z49" s="748"/>
      <c r="AA49" s="748"/>
      <c r="AB49" s="748"/>
      <c r="AC49" s="799"/>
      <c r="AE49" s="730" t="s">
        <v>660</v>
      </c>
      <c r="AF49" s="315" t="s">
        <v>661</v>
      </c>
      <c r="AG49" s="315">
        <f>【マスター】!$W$18</f>
        <v>478</v>
      </c>
      <c r="AH49" s="315" t="s">
        <v>600</v>
      </c>
      <c r="AI49" s="315"/>
      <c r="AJ49" s="315"/>
    </row>
    <row r="50" spans="26:36">
      <c r="Z50" s="748"/>
      <c r="AA50" s="748"/>
      <c r="AB50" s="748"/>
      <c r="AC50" s="800"/>
      <c r="AE50" s="730" t="s">
        <v>662</v>
      </c>
      <c r="AF50" s="315" t="s">
        <v>663</v>
      </c>
      <c r="AG50" s="315">
        <f>【マスター】!$AB$18</f>
        <v>501</v>
      </c>
      <c r="AH50" s="315" t="s">
        <v>600</v>
      </c>
      <c r="AI50" s="315"/>
      <c r="AJ50" s="315"/>
    </row>
    <row r="51" spans="26:36">
      <c r="AE51" s="730" t="s">
        <v>664</v>
      </c>
      <c r="AF51" s="315" t="s">
        <v>665</v>
      </c>
      <c r="AG51" s="315">
        <f>【マスター】!$AG$18</f>
        <v>776</v>
      </c>
      <c r="AH51" s="315" t="s">
        <v>600</v>
      </c>
      <c r="AI51" s="315"/>
      <c r="AJ51" s="315"/>
    </row>
    <row r="52" spans="26:36">
      <c r="AE52" s="730" t="s">
        <v>669</v>
      </c>
      <c r="AF52" s="315" t="s">
        <v>670</v>
      </c>
      <c r="AG52" s="315">
        <f>【マスター】!$AL$18</f>
        <v>801</v>
      </c>
      <c r="AH52" s="315" t="s">
        <v>600</v>
      </c>
      <c r="AI52" s="315"/>
      <c r="AJ52" s="315"/>
    </row>
    <row r="53" spans="26:36">
      <c r="AE53" s="730" t="s">
        <v>671</v>
      </c>
      <c r="AF53" s="315" t="s">
        <v>672</v>
      </c>
      <c r="AG53" s="315">
        <f>【マスター】!AQ18</f>
        <v>890</v>
      </c>
      <c r="AH53" s="315" t="s">
        <v>600</v>
      </c>
      <c r="AI53" s="315"/>
      <c r="AJ53" s="315"/>
    </row>
    <row r="54" spans="26:36">
      <c r="AE54" s="730" t="s">
        <v>673</v>
      </c>
      <c r="AF54" s="315" t="s">
        <v>674</v>
      </c>
      <c r="AG54" s="315">
        <f>【マスター】!AV18</f>
        <v>925</v>
      </c>
      <c r="AH54" s="315" t="s">
        <v>600</v>
      </c>
      <c r="AI54" s="315"/>
      <c r="AJ54" s="315"/>
    </row>
    <row r="55" spans="26:36">
      <c r="AE55" s="730" t="s">
        <v>1842</v>
      </c>
      <c r="AF55" s="315" t="s">
        <v>1796</v>
      </c>
      <c r="AG55" s="315">
        <v>50</v>
      </c>
      <c r="AH55" s="315" t="s">
        <v>600</v>
      </c>
      <c r="AI55" s="315"/>
    </row>
    <row r="56" spans="26:36">
      <c r="AE56" s="730" t="s">
        <v>1843</v>
      </c>
      <c r="AF56" s="315" t="s">
        <v>1797</v>
      </c>
      <c r="AG56" s="315">
        <v>100</v>
      </c>
      <c r="AH56" s="315" t="s">
        <v>600</v>
      </c>
      <c r="AI56" s="315"/>
    </row>
    <row r="57" spans="26:36">
      <c r="AE57" s="730" t="s">
        <v>1844</v>
      </c>
      <c r="AF57" s="315" t="s">
        <v>1798</v>
      </c>
      <c r="AG57" s="315">
        <v>150</v>
      </c>
      <c r="AH57" s="315" t="s">
        <v>600</v>
      </c>
      <c r="AI57" s="325"/>
    </row>
    <row r="58" spans="26:36">
      <c r="AE58" s="730" t="s">
        <v>1845</v>
      </c>
      <c r="AF58" s="315" t="s">
        <v>1799</v>
      </c>
      <c r="AG58" s="315">
        <v>200</v>
      </c>
      <c r="AH58" s="315" t="s">
        <v>600</v>
      </c>
      <c r="AI58" s="315"/>
    </row>
    <row r="59" spans="26:36">
      <c r="AE59" s="730" t="s">
        <v>1846</v>
      </c>
      <c r="AF59" s="315" t="s">
        <v>1800</v>
      </c>
      <c r="AG59" s="315">
        <v>250</v>
      </c>
      <c r="AH59" s="315" t="s">
        <v>600</v>
      </c>
      <c r="AI59" s="315"/>
    </row>
    <row r="60" spans="26:36">
      <c r="AE60" s="697" t="s">
        <v>1751</v>
      </c>
      <c r="AF60" s="695" t="s">
        <v>1751</v>
      </c>
      <c r="AG60" s="747" t="str">
        <f>ASC(【マスター】!$D$50)</f>
        <v>40</v>
      </c>
      <c r="AH60" s="695" t="s">
        <v>1769</v>
      </c>
      <c r="AI60" s="695"/>
    </row>
    <row r="61" spans="26:36">
      <c r="AE61" s="697" t="s">
        <v>1752</v>
      </c>
      <c r="AF61" s="695" t="s">
        <v>1752</v>
      </c>
      <c r="AG61" s="747" t="str">
        <f>ASC(【マスター】!$D$51)</f>
        <v>55</v>
      </c>
      <c r="AH61" s="695" t="s">
        <v>1769</v>
      </c>
      <c r="AI61" s="695"/>
    </row>
    <row r="62" spans="26:36">
      <c r="AE62" s="697" t="s">
        <v>638</v>
      </c>
      <c r="AF62" s="695" t="s">
        <v>638</v>
      </c>
      <c r="AG62" s="761" t="str">
        <f>ASC(【マスター】!$D$54)</f>
        <v>45</v>
      </c>
      <c r="AH62" s="695" t="s">
        <v>600</v>
      </c>
      <c r="AI62" s="696"/>
    </row>
    <row r="63" spans="26:36">
      <c r="AE63" s="697" t="s">
        <v>1753</v>
      </c>
      <c r="AF63" s="697" t="s">
        <v>1802</v>
      </c>
      <c r="AG63" s="747" t="str">
        <f>ASC(【マスター】!$D$70)</f>
        <v>100</v>
      </c>
      <c r="AH63" s="695" t="s">
        <v>639</v>
      </c>
      <c r="AI63" s="716" t="s">
        <v>1801</v>
      </c>
    </row>
    <row r="64" spans="26:36">
      <c r="AE64" s="697" t="s">
        <v>1754</v>
      </c>
      <c r="AF64" s="697" t="s">
        <v>1754</v>
      </c>
      <c r="AG64" s="747" t="str">
        <f>ASC(【マスター】!$D$71)</f>
        <v>100</v>
      </c>
      <c r="AH64" s="695" t="s">
        <v>639</v>
      </c>
      <c r="AI64" s="695"/>
    </row>
    <row r="65" spans="31:35">
      <c r="AE65" s="697" t="s">
        <v>1755</v>
      </c>
      <c r="AF65" s="697" t="s">
        <v>1755</v>
      </c>
      <c r="AG65" s="747" t="str">
        <f>ASC(【マスター】!$D$55)</f>
        <v>56</v>
      </c>
      <c r="AH65" s="695" t="s">
        <v>641</v>
      </c>
      <c r="AI65" s="695"/>
    </row>
    <row r="66" spans="31:35">
      <c r="AE66" s="697" t="s">
        <v>1756</v>
      </c>
      <c r="AF66" s="697" t="s">
        <v>1756</v>
      </c>
      <c r="AG66" s="747" t="str">
        <f>ASC(【マスター】!$D$56)</f>
        <v>76</v>
      </c>
      <c r="AH66" s="695" t="s">
        <v>706</v>
      </c>
      <c r="AI66" s="695"/>
    </row>
    <row r="67" spans="31:35">
      <c r="AE67" s="697" t="s">
        <v>644</v>
      </c>
      <c r="AF67" s="697" t="s">
        <v>644</v>
      </c>
      <c r="AG67" s="747" t="str">
        <f>ASC(【マスター】!$D$57)</f>
        <v>20</v>
      </c>
      <c r="AH67" s="695" t="s">
        <v>639</v>
      </c>
      <c r="AI67" s="695"/>
    </row>
    <row r="68" spans="31:35">
      <c r="AE68" s="697" t="s">
        <v>209</v>
      </c>
      <c r="AF68" s="697" t="s">
        <v>209</v>
      </c>
      <c r="AG68" s="747" t="str">
        <f>ASC(【マスター】!$D$67)</f>
        <v>30</v>
      </c>
      <c r="AH68" s="695" t="s">
        <v>639</v>
      </c>
      <c r="AI68" s="695"/>
    </row>
    <row r="69" spans="31:35">
      <c r="AE69" s="697" t="s">
        <v>210</v>
      </c>
      <c r="AF69" s="697" t="s">
        <v>210</v>
      </c>
      <c r="AG69" s="747" t="str">
        <f>ASC(【マスター】!$D$68)</f>
        <v>60</v>
      </c>
      <c r="AH69" s="695" t="s">
        <v>639</v>
      </c>
      <c r="AI69" s="695"/>
    </row>
    <row r="70" spans="31:35">
      <c r="AE70" s="697" t="s">
        <v>1757</v>
      </c>
      <c r="AF70" s="697" t="s">
        <v>1757</v>
      </c>
      <c r="AG70" s="747" t="str">
        <f>ASC(【マスター】!$D$69)</f>
        <v>3</v>
      </c>
      <c r="AH70" s="695" t="s">
        <v>1770</v>
      </c>
      <c r="AI70" s="695"/>
    </row>
    <row r="71" spans="31:35">
      <c r="AE71" s="697" t="s">
        <v>647</v>
      </c>
      <c r="AF71" s="697" t="s">
        <v>647</v>
      </c>
      <c r="AG71" s="747" t="str">
        <f>ASC(【マスター】!$D$52)</f>
        <v>60</v>
      </c>
      <c r="AH71" s="695" t="s">
        <v>641</v>
      </c>
      <c r="AI71" s="695"/>
    </row>
    <row r="72" spans="31:35">
      <c r="AE72" s="697" t="s">
        <v>649</v>
      </c>
      <c r="AF72" s="697" t="s">
        <v>649</v>
      </c>
      <c r="AG72" s="747" t="str">
        <f>ASC(【マスター】!$D$53)</f>
        <v>60</v>
      </c>
      <c r="AH72" s="695" t="s">
        <v>641</v>
      </c>
      <c r="AI72" s="695"/>
    </row>
    <row r="73" spans="31:35">
      <c r="AE73" s="697" t="s">
        <v>651</v>
      </c>
      <c r="AF73" s="697" t="s">
        <v>1803</v>
      </c>
      <c r="AG73" s="747" t="str">
        <f>ASC(【マスター】!$D$61)</f>
        <v>200</v>
      </c>
      <c r="AH73" s="695" t="s">
        <v>600</v>
      </c>
      <c r="AI73" s="695" t="s">
        <v>652</v>
      </c>
    </row>
    <row r="74" spans="31:35">
      <c r="AE74" s="697" t="s">
        <v>1758</v>
      </c>
      <c r="AF74" s="697" t="s">
        <v>1758</v>
      </c>
      <c r="AG74" s="747" t="str">
        <f>ASC(【マスター】!$D$61)</f>
        <v>200</v>
      </c>
      <c r="AH74" s="695" t="s">
        <v>705</v>
      </c>
      <c r="AI74" s="695"/>
    </row>
    <row r="75" spans="31:35">
      <c r="AE75" s="697" t="s">
        <v>1879</v>
      </c>
      <c r="AF75" s="697" t="s">
        <v>1804</v>
      </c>
      <c r="AG75" s="747" t="str">
        <f>ASC(【マスター】!$D$63)</f>
        <v>20</v>
      </c>
      <c r="AH75" s="695" t="s">
        <v>600</v>
      </c>
      <c r="AI75" s="697" t="s">
        <v>1759</v>
      </c>
    </row>
    <row r="76" spans="31:35">
      <c r="AE76" s="697" t="s">
        <v>1880</v>
      </c>
      <c r="AF76" s="697" t="s">
        <v>1805</v>
      </c>
      <c r="AG76" s="747" t="str">
        <f>ASC(【マスター】!$D$64)</f>
        <v>5</v>
      </c>
      <c r="AH76" s="695" t="s">
        <v>692</v>
      </c>
      <c r="AI76" s="697" t="s">
        <v>1759</v>
      </c>
    </row>
    <row r="77" spans="31:35">
      <c r="AE77" s="697" t="s">
        <v>1760</v>
      </c>
      <c r="AF77" s="697" t="s">
        <v>1806</v>
      </c>
      <c r="AG77" s="747" t="str">
        <f>ASC(【マスター】!$D$65)</f>
        <v>150</v>
      </c>
      <c r="AH77" s="695" t="s">
        <v>600</v>
      </c>
      <c r="AI77" s="695" t="s">
        <v>652</v>
      </c>
    </row>
    <row r="78" spans="31:35">
      <c r="AE78" s="697" t="s">
        <v>1761</v>
      </c>
      <c r="AF78" s="697" t="s">
        <v>1807</v>
      </c>
      <c r="AG78" s="747" t="str">
        <f>ASC(【マスター】!$D$66)</f>
        <v>160</v>
      </c>
      <c r="AH78" s="695" t="s">
        <v>600</v>
      </c>
      <c r="AI78" s="695" t="s">
        <v>652</v>
      </c>
    </row>
    <row r="79" spans="31:35">
      <c r="AE79" s="697" t="s">
        <v>1871</v>
      </c>
      <c r="AF79" s="697" t="s">
        <v>1872</v>
      </c>
      <c r="AG79" s="695" t="str">
        <f>ASC(【マスター】!$D$73)</f>
        <v>40</v>
      </c>
      <c r="AH79" s="695" t="s">
        <v>1873</v>
      </c>
      <c r="AI79" s="695"/>
    </row>
    <row r="80" spans="31:35">
      <c r="AE80" s="697" t="s">
        <v>169</v>
      </c>
      <c r="AF80" s="697" t="s">
        <v>1808</v>
      </c>
      <c r="AG80" s="747" t="str">
        <f>ASC("-"&amp;【マスター】!$K$53)</f>
        <v>-47</v>
      </c>
      <c r="AH80" s="695" t="s">
        <v>600</v>
      </c>
      <c r="AI80" s="695" t="s">
        <v>654</v>
      </c>
    </row>
    <row r="81" spans="31:36">
      <c r="AE81" s="695" t="s">
        <v>1909</v>
      </c>
      <c r="AF81" s="695" t="s">
        <v>1909</v>
      </c>
      <c r="AG81" s="747" t="str">
        <f>ASC("-"&amp;【マスター】!$K$54)</f>
        <v>-94</v>
      </c>
      <c r="AH81" s="747" t="s">
        <v>91</v>
      </c>
      <c r="AI81" s="747"/>
      <c r="AJ81" s="748"/>
    </row>
    <row r="82" spans="31:36">
      <c r="AE82" s="484" t="s">
        <v>605</v>
      </c>
    </row>
    <row r="83" spans="31:36">
      <c r="AE83" s="729" t="s">
        <v>595</v>
      </c>
      <c r="AF83" s="320" t="s">
        <v>588</v>
      </c>
      <c r="AG83" s="320" t="s">
        <v>589</v>
      </c>
      <c r="AH83" s="320" t="s">
        <v>590</v>
      </c>
      <c r="AI83" s="320" t="s">
        <v>596</v>
      </c>
    </row>
    <row r="84" spans="31:36">
      <c r="AE84" s="730" t="s">
        <v>676</v>
      </c>
      <c r="AF84" s="315" t="s">
        <v>677</v>
      </c>
      <c r="AG84" s="694">
        <f>$AG$86*0.7</f>
        <v>396.2</v>
      </c>
      <c r="AH84" s="315" t="s">
        <v>600</v>
      </c>
      <c r="AI84" s="315"/>
      <c r="AJ84" s="315"/>
    </row>
    <row r="85" spans="31:36">
      <c r="AE85" s="730" t="s">
        <v>678</v>
      </c>
      <c r="AF85" s="315" t="s">
        <v>679</v>
      </c>
      <c r="AG85" s="315">
        <f>【マスター】!$X$18</f>
        <v>540</v>
      </c>
      <c r="AH85" s="315" t="s">
        <v>600</v>
      </c>
      <c r="AI85" s="315"/>
      <c r="AJ85" s="315"/>
    </row>
    <row r="86" spans="31:36">
      <c r="AE86" s="730" t="s">
        <v>680</v>
      </c>
      <c r="AF86" s="315" t="s">
        <v>681</v>
      </c>
      <c r="AG86" s="315">
        <f>【マスター】!$AC$18</f>
        <v>566</v>
      </c>
      <c r="AH86" s="315" t="s">
        <v>600</v>
      </c>
      <c r="AI86" s="315"/>
      <c r="AJ86" s="315"/>
    </row>
    <row r="87" spans="31:36">
      <c r="AE87" s="730" t="s">
        <v>682</v>
      </c>
      <c r="AF87" s="315" t="s">
        <v>683</v>
      </c>
      <c r="AG87" s="315">
        <f>【マスター】!$AH$18</f>
        <v>896</v>
      </c>
      <c r="AH87" s="315" t="s">
        <v>600</v>
      </c>
      <c r="AI87" s="315"/>
      <c r="AJ87" s="315"/>
    </row>
    <row r="88" spans="31:36">
      <c r="AE88" s="730" t="s">
        <v>684</v>
      </c>
      <c r="AF88" s="315" t="s">
        <v>685</v>
      </c>
      <c r="AG88" s="315">
        <f>【マスター】!$AM$18</f>
        <v>925</v>
      </c>
      <c r="AH88" s="315" t="s">
        <v>600</v>
      </c>
      <c r="AI88" s="315"/>
      <c r="AJ88" s="315"/>
    </row>
    <row r="89" spans="31:36">
      <c r="AE89" s="730" t="s">
        <v>686</v>
      </c>
      <c r="AF89" s="315" t="s">
        <v>687</v>
      </c>
      <c r="AG89" s="315">
        <f>【マスター】!$AR$18</f>
        <v>1032</v>
      </c>
      <c r="AH89" s="315" t="s">
        <v>600</v>
      </c>
      <c r="AI89" s="315"/>
      <c r="AJ89" s="315"/>
    </row>
    <row r="90" spans="31:36">
      <c r="AE90" s="730" t="s">
        <v>688</v>
      </c>
      <c r="AF90" s="315" t="s">
        <v>689</v>
      </c>
      <c r="AG90" s="762">
        <f>【マスター】!$AW$18</f>
        <v>1072</v>
      </c>
      <c r="AH90" s="315" t="s">
        <v>600</v>
      </c>
      <c r="AI90" s="315"/>
      <c r="AJ90" s="315"/>
    </row>
    <row r="91" spans="31:36">
      <c r="AE91" s="730" t="s">
        <v>1847</v>
      </c>
      <c r="AF91" s="315" t="s">
        <v>1796</v>
      </c>
      <c r="AG91" s="315">
        <v>50</v>
      </c>
      <c r="AH91" s="315" t="s">
        <v>600</v>
      </c>
      <c r="AI91" s="315"/>
    </row>
    <row r="92" spans="31:36">
      <c r="AE92" s="730" t="s">
        <v>1848</v>
      </c>
      <c r="AF92" s="315" t="s">
        <v>1797</v>
      </c>
      <c r="AG92" s="315">
        <v>100</v>
      </c>
      <c r="AH92" s="315" t="s">
        <v>600</v>
      </c>
      <c r="AI92" s="315"/>
    </row>
    <row r="93" spans="31:36">
      <c r="AE93" s="730" t="s">
        <v>1849</v>
      </c>
      <c r="AF93" s="315" t="s">
        <v>1798</v>
      </c>
      <c r="AG93" s="315">
        <v>150</v>
      </c>
      <c r="AH93" s="315" t="s">
        <v>600</v>
      </c>
      <c r="AI93" s="325"/>
    </row>
    <row r="94" spans="31:36">
      <c r="AE94" s="730" t="s">
        <v>1850</v>
      </c>
      <c r="AF94" s="315" t="s">
        <v>1799</v>
      </c>
      <c r="AG94" s="315">
        <v>200</v>
      </c>
      <c r="AH94" s="315" t="s">
        <v>600</v>
      </c>
      <c r="AI94" s="315"/>
    </row>
    <row r="95" spans="31:36">
      <c r="AE95" s="730" t="s">
        <v>1851</v>
      </c>
      <c r="AF95" s="315" t="s">
        <v>1800</v>
      </c>
      <c r="AG95" s="315">
        <v>250</v>
      </c>
      <c r="AH95" s="315" t="s">
        <v>600</v>
      </c>
      <c r="AI95" s="315"/>
    </row>
    <row r="96" spans="31:36">
      <c r="AE96" s="697" t="s">
        <v>1751</v>
      </c>
      <c r="AF96" s="695" t="s">
        <v>1751</v>
      </c>
      <c r="AG96" s="747" t="str">
        <f>ASC(【マスター】!$D$50)</f>
        <v>40</v>
      </c>
      <c r="AH96" s="695" t="s">
        <v>1769</v>
      </c>
      <c r="AI96" s="695"/>
    </row>
    <row r="97" spans="31:35">
      <c r="AE97" s="697" t="s">
        <v>1752</v>
      </c>
      <c r="AF97" s="695" t="s">
        <v>1752</v>
      </c>
      <c r="AG97" s="747" t="str">
        <f>ASC(【マスター】!$D$51)</f>
        <v>55</v>
      </c>
      <c r="AH97" s="695" t="s">
        <v>1769</v>
      </c>
      <c r="AI97" s="695"/>
    </row>
    <row r="98" spans="31:35">
      <c r="AE98" s="697" t="s">
        <v>638</v>
      </c>
      <c r="AF98" s="695" t="s">
        <v>638</v>
      </c>
      <c r="AG98" s="761" t="str">
        <f>ASC(【マスター】!$D$54)</f>
        <v>45</v>
      </c>
      <c r="AH98" s="695" t="s">
        <v>600</v>
      </c>
      <c r="AI98" s="696"/>
    </row>
    <row r="99" spans="31:35">
      <c r="AE99" s="697" t="s">
        <v>1753</v>
      </c>
      <c r="AF99" s="697" t="s">
        <v>1802</v>
      </c>
      <c r="AG99" s="747" t="str">
        <f>ASC(【マスター】!$D$70)</f>
        <v>100</v>
      </c>
      <c r="AH99" s="695" t="s">
        <v>639</v>
      </c>
      <c r="AI99" s="716" t="s">
        <v>1801</v>
      </c>
    </row>
    <row r="100" spans="31:35">
      <c r="AE100" s="697" t="s">
        <v>1754</v>
      </c>
      <c r="AF100" s="697" t="s">
        <v>1754</v>
      </c>
      <c r="AG100" s="747" t="str">
        <f>ASC(【マスター】!$D$71)</f>
        <v>100</v>
      </c>
      <c r="AH100" s="695" t="s">
        <v>639</v>
      </c>
      <c r="AI100" s="695"/>
    </row>
    <row r="101" spans="31:35">
      <c r="AE101" s="697" t="s">
        <v>1755</v>
      </c>
      <c r="AF101" s="697" t="s">
        <v>1755</v>
      </c>
      <c r="AG101" s="747" t="str">
        <f>ASC(【マスター】!$D$55)</f>
        <v>56</v>
      </c>
      <c r="AH101" s="695" t="s">
        <v>641</v>
      </c>
      <c r="AI101" s="695"/>
    </row>
    <row r="102" spans="31:35">
      <c r="AE102" s="697" t="s">
        <v>1756</v>
      </c>
      <c r="AF102" s="697" t="s">
        <v>1756</v>
      </c>
      <c r="AG102" s="747" t="str">
        <f>ASC(【マスター】!$D$56)</f>
        <v>76</v>
      </c>
      <c r="AH102" s="695" t="s">
        <v>706</v>
      </c>
      <c r="AI102" s="695"/>
    </row>
    <row r="103" spans="31:35">
      <c r="AE103" s="697" t="s">
        <v>644</v>
      </c>
      <c r="AF103" s="697" t="s">
        <v>644</v>
      </c>
      <c r="AG103" s="747" t="str">
        <f>ASC(【マスター】!$D$57)</f>
        <v>20</v>
      </c>
      <c r="AH103" s="695" t="s">
        <v>639</v>
      </c>
      <c r="AI103" s="695"/>
    </row>
    <row r="104" spans="31:35">
      <c r="AE104" s="697" t="s">
        <v>209</v>
      </c>
      <c r="AF104" s="697" t="s">
        <v>209</v>
      </c>
      <c r="AG104" s="747" t="str">
        <f>ASC(【マスター】!$D$67)</f>
        <v>30</v>
      </c>
      <c r="AH104" s="695" t="s">
        <v>639</v>
      </c>
      <c r="AI104" s="695"/>
    </row>
    <row r="105" spans="31:35">
      <c r="AE105" s="697" t="s">
        <v>210</v>
      </c>
      <c r="AF105" s="697" t="s">
        <v>210</v>
      </c>
      <c r="AG105" s="747" t="str">
        <f>ASC(【マスター】!$D$68)</f>
        <v>60</v>
      </c>
      <c r="AH105" s="695" t="s">
        <v>639</v>
      </c>
      <c r="AI105" s="695"/>
    </row>
    <row r="106" spans="31:35">
      <c r="AE106" s="697" t="s">
        <v>1757</v>
      </c>
      <c r="AF106" s="697" t="s">
        <v>1757</v>
      </c>
      <c r="AG106" s="747" t="str">
        <f>ASC(【マスター】!$D$69)</f>
        <v>3</v>
      </c>
      <c r="AH106" s="695" t="s">
        <v>1770</v>
      </c>
      <c r="AI106" s="695"/>
    </row>
    <row r="107" spans="31:35">
      <c r="AE107" s="697" t="s">
        <v>647</v>
      </c>
      <c r="AF107" s="697" t="s">
        <v>647</v>
      </c>
      <c r="AG107" s="747" t="str">
        <f>ASC(【マスター】!$D$52)</f>
        <v>60</v>
      </c>
      <c r="AH107" s="695" t="s">
        <v>641</v>
      </c>
      <c r="AI107" s="695"/>
    </row>
    <row r="108" spans="31:35">
      <c r="AE108" s="697" t="s">
        <v>649</v>
      </c>
      <c r="AF108" s="697" t="s">
        <v>649</v>
      </c>
      <c r="AG108" s="747" t="str">
        <f>ASC(【マスター】!$D$53)</f>
        <v>60</v>
      </c>
      <c r="AH108" s="695" t="s">
        <v>641</v>
      </c>
      <c r="AI108" s="695"/>
    </row>
    <row r="109" spans="31:35">
      <c r="AE109" s="697" t="s">
        <v>651</v>
      </c>
      <c r="AF109" s="697" t="s">
        <v>1803</v>
      </c>
      <c r="AG109" s="747" t="str">
        <f>ASC(【マスター】!$D$61)</f>
        <v>200</v>
      </c>
      <c r="AH109" s="695" t="s">
        <v>600</v>
      </c>
      <c r="AI109" s="695" t="s">
        <v>652</v>
      </c>
    </row>
    <row r="110" spans="31:35">
      <c r="AE110" s="697" t="s">
        <v>1758</v>
      </c>
      <c r="AF110" s="697" t="s">
        <v>1758</v>
      </c>
      <c r="AG110" s="747" t="str">
        <f>ASC(【マスター】!$D$61)</f>
        <v>200</v>
      </c>
      <c r="AH110" s="695" t="s">
        <v>705</v>
      </c>
      <c r="AI110" s="695"/>
    </row>
    <row r="111" spans="31:35">
      <c r="AE111" s="697" t="s">
        <v>1879</v>
      </c>
      <c r="AF111" s="697" t="s">
        <v>1804</v>
      </c>
      <c r="AG111" s="747" t="str">
        <f>ASC(【マスター】!$D$63)</f>
        <v>20</v>
      </c>
      <c r="AH111" s="695" t="s">
        <v>600</v>
      </c>
      <c r="AI111" s="697" t="s">
        <v>1759</v>
      </c>
    </row>
    <row r="112" spans="31:35">
      <c r="AE112" s="697" t="s">
        <v>1880</v>
      </c>
      <c r="AF112" s="697" t="s">
        <v>1805</v>
      </c>
      <c r="AG112" s="747" t="str">
        <f>ASC(【マスター】!$D$64)</f>
        <v>5</v>
      </c>
      <c r="AH112" s="695" t="s">
        <v>692</v>
      </c>
      <c r="AI112" s="697" t="s">
        <v>1759</v>
      </c>
    </row>
    <row r="113" spans="31:36">
      <c r="AE113" s="697" t="s">
        <v>1760</v>
      </c>
      <c r="AF113" s="697" t="s">
        <v>1806</v>
      </c>
      <c r="AG113" s="747" t="str">
        <f>ASC(【マスター】!$D$65)</f>
        <v>150</v>
      </c>
      <c r="AH113" s="695" t="s">
        <v>600</v>
      </c>
      <c r="AI113" s="695" t="s">
        <v>652</v>
      </c>
    </row>
    <row r="114" spans="31:36">
      <c r="AE114" s="697" t="s">
        <v>1761</v>
      </c>
      <c r="AF114" s="697" t="s">
        <v>1807</v>
      </c>
      <c r="AG114" s="747" t="str">
        <f>ASC(【マスター】!$D$66)</f>
        <v>160</v>
      </c>
      <c r="AH114" s="695" t="s">
        <v>600</v>
      </c>
      <c r="AI114" s="695" t="s">
        <v>652</v>
      </c>
    </row>
    <row r="115" spans="31:36">
      <c r="AE115" s="697" t="s">
        <v>1871</v>
      </c>
      <c r="AF115" s="697" t="s">
        <v>1872</v>
      </c>
      <c r="AG115" s="695" t="str">
        <f>ASC(【マスター】!$D$73)</f>
        <v>40</v>
      </c>
      <c r="AH115" s="695" t="s">
        <v>1873</v>
      </c>
      <c r="AI115" s="695"/>
    </row>
    <row r="116" spans="31:36">
      <c r="AE116" s="697" t="s">
        <v>169</v>
      </c>
      <c r="AF116" s="697" t="s">
        <v>1808</v>
      </c>
      <c r="AG116" s="747" t="str">
        <f>ASC("-"&amp;【マスター】!$K$53)</f>
        <v>-47</v>
      </c>
      <c r="AH116" s="695" t="s">
        <v>600</v>
      </c>
      <c r="AI116" s="695" t="s">
        <v>654</v>
      </c>
    </row>
    <row r="117" spans="31:36">
      <c r="AE117" s="695" t="s">
        <v>1909</v>
      </c>
      <c r="AF117" s="695" t="s">
        <v>1909</v>
      </c>
      <c r="AG117" s="747" t="str">
        <f>ASC("-"&amp;【マスター】!$K$54)</f>
        <v>-94</v>
      </c>
      <c r="AH117" s="747" t="s">
        <v>91</v>
      </c>
      <c r="AI117" s="747"/>
      <c r="AJ117" s="748"/>
    </row>
    <row r="118" spans="31:36">
      <c r="AE118" s="484" t="s">
        <v>608</v>
      </c>
    </row>
    <row r="119" spans="31:36">
      <c r="AE119" s="729" t="s">
        <v>595</v>
      </c>
      <c r="AF119" s="320" t="s">
        <v>588</v>
      </c>
      <c r="AG119" s="320" t="s">
        <v>589</v>
      </c>
      <c r="AH119" s="320" t="s">
        <v>590</v>
      </c>
      <c r="AI119" s="320" t="s">
        <v>596</v>
      </c>
    </row>
    <row r="120" spans="31:36">
      <c r="AE120" s="730" t="s">
        <v>690</v>
      </c>
      <c r="AF120" s="315" t="s">
        <v>691</v>
      </c>
      <c r="AG120" s="694">
        <f>$AG$122*0.7</f>
        <v>440.29999999999995</v>
      </c>
      <c r="AH120" s="315" t="s">
        <v>692</v>
      </c>
      <c r="AI120" s="315"/>
      <c r="AJ120" s="315"/>
    </row>
    <row r="121" spans="31:36">
      <c r="AE121" s="730" t="s">
        <v>693</v>
      </c>
      <c r="AF121" s="315" t="s">
        <v>694</v>
      </c>
      <c r="AG121" s="315">
        <f>【マスター】!$Y$18</f>
        <v>600</v>
      </c>
      <c r="AH121" s="315" t="s">
        <v>692</v>
      </c>
      <c r="AI121" s="315"/>
      <c r="AJ121" s="315"/>
    </row>
    <row r="122" spans="31:36">
      <c r="AE122" s="730" t="s">
        <v>695</v>
      </c>
      <c r="AF122" s="315" t="s">
        <v>696</v>
      </c>
      <c r="AG122" s="315">
        <f>【マスター】!$AD$18</f>
        <v>629</v>
      </c>
      <c r="AH122" s="315" t="s">
        <v>692</v>
      </c>
      <c r="AI122" s="324"/>
      <c r="AJ122" s="324"/>
    </row>
    <row r="123" spans="31:36">
      <c r="AE123" s="730" t="s">
        <v>697</v>
      </c>
      <c r="AF123" s="315" t="s">
        <v>698</v>
      </c>
      <c r="AG123" s="315">
        <f>【マスター】!$AI$18</f>
        <v>1013</v>
      </c>
      <c r="AH123" s="315" t="s">
        <v>692</v>
      </c>
      <c r="AI123" s="315"/>
      <c r="AJ123" s="315"/>
    </row>
    <row r="124" spans="31:36">
      <c r="AE124" s="730" t="s">
        <v>699</v>
      </c>
      <c r="AF124" s="315" t="s">
        <v>700</v>
      </c>
      <c r="AG124" s="762">
        <f>【マスター】!$AN$18</f>
        <v>1049</v>
      </c>
      <c r="AH124" s="315" t="s">
        <v>692</v>
      </c>
      <c r="AI124" s="315"/>
      <c r="AJ124" s="315"/>
    </row>
    <row r="125" spans="31:36">
      <c r="AE125" s="730" t="s">
        <v>701</v>
      </c>
      <c r="AF125" s="315" t="s">
        <v>702</v>
      </c>
      <c r="AG125" s="315">
        <f>【マスター】!$AS$18</f>
        <v>1172</v>
      </c>
      <c r="AH125" s="315" t="s">
        <v>692</v>
      </c>
      <c r="AI125" s="315"/>
      <c r="AJ125" s="315"/>
    </row>
    <row r="126" spans="31:36">
      <c r="AE126" s="730" t="s">
        <v>703</v>
      </c>
      <c r="AF126" s="315" t="s">
        <v>704</v>
      </c>
      <c r="AG126" s="762">
        <f>【マスター】!$AX$18</f>
        <v>1220</v>
      </c>
      <c r="AH126" s="315" t="s">
        <v>692</v>
      </c>
      <c r="AI126" s="315"/>
      <c r="AJ126" s="315"/>
    </row>
    <row r="127" spans="31:36">
      <c r="AE127" s="730" t="s">
        <v>1852</v>
      </c>
      <c r="AF127" s="315" t="s">
        <v>1796</v>
      </c>
      <c r="AG127" s="315">
        <v>50</v>
      </c>
      <c r="AH127" s="315" t="s">
        <v>692</v>
      </c>
      <c r="AI127" s="315"/>
    </row>
    <row r="128" spans="31:36">
      <c r="AE128" s="730" t="s">
        <v>1853</v>
      </c>
      <c r="AF128" s="315" t="s">
        <v>1797</v>
      </c>
      <c r="AG128" s="315">
        <v>100</v>
      </c>
      <c r="AH128" s="315" t="s">
        <v>692</v>
      </c>
      <c r="AI128" s="315"/>
    </row>
    <row r="129" spans="31:35">
      <c r="AE129" s="730" t="s">
        <v>1854</v>
      </c>
      <c r="AF129" s="315" t="s">
        <v>1798</v>
      </c>
      <c r="AG129" s="315">
        <v>150</v>
      </c>
      <c r="AH129" s="315" t="s">
        <v>692</v>
      </c>
      <c r="AI129" s="325"/>
    </row>
    <row r="130" spans="31:35">
      <c r="AE130" s="730" t="s">
        <v>1855</v>
      </c>
      <c r="AF130" s="315" t="s">
        <v>1799</v>
      </c>
      <c r="AG130" s="315">
        <v>200</v>
      </c>
      <c r="AH130" s="315" t="s">
        <v>692</v>
      </c>
      <c r="AI130" s="315"/>
    </row>
    <row r="131" spans="31:35">
      <c r="AE131" s="730" t="s">
        <v>1856</v>
      </c>
      <c r="AF131" s="315" t="s">
        <v>1800</v>
      </c>
      <c r="AG131" s="315">
        <v>250</v>
      </c>
      <c r="AH131" s="315" t="s">
        <v>692</v>
      </c>
      <c r="AI131" s="315"/>
    </row>
    <row r="132" spans="31:35">
      <c r="AE132" s="697" t="s">
        <v>1751</v>
      </c>
      <c r="AF132" s="695" t="s">
        <v>1751</v>
      </c>
      <c r="AG132" s="747" t="str">
        <f>ASC(【マスター】!$D$50)</f>
        <v>40</v>
      </c>
      <c r="AH132" s="695" t="s">
        <v>1769</v>
      </c>
      <c r="AI132" s="695"/>
    </row>
    <row r="133" spans="31:35">
      <c r="AE133" s="697" t="s">
        <v>1752</v>
      </c>
      <c r="AF133" s="695" t="s">
        <v>1752</v>
      </c>
      <c r="AG133" s="747" t="str">
        <f>ASC(【マスター】!$D$51)</f>
        <v>55</v>
      </c>
      <c r="AH133" s="695" t="s">
        <v>1769</v>
      </c>
      <c r="AI133" s="695"/>
    </row>
    <row r="134" spans="31:35">
      <c r="AE134" s="697" t="s">
        <v>638</v>
      </c>
      <c r="AF134" s="695" t="s">
        <v>638</v>
      </c>
      <c r="AG134" s="761" t="str">
        <f>ASC(【マスター】!$D$54)</f>
        <v>45</v>
      </c>
      <c r="AH134" s="695" t="s">
        <v>600</v>
      </c>
      <c r="AI134" s="696"/>
    </row>
    <row r="135" spans="31:35">
      <c r="AE135" s="697" t="s">
        <v>1753</v>
      </c>
      <c r="AF135" s="697" t="s">
        <v>1802</v>
      </c>
      <c r="AG135" s="747" t="str">
        <f>ASC(【マスター】!$D$70)</f>
        <v>100</v>
      </c>
      <c r="AH135" s="695" t="s">
        <v>639</v>
      </c>
      <c r="AI135" s="716" t="s">
        <v>1801</v>
      </c>
    </row>
    <row r="136" spans="31:35">
      <c r="AE136" s="697" t="s">
        <v>1754</v>
      </c>
      <c r="AF136" s="697" t="s">
        <v>1754</v>
      </c>
      <c r="AG136" s="747" t="str">
        <f>ASC(【マスター】!$D$71)</f>
        <v>100</v>
      </c>
      <c r="AH136" s="695" t="s">
        <v>639</v>
      </c>
      <c r="AI136" s="695"/>
    </row>
    <row r="137" spans="31:35">
      <c r="AE137" s="697" t="s">
        <v>1755</v>
      </c>
      <c r="AF137" s="697" t="s">
        <v>1755</v>
      </c>
      <c r="AG137" s="747" t="str">
        <f>ASC(【マスター】!$D$55)</f>
        <v>56</v>
      </c>
      <c r="AH137" s="695" t="s">
        <v>641</v>
      </c>
      <c r="AI137" s="695"/>
    </row>
    <row r="138" spans="31:35">
      <c r="AE138" s="697" t="s">
        <v>1756</v>
      </c>
      <c r="AF138" s="697" t="s">
        <v>1756</v>
      </c>
      <c r="AG138" s="747" t="str">
        <f>ASC(【マスター】!$D$56)</f>
        <v>76</v>
      </c>
      <c r="AH138" s="695" t="s">
        <v>706</v>
      </c>
      <c r="AI138" s="695"/>
    </row>
    <row r="139" spans="31:35">
      <c r="AE139" s="697" t="s">
        <v>644</v>
      </c>
      <c r="AF139" s="697" t="s">
        <v>644</v>
      </c>
      <c r="AG139" s="747" t="str">
        <f>ASC(【マスター】!$D$57)</f>
        <v>20</v>
      </c>
      <c r="AH139" s="695" t="s">
        <v>639</v>
      </c>
      <c r="AI139" s="695"/>
    </row>
    <row r="140" spans="31:35">
      <c r="AE140" s="697" t="s">
        <v>209</v>
      </c>
      <c r="AF140" s="697" t="s">
        <v>209</v>
      </c>
      <c r="AG140" s="747" t="str">
        <f>ASC(【マスター】!$D$67)</f>
        <v>30</v>
      </c>
      <c r="AH140" s="695" t="s">
        <v>639</v>
      </c>
      <c r="AI140" s="695"/>
    </row>
    <row r="141" spans="31:35">
      <c r="AE141" s="697" t="s">
        <v>210</v>
      </c>
      <c r="AF141" s="697" t="s">
        <v>210</v>
      </c>
      <c r="AG141" s="747" t="str">
        <f>ASC(【マスター】!$D$68)</f>
        <v>60</v>
      </c>
      <c r="AH141" s="695" t="s">
        <v>639</v>
      </c>
      <c r="AI141" s="695"/>
    </row>
    <row r="142" spans="31:35">
      <c r="AE142" s="697" t="s">
        <v>1757</v>
      </c>
      <c r="AF142" s="697" t="s">
        <v>1757</v>
      </c>
      <c r="AG142" s="747" t="str">
        <f>ASC(【マスター】!$D$69)</f>
        <v>3</v>
      </c>
      <c r="AH142" s="695" t="s">
        <v>1770</v>
      </c>
      <c r="AI142" s="695"/>
    </row>
    <row r="143" spans="31:35">
      <c r="AE143" s="697" t="s">
        <v>647</v>
      </c>
      <c r="AF143" s="697" t="s">
        <v>647</v>
      </c>
      <c r="AG143" s="747" t="str">
        <f>ASC(【マスター】!$D$52)</f>
        <v>60</v>
      </c>
      <c r="AH143" s="695" t="s">
        <v>641</v>
      </c>
      <c r="AI143" s="695"/>
    </row>
    <row r="144" spans="31:35">
      <c r="AE144" s="697" t="s">
        <v>649</v>
      </c>
      <c r="AF144" s="697" t="s">
        <v>649</v>
      </c>
      <c r="AG144" s="747" t="str">
        <f>ASC(【マスター】!$D$53)</f>
        <v>60</v>
      </c>
      <c r="AH144" s="695" t="s">
        <v>641</v>
      </c>
      <c r="AI144" s="695"/>
    </row>
    <row r="145" spans="31:36">
      <c r="AE145" s="697" t="s">
        <v>651</v>
      </c>
      <c r="AF145" s="697" t="s">
        <v>1803</v>
      </c>
      <c r="AG145" s="747" t="str">
        <f>ASC(【マスター】!$D$61)</f>
        <v>200</v>
      </c>
      <c r="AH145" s="695" t="s">
        <v>600</v>
      </c>
      <c r="AI145" s="695" t="s">
        <v>652</v>
      </c>
    </row>
    <row r="146" spans="31:36">
      <c r="AE146" s="697" t="s">
        <v>1758</v>
      </c>
      <c r="AF146" s="697" t="s">
        <v>1758</v>
      </c>
      <c r="AG146" s="747" t="str">
        <f>ASC(【マスター】!$D$61)</f>
        <v>200</v>
      </c>
      <c r="AH146" s="695" t="s">
        <v>705</v>
      </c>
      <c r="AI146" s="695"/>
    </row>
    <row r="147" spans="31:36">
      <c r="AE147" s="697" t="s">
        <v>1879</v>
      </c>
      <c r="AF147" s="697" t="s">
        <v>1804</v>
      </c>
      <c r="AG147" s="747" t="str">
        <f>ASC(【マスター】!$D$63)</f>
        <v>20</v>
      </c>
      <c r="AH147" s="695" t="s">
        <v>600</v>
      </c>
      <c r="AI147" s="697" t="s">
        <v>1759</v>
      </c>
    </row>
    <row r="148" spans="31:36">
      <c r="AE148" s="697" t="s">
        <v>1880</v>
      </c>
      <c r="AF148" s="697" t="s">
        <v>1805</v>
      </c>
      <c r="AG148" s="747" t="str">
        <f>ASC(【マスター】!$D$64)</f>
        <v>5</v>
      </c>
      <c r="AH148" s="695" t="s">
        <v>692</v>
      </c>
      <c r="AI148" s="697" t="s">
        <v>1759</v>
      </c>
    </row>
    <row r="149" spans="31:36">
      <c r="AE149" s="697" t="s">
        <v>1760</v>
      </c>
      <c r="AF149" s="697" t="s">
        <v>1806</v>
      </c>
      <c r="AG149" s="747" t="str">
        <f>ASC(【マスター】!$D$65)</f>
        <v>150</v>
      </c>
      <c r="AH149" s="695" t="s">
        <v>600</v>
      </c>
      <c r="AI149" s="695" t="s">
        <v>652</v>
      </c>
    </row>
    <row r="150" spans="31:36">
      <c r="AE150" s="697" t="s">
        <v>1761</v>
      </c>
      <c r="AF150" s="697" t="s">
        <v>1807</v>
      </c>
      <c r="AG150" s="747" t="str">
        <f>ASC(【マスター】!$D$66)</f>
        <v>160</v>
      </c>
      <c r="AH150" s="695" t="s">
        <v>600</v>
      </c>
      <c r="AI150" s="695" t="s">
        <v>652</v>
      </c>
    </row>
    <row r="151" spans="31:36">
      <c r="AE151" s="697" t="s">
        <v>1871</v>
      </c>
      <c r="AF151" s="697" t="s">
        <v>1872</v>
      </c>
      <c r="AG151" s="695" t="str">
        <f>ASC(【マスター】!$D$73)</f>
        <v>40</v>
      </c>
      <c r="AH151" s="695" t="s">
        <v>1873</v>
      </c>
      <c r="AI151" s="695"/>
    </row>
    <row r="152" spans="31:36">
      <c r="AE152" s="697" t="s">
        <v>169</v>
      </c>
      <c r="AF152" s="697" t="s">
        <v>1808</v>
      </c>
      <c r="AG152" s="747" t="str">
        <f>ASC("-"&amp;【マスター】!$K$53)</f>
        <v>-47</v>
      </c>
      <c r="AH152" s="695" t="s">
        <v>600</v>
      </c>
      <c r="AI152" s="695" t="s">
        <v>654</v>
      </c>
    </row>
    <row r="153" spans="31:36">
      <c r="AE153" s="695" t="s">
        <v>1909</v>
      </c>
      <c r="AF153" s="695" t="s">
        <v>1909</v>
      </c>
      <c r="AG153" s="747" t="str">
        <f>ASC("-"&amp;【マスター】!$K$54)</f>
        <v>-94</v>
      </c>
      <c r="AH153" s="747" t="s">
        <v>91</v>
      </c>
      <c r="AI153" s="747"/>
      <c r="AJ153" s="748"/>
    </row>
    <row r="154" spans="31:36">
      <c r="AE154" s="484" t="s">
        <v>613</v>
      </c>
    </row>
    <row r="155" spans="31:36">
      <c r="AE155" s="729" t="s">
        <v>595</v>
      </c>
      <c r="AF155" s="320" t="s">
        <v>588</v>
      </c>
      <c r="AG155" s="320" t="s">
        <v>589</v>
      </c>
      <c r="AH155" s="320" t="s">
        <v>590</v>
      </c>
      <c r="AI155" s="320" t="s">
        <v>596</v>
      </c>
    </row>
    <row r="156" spans="31:36">
      <c r="AE156" s="730" t="s">
        <v>707</v>
      </c>
      <c r="AF156" s="315" t="s">
        <v>708</v>
      </c>
      <c r="AG156" s="694">
        <f>$AG$158*0.7</f>
        <v>486.49999999999994</v>
      </c>
      <c r="AH156" s="315" t="s">
        <v>692</v>
      </c>
      <c r="AI156" s="315"/>
      <c r="AJ156" s="315"/>
    </row>
    <row r="157" spans="31:36">
      <c r="AE157" s="730" t="s">
        <v>709</v>
      </c>
      <c r="AF157" s="315" t="s">
        <v>710</v>
      </c>
      <c r="AG157" s="315">
        <f>【マスター】!$Z$18</f>
        <v>663</v>
      </c>
      <c r="AH157" s="315" t="s">
        <v>692</v>
      </c>
      <c r="AI157" s="325"/>
      <c r="AJ157" s="324"/>
    </row>
    <row r="158" spans="31:36">
      <c r="AE158" s="730" t="s">
        <v>711</v>
      </c>
      <c r="AF158" s="315" t="s">
        <v>712</v>
      </c>
      <c r="AG158" s="315">
        <f>【マスター】!$AE$18</f>
        <v>695</v>
      </c>
      <c r="AH158" s="315" t="s">
        <v>692</v>
      </c>
      <c r="AI158" s="315"/>
      <c r="AJ158" s="315"/>
    </row>
    <row r="159" spans="31:36">
      <c r="AE159" s="730" t="s">
        <v>713</v>
      </c>
      <c r="AF159" s="324" t="s">
        <v>714</v>
      </c>
      <c r="AG159" s="762">
        <f>【マスター】!$AJ$18</f>
        <v>1134</v>
      </c>
      <c r="AH159" s="315" t="s">
        <v>692</v>
      </c>
      <c r="AI159" s="315"/>
      <c r="AJ159" s="315"/>
    </row>
    <row r="160" spans="31:36">
      <c r="AE160" s="730" t="s">
        <v>715</v>
      </c>
      <c r="AF160" s="315" t="s">
        <v>716</v>
      </c>
      <c r="AG160" s="762">
        <f>【マスター】!$AO$18</f>
        <v>1172</v>
      </c>
      <c r="AH160" s="315" t="s">
        <v>692</v>
      </c>
      <c r="AI160" s="315"/>
      <c r="AJ160" s="315"/>
    </row>
    <row r="161" spans="31:36">
      <c r="AE161" s="730" t="s">
        <v>717</v>
      </c>
      <c r="AF161" s="315" t="s">
        <v>718</v>
      </c>
      <c r="AG161" s="315">
        <f>【マスター】!$AT$18</f>
        <v>1312</v>
      </c>
      <c r="AH161" s="315" t="s">
        <v>692</v>
      </c>
      <c r="AI161" s="315"/>
      <c r="AJ161" s="315"/>
    </row>
    <row r="162" spans="31:36">
      <c r="AE162" s="730" t="s">
        <v>593</v>
      </c>
      <c r="AF162" s="315" t="s">
        <v>719</v>
      </c>
      <c r="AG162" s="762">
        <f>【マスター】!$AY$18</f>
        <v>1365</v>
      </c>
      <c r="AH162" s="315" t="s">
        <v>692</v>
      </c>
      <c r="AI162" s="315"/>
      <c r="AJ162" s="315"/>
    </row>
    <row r="163" spans="31:36">
      <c r="AE163" s="730" t="s">
        <v>1857</v>
      </c>
      <c r="AF163" s="315" t="s">
        <v>1796</v>
      </c>
      <c r="AG163" s="315">
        <v>50</v>
      </c>
      <c r="AH163" s="315" t="s">
        <v>692</v>
      </c>
      <c r="AI163" s="315"/>
    </row>
    <row r="164" spans="31:36">
      <c r="AE164" s="730" t="s">
        <v>1858</v>
      </c>
      <c r="AF164" s="315" t="s">
        <v>1797</v>
      </c>
      <c r="AG164" s="315">
        <v>100</v>
      </c>
      <c r="AH164" s="315" t="s">
        <v>692</v>
      </c>
      <c r="AI164" s="315"/>
    </row>
    <row r="165" spans="31:36">
      <c r="AE165" s="730" t="s">
        <v>1859</v>
      </c>
      <c r="AF165" s="315" t="s">
        <v>1798</v>
      </c>
      <c r="AG165" s="315">
        <v>150</v>
      </c>
      <c r="AH165" s="315" t="s">
        <v>692</v>
      </c>
      <c r="AI165" s="325"/>
    </row>
    <row r="166" spans="31:36">
      <c r="AE166" s="730" t="s">
        <v>1860</v>
      </c>
      <c r="AF166" s="315" t="s">
        <v>1799</v>
      </c>
      <c r="AG166" s="315">
        <v>200</v>
      </c>
      <c r="AH166" s="315" t="s">
        <v>692</v>
      </c>
      <c r="AI166" s="315"/>
    </row>
    <row r="167" spans="31:36">
      <c r="AE167" s="730" t="s">
        <v>1861</v>
      </c>
      <c r="AF167" s="315" t="s">
        <v>1800</v>
      </c>
      <c r="AG167" s="315">
        <v>250</v>
      </c>
      <c r="AH167" s="315" t="s">
        <v>692</v>
      </c>
      <c r="AI167" s="315"/>
    </row>
    <row r="168" spans="31:36">
      <c r="AE168" s="697" t="s">
        <v>1751</v>
      </c>
      <c r="AF168" s="695" t="s">
        <v>1751</v>
      </c>
      <c r="AG168" s="747" t="str">
        <f>ASC(【マスター】!$D$50)</f>
        <v>40</v>
      </c>
      <c r="AH168" s="695" t="s">
        <v>1769</v>
      </c>
      <c r="AI168" s="695"/>
    </row>
    <row r="169" spans="31:36">
      <c r="AE169" s="697" t="s">
        <v>1752</v>
      </c>
      <c r="AF169" s="695" t="s">
        <v>1752</v>
      </c>
      <c r="AG169" s="747" t="str">
        <f>ASC(【マスター】!$D$51)</f>
        <v>55</v>
      </c>
      <c r="AH169" s="695" t="s">
        <v>1769</v>
      </c>
      <c r="AI169" s="695"/>
    </row>
    <row r="170" spans="31:36">
      <c r="AE170" s="697" t="s">
        <v>638</v>
      </c>
      <c r="AF170" s="695" t="s">
        <v>638</v>
      </c>
      <c r="AG170" s="761" t="str">
        <f>ASC(【マスター】!$D$54)</f>
        <v>45</v>
      </c>
      <c r="AH170" s="695" t="s">
        <v>600</v>
      </c>
      <c r="AI170" s="696"/>
    </row>
    <row r="171" spans="31:36">
      <c r="AE171" s="697" t="s">
        <v>1753</v>
      </c>
      <c r="AF171" s="697" t="s">
        <v>1802</v>
      </c>
      <c r="AG171" s="747" t="str">
        <f>ASC(【マスター】!$D$70)</f>
        <v>100</v>
      </c>
      <c r="AH171" s="695" t="s">
        <v>639</v>
      </c>
      <c r="AI171" s="716" t="s">
        <v>1801</v>
      </c>
    </row>
    <row r="172" spans="31:36">
      <c r="AE172" s="697" t="s">
        <v>1754</v>
      </c>
      <c r="AF172" s="697" t="s">
        <v>1754</v>
      </c>
      <c r="AG172" s="747" t="str">
        <f>ASC(【マスター】!$D$71)</f>
        <v>100</v>
      </c>
      <c r="AH172" s="695" t="s">
        <v>639</v>
      </c>
      <c r="AI172" s="695"/>
    </row>
    <row r="173" spans="31:36">
      <c r="AE173" s="697" t="s">
        <v>1755</v>
      </c>
      <c r="AF173" s="697" t="s">
        <v>1755</v>
      </c>
      <c r="AG173" s="747" t="str">
        <f>ASC(【マスター】!$D$55)</f>
        <v>56</v>
      </c>
      <c r="AH173" s="695" t="s">
        <v>641</v>
      </c>
      <c r="AI173" s="695"/>
    </row>
    <row r="174" spans="31:36">
      <c r="AE174" s="697" t="s">
        <v>1756</v>
      </c>
      <c r="AF174" s="697" t="s">
        <v>1756</v>
      </c>
      <c r="AG174" s="747" t="str">
        <f>ASC(【マスター】!$D$56)</f>
        <v>76</v>
      </c>
      <c r="AH174" s="695" t="s">
        <v>706</v>
      </c>
      <c r="AI174" s="695"/>
    </row>
    <row r="175" spans="31:36">
      <c r="AE175" s="697" t="s">
        <v>644</v>
      </c>
      <c r="AF175" s="697" t="s">
        <v>644</v>
      </c>
      <c r="AG175" s="747" t="str">
        <f>ASC(【マスター】!$D$57)</f>
        <v>20</v>
      </c>
      <c r="AH175" s="695" t="s">
        <v>639</v>
      </c>
      <c r="AI175" s="695"/>
    </row>
    <row r="176" spans="31:36">
      <c r="AE176" s="697" t="s">
        <v>209</v>
      </c>
      <c r="AF176" s="697" t="s">
        <v>209</v>
      </c>
      <c r="AG176" s="747" t="str">
        <f>ASC(【マスター】!$D$67)</f>
        <v>30</v>
      </c>
      <c r="AH176" s="695" t="s">
        <v>639</v>
      </c>
      <c r="AI176" s="695"/>
    </row>
    <row r="177" spans="31:36">
      <c r="AE177" s="697" t="s">
        <v>210</v>
      </c>
      <c r="AF177" s="697" t="s">
        <v>210</v>
      </c>
      <c r="AG177" s="747" t="str">
        <f>ASC(【マスター】!$D$68)</f>
        <v>60</v>
      </c>
      <c r="AH177" s="695" t="s">
        <v>639</v>
      </c>
      <c r="AI177" s="695"/>
    </row>
    <row r="178" spans="31:36">
      <c r="AE178" s="697" t="s">
        <v>1757</v>
      </c>
      <c r="AF178" s="697" t="s">
        <v>1757</v>
      </c>
      <c r="AG178" s="747" t="str">
        <f>ASC(【マスター】!$D$69)</f>
        <v>3</v>
      </c>
      <c r="AH178" s="695" t="s">
        <v>1770</v>
      </c>
      <c r="AI178" s="695"/>
    </row>
    <row r="179" spans="31:36">
      <c r="AE179" s="697" t="s">
        <v>647</v>
      </c>
      <c r="AF179" s="697" t="s">
        <v>647</v>
      </c>
      <c r="AG179" s="747" t="str">
        <f>ASC(【マスター】!$D$52)</f>
        <v>60</v>
      </c>
      <c r="AH179" s="695" t="s">
        <v>641</v>
      </c>
      <c r="AI179" s="695"/>
    </row>
    <row r="180" spans="31:36">
      <c r="AE180" s="697" t="s">
        <v>649</v>
      </c>
      <c r="AF180" s="697" t="s">
        <v>649</v>
      </c>
      <c r="AG180" s="747" t="str">
        <f>ASC(【マスター】!$D$53)</f>
        <v>60</v>
      </c>
      <c r="AH180" s="695" t="s">
        <v>641</v>
      </c>
      <c r="AI180" s="695"/>
    </row>
    <row r="181" spans="31:36">
      <c r="AE181" s="697" t="s">
        <v>651</v>
      </c>
      <c r="AF181" s="697" t="s">
        <v>1803</v>
      </c>
      <c r="AG181" s="747" t="str">
        <f>ASC(【マスター】!$D$61)</f>
        <v>200</v>
      </c>
      <c r="AH181" s="695" t="s">
        <v>600</v>
      </c>
      <c r="AI181" s="695" t="s">
        <v>652</v>
      </c>
    </row>
    <row r="182" spans="31:36">
      <c r="AE182" s="697" t="s">
        <v>1758</v>
      </c>
      <c r="AF182" s="697" t="s">
        <v>1758</v>
      </c>
      <c r="AG182" s="747" t="str">
        <f>ASC(【マスター】!$D$61)</f>
        <v>200</v>
      </c>
      <c r="AH182" s="695" t="s">
        <v>705</v>
      </c>
      <c r="AI182" s="695"/>
    </row>
    <row r="183" spans="31:36">
      <c r="AE183" s="697" t="s">
        <v>1879</v>
      </c>
      <c r="AF183" s="697" t="s">
        <v>1804</v>
      </c>
      <c r="AG183" s="747" t="str">
        <f>ASC(【マスター】!$D$63)</f>
        <v>20</v>
      </c>
      <c r="AH183" s="695" t="s">
        <v>600</v>
      </c>
      <c r="AI183" s="697" t="s">
        <v>1759</v>
      </c>
    </row>
    <row r="184" spans="31:36">
      <c r="AE184" s="697" t="s">
        <v>1880</v>
      </c>
      <c r="AF184" s="697" t="s">
        <v>1805</v>
      </c>
      <c r="AG184" s="747" t="str">
        <f>ASC(【マスター】!$D$64)</f>
        <v>5</v>
      </c>
      <c r="AH184" s="695" t="s">
        <v>692</v>
      </c>
      <c r="AI184" s="697" t="s">
        <v>1759</v>
      </c>
    </row>
    <row r="185" spans="31:36">
      <c r="AE185" s="697" t="s">
        <v>1760</v>
      </c>
      <c r="AF185" s="697" t="s">
        <v>1806</v>
      </c>
      <c r="AG185" s="747" t="str">
        <f>ASC(【マスター】!$D$65)</f>
        <v>150</v>
      </c>
      <c r="AH185" s="695" t="s">
        <v>600</v>
      </c>
      <c r="AI185" s="695" t="s">
        <v>652</v>
      </c>
    </row>
    <row r="186" spans="31:36">
      <c r="AE186" s="697" t="s">
        <v>1761</v>
      </c>
      <c r="AF186" s="697" t="s">
        <v>1807</v>
      </c>
      <c r="AG186" s="747" t="str">
        <f>ASC(【マスター】!$D$66)</f>
        <v>160</v>
      </c>
      <c r="AH186" s="695" t="s">
        <v>600</v>
      </c>
      <c r="AI186" s="695" t="s">
        <v>652</v>
      </c>
    </row>
    <row r="187" spans="31:36">
      <c r="AE187" s="697" t="s">
        <v>1871</v>
      </c>
      <c r="AF187" s="697" t="s">
        <v>1872</v>
      </c>
      <c r="AG187" s="695" t="str">
        <f>ASC(【マスター】!$D$73)</f>
        <v>40</v>
      </c>
      <c r="AH187" s="695" t="s">
        <v>1873</v>
      </c>
      <c r="AI187" s="695"/>
    </row>
    <row r="188" spans="31:36">
      <c r="AE188" s="697" t="s">
        <v>169</v>
      </c>
      <c r="AF188" s="697" t="s">
        <v>1808</v>
      </c>
      <c r="AG188" s="747" t="str">
        <f>ASC("-"&amp;【マスター】!$K$53)</f>
        <v>-47</v>
      </c>
      <c r="AH188" s="695" t="s">
        <v>600</v>
      </c>
      <c r="AI188" s="695" t="s">
        <v>654</v>
      </c>
    </row>
    <row r="189" spans="31:36">
      <c r="AE189" s="695" t="s">
        <v>1909</v>
      </c>
      <c r="AF189" s="695" t="s">
        <v>1909</v>
      </c>
      <c r="AG189" s="747" t="str">
        <f>ASC("-"&amp;【マスター】!$K$54)</f>
        <v>-94</v>
      </c>
      <c r="AH189" s="747" t="s">
        <v>91</v>
      </c>
      <c r="AI189" s="747"/>
      <c r="AJ189" s="748"/>
    </row>
  </sheetData>
  <sheetProtection selectLockedCells="1"/>
  <mergeCells count="133">
    <mergeCell ref="T18:X18"/>
    <mergeCell ref="N20:P20"/>
    <mergeCell ref="O28:X28"/>
    <mergeCell ref="O29:X30"/>
    <mergeCell ref="E24:E26"/>
    <mergeCell ref="F24:H25"/>
    <mergeCell ref="I24:I26"/>
    <mergeCell ref="J24:L24"/>
    <mergeCell ref="J25:L25"/>
    <mergeCell ref="F26:H26"/>
    <mergeCell ref="J26:L26"/>
    <mergeCell ref="I30:K30"/>
    <mergeCell ref="E29:G29"/>
    <mergeCell ref="I28:K29"/>
    <mergeCell ref="K20:M21"/>
    <mergeCell ref="O42:S42"/>
    <mergeCell ref="T42:X42"/>
    <mergeCell ref="A44:F44"/>
    <mergeCell ref="G44:G46"/>
    <mergeCell ref="H44:M44"/>
    <mergeCell ref="N44:N46"/>
    <mergeCell ref="O44:X44"/>
    <mergeCell ref="A45:F46"/>
    <mergeCell ref="H45:M46"/>
    <mergeCell ref="O45:X46"/>
    <mergeCell ref="B41:N41"/>
    <mergeCell ref="O41:Q41"/>
    <mergeCell ref="T41:X41"/>
    <mergeCell ref="B39:N39"/>
    <mergeCell ref="O39:Q39"/>
    <mergeCell ref="T39:X39"/>
    <mergeCell ref="B40:N40"/>
    <mergeCell ref="O40:Q40"/>
    <mergeCell ref="T40:X40"/>
    <mergeCell ref="B37:N37"/>
    <mergeCell ref="O37:Q37"/>
    <mergeCell ref="T37:X37"/>
    <mergeCell ref="B38:N38"/>
    <mergeCell ref="O38:Q38"/>
    <mergeCell ref="T38:X38"/>
    <mergeCell ref="B35:N35"/>
    <mergeCell ref="O35:Q35"/>
    <mergeCell ref="T35:X35"/>
    <mergeCell ref="B36:N36"/>
    <mergeCell ref="O36:Q36"/>
    <mergeCell ref="T36:X36"/>
    <mergeCell ref="B33:N33"/>
    <mergeCell ref="O33:Q33"/>
    <mergeCell ref="T33:X33"/>
    <mergeCell ref="B34:N34"/>
    <mergeCell ref="O34:Q34"/>
    <mergeCell ref="T34:X34"/>
    <mergeCell ref="A30:C30"/>
    <mergeCell ref="E30:G30"/>
    <mergeCell ref="B32:N32"/>
    <mergeCell ref="O32:Q32"/>
    <mergeCell ref="R32:S32"/>
    <mergeCell ref="T32:X32"/>
    <mergeCell ref="A28:C28"/>
    <mergeCell ref="D28:D30"/>
    <mergeCell ref="E28:G28"/>
    <mergeCell ref="H28:H30"/>
    <mergeCell ref="A29:C29"/>
    <mergeCell ref="E22:G22"/>
    <mergeCell ref="D20:D22"/>
    <mergeCell ref="E20:G20"/>
    <mergeCell ref="A22:C22"/>
    <mergeCell ref="H22:J22"/>
    <mergeCell ref="E21:G21"/>
    <mergeCell ref="A20:C21"/>
    <mergeCell ref="A24:D25"/>
    <mergeCell ref="A26:D26"/>
    <mergeCell ref="H20:J20"/>
    <mergeCell ref="H21:J21"/>
    <mergeCell ref="B10:H10"/>
    <mergeCell ref="I10:N10"/>
    <mergeCell ref="O10:Q10"/>
    <mergeCell ref="R10:S10"/>
    <mergeCell ref="T10:X10"/>
    <mergeCell ref="N21:P21"/>
    <mergeCell ref="T22:V22"/>
    <mergeCell ref="N22:P22"/>
    <mergeCell ref="Q20:S21"/>
    <mergeCell ref="T20:V21"/>
    <mergeCell ref="Q22:S22"/>
    <mergeCell ref="B16:H16"/>
    <mergeCell ref="I16:N16"/>
    <mergeCell ref="O16:Q16"/>
    <mergeCell ref="T16:X16"/>
    <mergeCell ref="W20:X22"/>
    <mergeCell ref="K22:M22"/>
    <mergeCell ref="B17:H17"/>
    <mergeCell ref="I17:N17"/>
    <mergeCell ref="O17:Q17"/>
    <mergeCell ref="T17:X17"/>
    <mergeCell ref="O18:S18"/>
    <mergeCell ref="B15:H15"/>
    <mergeCell ref="I15:N15"/>
    <mergeCell ref="O15:Q15"/>
    <mergeCell ref="T15:X15"/>
    <mergeCell ref="B13:H13"/>
    <mergeCell ref="I13:N13"/>
    <mergeCell ref="O13:Q13"/>
    <mergeCell ref="T13:X13"/>
    <mergeCell ref="B11:H11"/>
    <mergeCell ref="I11:N11"/>
    <mergeCell ref="O11:Q11"/>
    <mergeCell ref="T11:X11"/>
    <mergeCell ref="B12:H12"/>
    <mergeCell ref="B14:H14"/>
    <mergeCell ref="I14:N14"/>
    <mergeCell ref="O14:Q14"/>
    <mergeCell ref="T14:X14"/>
    <mergeCell ref="I12:N12"/>
    <mergeCell ref="O12:Q12"/>
    <mergeCell ref="T12:X12"/>
    <mergeCell ref="A2:X2"/>
    <mergeCell ref="A4:X4"/>
    <mergeCell ref="A5:C6"/>
    <mergeCell ref="D5:X5"/>
    <mergeCell ref="U6:X7"/>
    <mergeCell ref="A7:C8"/>
    <mergeCell ref="U8:X8"/>
    <mergeCell ref="D6:F7"/>
    <mergeCell ref="D8:F8"/>
    <mergeCell ref="G6:J7"/>
    <mergeCell ref="G8:J8"/>
    <mergeCell ref="O6:Q7"/>
    <mergeCell ref="R6:T7"/>
    <mergeCell ref="R8:T8"/>
    <mergeCell ref="O8:Q8"/>
    <mergeCell ref="K6:N7"/>
    <mergeCell ref="K8:N8"/>
  </mergeCells>
  <phoneticPr fontId="16"/>
  <conditionalFormatting sqref="T18">
    <cfRule type="expression" dxfId="0" priority="7">
      <formula>$T$18&gt;$AB$30</formula>
    </cfRule>
  </conditionalFormatting>
  <dataValidations count="5">
    <dataValidation type="list" allowBlank="1" showInputMessage="1" showErrorMessage="1" sqref="AE2" xr:uid="{00000000-0002-0000-0800-000000000000}">
      <formula1>$AA$5:$AA$8</formula1>
    </dataValidation>
    <dataValidation type="list" allowBlank="1" showInputMessage="1" showErrorMessage="1" sqref="A7:C8" xr:uid="{00000000-0002-0000-0800-000001000000}">
      <formula1>$AD$12:$AD$16</formula1>
    </dataValidation>
    <dataValidation type="list" allowBlank="1" showInputMessage="1" showErrorMessage="1" sqref="B11:B17" xr:uid="{00000000-0002-0000-0800-000002000000}">
      <formula1>INDIRECT($A$7)</formula1>
    </dataValidation>
    <dataValidation type="list" allowBlank="1" showInputMessage="1" showErrorMessage="1" sqref="U8" xr:uid="{00000000-0002-0000-0800-000003000000}">
      <formula1>"有,算定なし"</formula1>
    </dataValidation>
    <dataValidation type="list" allowBlank="1" showInputMessage="1" showErrorMessage="1" sqref="B33:N41" xr:uid="{00000000-0002-0000-0800-000004000000}">
      <formula1>$AK$31:$AK$40</formula1>
    </dataValidation>
  </dataValidations>
  <printOptions horizontalCentered="1"/>
  <pageMargins left="0.59055118110236227" right="0.59055118110236227" top="0.59055118110236227" bottom="0.39370078740157483" header="0.31496062992125984" footer="0.19685039370078741"/>
  <pageSetup paperSize="9" scale="9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FF00"/>
    <pageSetUpPr fitToPage="1"/>
  </sheetPr>
  <dimension ref="A1:S63"/>
  <sheetViews>
    <sheetView view="pageBreakPreview" zoomScaleNormal="100" zoomScaleSheetLayoutView="100" workbookViewId="0">
      <selection activeCell="B5" sqref="B5"/>
    </sheetView>
  </sheetViews>
  <sheetFormatPr defaultColWidth="9" defaultRowHeight="18.75"/>
  <cols>
    <col min="1" max="1" width="3.875" style="398" bestFit="1" customWidth="1"/>
    <col min="2" max="2" width="15.125" style="398" bestFit="1" customWidth="1"/>
    <col min="3" max="3" width="9.875" style="398" bestFit="1" customWidth="1"/>
    <col min="4" max="4" width="15.125" style="398" bestFit="1" customWidth="1"/>
    <col min="5" max="5" width="9" style="398"/>
    <col min="6" max="6" width="15.125" style="398" bestFit="1" customWidth="1"/>
    <col min="7" max="7" width="9" style="398"/>
    <col min="8" max="8" width="15.125" style="398" bestFit="1" customWidth="1"/>
    <col min="9" max="9" width="9" style="398"/>
    <col min="10" max="10" width="15.125" style="398" bestFit="1" customWidth="1"/>
    <col min="11" max="11" width="9" style="398"/>
    <col min="12" max="15" width="9" style="398" customWidth="1"/>
    <col min="16" max="16" width="11.125" style="398" customWidth="1"/>
    <col min="17" max="20" width="9" style="398" customWidth="1"/>
    <col min="21" max="16384" width="9" style="398"/>
  </cols>
  <sheetData>
    <row r="1" spans="1:19">
      <c r="A1" s="1991" t="s">
        <v>1278</v>
      </c>
      <c r="B1" s="1992"/>
      <c r="C1" s="1992"/>
      <c r="D1" s="1992"/>
      <c r="E1" s="1993"/>
      <c r="F1" s="1997" t="s">
        <v>1279</v>
      </c>
      <c r="G1" s="1998"/>
      <c r="H1" s="1998"/>
      <c r="I1" s="1998"/>
      <c r="J1" s="1998"/>
      <c r="K1" s="1998"/>
    </row>
    <row r="2" spans="1:19">
      <c r="A2" s="1994"/>
      <c r="B2" s="1995"/>
      <c r="C2" s="1995"/>
      <c r="D2" s="1995"/>
      <c r="E2" s="1996"/>
      <c r="F2" s="1999" t="s">
        <v>1280</v>
      </c>
      <c r="G2" s="1999"/>
      <c r="H2" s="444" t="s">
        <v>1281</v>
      </c>
      <c r="I2" s="542" t="s">
        <v>1282</v>
      </c>
      <c r="J2" s="400" t="str">
        <f>【マスター】!$D$40</f>
        <v>7級地</v>
      </c>
      <c r="K2" s="401">
        <f>【マスター】!$F$40</f>
        <v>10.14</v>
      </c>
      <c r="O2" s="1987" t="s">
        <v>1283</v>
      </c>
      <c r="P2" s="1987"/>
      <c r="Q2" s="1987"/>
      <c r="R2" s="1987"/>
      <c r="S2" s="1987"/>
    </row>
    <row r="3" spans="1:19" ht="5.0999999999999996" customHeight="1" thickBot="1"/>
    <row r="4" spans="1:19" ht="19.5" thickBot="1">
      <c r="A4" s="402"/>
      <c r="B4" s="1988" t="s">
        <v>1284</v>
      </c>
      <c r="C4" s="1989"/>
      <c r="D4" s="1989" t="s">
        <v>1285</v>
      </c>
      <c r="E4" s="1989"/>
      <c r="F4" s="1989" t="s">
        <v>1286</v>
      </c>
      <c r="G4" s="1989"/>
      <c r="H4" s="1989" t="s">
        <v>1287</v>
      </c>
      <c r="I4" s="1989"/>
      <c r="J4" s="1989" t="s">
        <v>1288</v>
      </c>
      <c r="K4" s="1990"/>
      <c r="M4" s="403">
        <f>VLOOKUP(H2,O4:Q7,3,FALSE)</f>
        <v>0.9</v>
      </c>
      <c r="O4" s="444" t="s">
        <v>1289</v>
      </c>
      <c r="P4" s="399" t="s">
        <v>1290</v>
      </c>
      <c r="Q4" s="403">
        <v>0.9</v>
      </c>
    </row>
    <row r="5" spans="1:19" ht="19.5" customHeight="1">
      <c r="A5" s="2000" t="s">
        <v>1291</v>
      </c>
      <c r="B5" s="404" t="s">
        <v>1252</v>
      </c>
      <c r="C5" s="405">
        <f>ROUNDDOWN(P9*2*$K$2,0)-(ROUNDDOWN(P9*2*$K$2*$M$4,0))</f>
        <v>1588</v>
      </c>
      <c r="D5" s="406" t="s">
        <v>1256</v>
      </c>
      <c r="E5" s="407">
        <f>ROUNDDOWN(P10*2*$K$2,0)-(ROUNDDOWN(P10*2*$K$2*$M$4,0))</f>
        <v>1876</v>
      </c>
      <c r="F5" s="406" t="s">
        <v>1258</v>
      </c>
      <c r="G5" s="407">
        <f>ROUNDDOWN(P11*2*$K$2,0)-(ROUNDDOWN(P11*2*$K$2*$M$4,0))</f>
        <v>2174</v>
      </c>
      <c r="H5" s="406" t="s">
        <v>1259</v>
      </c>
      <c r="I5" s="407">
        <f>ROUNDDOWN(P12*2*$K$2,0)-(ROUNDDOWN(P12*2*$K$2*$M$4,0))</f>
        <v>2474</v>
      </c>
      <c r="J5" s="406" t="s">
        <v>1261</v>
      </c>
      <c r="K5" s="408">
        <f>ROUNDDOWN(P13*2*$K$2,0)-(ROUNDDOWN(P13*2*$K$2*$M$4,0))</f>
        <v>2769</v>
      </c>
      <c r="O5" s="399" t="s">
        <v>1281</v>
      </c>
      <c r="P5" s="399" t="s">
        <v>1292</v>
      </c>
      <c r="Q5" s="403">
        <v>0.9</v>
      </c>
    </row>
    <row r="6" spans="1:19">
      <c r="A6" s="2001"/>
      <c r="B6" s="409" t="str">
        <f>IF(【マスター】!C51="有","入浴介助加算(Ⅱ)","入浴介助加算(Ⅰ)")</f>
        <v>入浴介助加算(Ⅱ)</v>
      </c>
      <c r="C6" s="410">
        <f>ROUNDDOWN(Q15*2,0)-ROUNDDOWN(Q15*2*$M$4,0)</f>
        <v>112</v>
      </c>
      <c r="D6" s="411" t="str">
        <f>IF(【マスター】!C51="有","入浴介助加算(Ⅱ)","入浴介助加算(Ⅰ)")</f>
        <v>入浴介助加算(Ⅱ)</v>
      </c>
      <c r="E6" s="412">
        <f>C6</f>
        <v>112</v>
      </c>
      <c r="F6" s="411" t="str">
        <f>IF(【マスター】!C51="有","入浴介助加算(Ⅱ)","入浴介助加算(Ⅰ)")</f>
        <v>入浴介助加算(Ⅱ)</v>
      </c>
      <c r="G6" s="412">
        <f>C6</f>
        <v>112</v>
      </c>
      <c r="H6" s="411" t="str">
        <f>IF(【マスター】!C51="有","入浴介助加算(Ⅱ)","入浴介助加算(Ⅰ)")</f>
        <v>入浴介助加算(Ⅱ)</v>
      </c>
      <c r="I6" s="412">
        <f>C6</f>
        <v>112</v>
      </c>
      <c r="J6" s="411" t="str">
        <f>IF(【マスター】!C51="有","入浴介助加算(Ⅱ)","入浴介助加算(Ⅰ)")</f>
        <v>入浴介助加算(Ⅱ)</v>
      </c>
      <c r="K6" s="413">
        <f>C6</f>
        <v>112</v>
      </c>
      <c r="O6" s="399" t="s">
        <v>1293</v>
      </c>
      <c r="P6" s="399" t="s">
        <v>1294</v>
      </c>
      <c r="Q6" s="403">
        <v>0.8</v>
      </c>
    </row>
    <row r="7" spans="1:19">
      <c r="A7" s="2001"/>
      <c r="B7" s="409" t="s">
        <v>1295</v>
      </c>
      <c r="C7" s="410">
        <f>ROUNDDOWN(Q16*2,0)-ROUNDDOWN(Q16*2*$M$4,0)</f>
        <v>-96</v>
      </c>
      <c r="D7" s="411" t="s">
        <v>1295</v>
      </c>
      <c r="E7" s="412">
        <f>C7</f>
        <v>-96</v>
      </c>
      <c r="F7" s="411" t="s">
        <v>1295</v>
      </c>
      <c r="G7" s="412">
        <f>C7</f>
        <v>-96</v>
      </c>
      <c r="H7" s="411" t="s">
        <v>1295</v>
      </c>
      <c r="I7" s="412">
        <f>C7</f>
        <v>-96</v>
      </c>
      <c r="J7" s="411" t="s">
        <v>1295</v>
      </c>
      <c r="K7" s="413">
        <f>C7</f>
        <v>-96</v>
      </c>
      <c r="O7" s="399" t="s">
        <v>1296</v>
      </c>
      <c r="P7" s="399" t="s">
        <v>1297</v>
      </c>
      <c r="Q7" s="403">
        <v>0.7</v>
      </c>
    </row>
    <row r="8" spans="1:19" ht="19.5" thickBot="1">
      <c r="A8" s="2001"/>
      <c r="B8" s="414" t="s">
        <v>1298</v>
      </c>
      <c r="C8" s="415">
        <f>IF($H$2=$O$4,-(SUM(C5:C7)),0)</f>
        <v>0</v>
      </c>
      <c r="D8" s="416" t="s">
        <v>1298</v>
      </c>
      <c r="E8" s="415">
        <f>IF($H$2=$O$4,-(SUM(E5:E7)),0)</f>
        <v>0</v>
      </c>
      <c r="F8" s="416" t="s">
        <v>1298</v>
      </c>
      <c r="G8" s="415">
        <f>IF($H$2=$O$4,-(SUM(G5:G7)),0)</f>
        <v>0</v>
      </c>
      <c r="H8" s="416" t="s">
        <v>1298</v>
      </c>
      <c r="I8" s="415">
        <f>IF($H$2=$O$4,-(SUM(I5:I7)),0)</f>
        <v>0</v>
      </c>
      <c r="J8" s="416" t="s">
        <v>1298</v>
      </c>
      <c r="K8" s="417">
        <f>IF($H$2=$O$4,-(SUM(K5:K7)),0)</f>
        <v>0</v>
      </c>
      <c r="R8" s="418" t="s">
        <v>1299</v>
      </c>
    </row>
    <row r="9" spans="1:19" ht="19.5" thickTop="1">
      <c r="A9" s="2001"/>
      <c r="B9" s="419" t="s">
        <v>1257</v>
      </c>
      <c r="C9" s="742">
        <f>P20*1</f>
        <v>500</v>
      </c>
      <c r="D9" s="421" t="s">
        <v>1257</v>
      </c>
      <c r="E9" s="422">
        <f>C9</f>
        <v>500</v>
      </c>
      <c r="F9" s="421" t="s">
        <v>1257</v>
      </c>
      <c r="G9" s="422">
        <f>C9</f>
        <v>500</v>
      </c>
      <c r="H9" s="421" t="s">
        <v>1257</v>
      </c>
      <c r="I9" s="422">
        <f>C9</f>
        <v>500</v>
      </c>
      <c r="J9" s="421" t="s">
        <v>1257</v>
      </c>
      <c r="K9" s="423">
        <f>C9</f>
        <v>500</v>
      </c>
      <c r="O9" s="403" t="str">
        <f>【マスター】!P30</f>
        <v>要介護1</v>
      </c>
      <c r="P9" s="424" t="str">
        <f>ASC(【マスター】!Q30)</f>
        <v>783</v>
      </c>
      <c r="Q9" s="425" t="str">
        <f>ASC(【マスター】!R30)</f>
        <v>7,939</v>
      </c>
      <c r="R9" s="398">
        <v>25</v>
      </c>
      <c r="S9" s="398">
        <f>31-R9</f>
        <v>6</v>
      </c>
    </row>
    <row r="10" spans="1:19">
      <c r="A10" s="2001"/>
      <c r="B10" s="409" t="s">
        <v>1260</v>
      </c>
      <c r="C10" s="743">
        <f>P19*2</f>
        <v>1140</v>
      </c>
      <c r="D10" s="411" t="s">
        <v>1260</v>
      </c>
      <c r="E10" s="412">
        <f>C10</f>
        <v>1140</v>
      </c>
      <c r="F10" s="411" t="s">
        <v>1260</v>
      </c>
      <c r="G10" s="412">
        <f>E10</f>
        <v>1140</v>
      </c>
      <c r="H10" s="411" t="s">
        <v>1260</v>
      </c>
      <c r="I10" s="412">
        <f>G10</f>
        <v>1140</v>
      </c>
      <c r="J10" s="411" t="s">
        <v>1260</v>
      </c>
      <c r="K10" s="413">
        <f>I10</f>
        <v>1140</v>
      </c>
      <c r="O10" s="403" t="str">
        <f>【マスター】!P31</f>
        <v>要介護2</v>
      </c>
      <c r="P10" s="424" t="str">
        <f>ASC(【マスター】!Q31)</f>
        <v>925</v>
      </c>
      <c r="Q10" s="425" t="str">
        <f>ASC(【マスター】!R31)</f>
        <v>9,379</v>
      </c>
      <c r="R10" s="398">
        <v>25</v>
      </c>
      <c r="S10" s="398">
        <f>31-R10</f>
        <v>6</v>
      </c>
    </row>
    <row r="11" spans="1:19">
      <c r="A11" s="2001"/>
      <c r="B11" s="409" t="s">
        <v>1262</v>
      </c>
      <c r="C11" s="743">
        <f>P21*1</f>
        <v>630</v>
      </c>
      <c r="D11" s="411" t="s">
        <v>1262</v>
      </c>
      <c r="E11" s="412">
        <f>C11</f>
        <v>630</v>
      </c>
      <c r="F11" s="411" t="s">
        <v>1262</v>
      </c>
      <c r="G11" s="412">
        <f>E11</f>
        <v>630</v>
      </c>
      <c r="H11" s="411" t="s">
        <v>1262</v>
      </c>
      <c r="I11" s="412">
        <f>G11</f>
        <v>630</v>
      </c>
      <c r="J11" s="411" t="s">
        <v>1262</v>
      </c>
      <c r="K11" s="413">
        <f>I11</f>
        <v>630</v>
      </c>
      <c r="O11" s="403" t="str">
        <f>【マスター】!P32</f>
        <v>要介護3</v>
      </c>
      <c r="P11" s="424" t="str">
        <f>ASC(【マスター】!Q32)</f>
        <v>1,072</v>
      </c>
      <c r="Q11" s="425" t="str">
        <f>ASC(【マスター】!R32)</f>
        <v>10,870</v>
      </c>
      <c r="R11" s="398">
        <v>29</v>
      </c>
      <c r="S11" s="398">
        <f>31-R11</f>
        <v>2</v>
      </c>
    </row>
    <row r="12" spans="1:19" ht="19.5" thickBot="1">
      <c r="A12" s="2001"/>
      <c r="B12" s="426" t="s">
        <v>1300</v>
      </c>
      <c r="C12" s="471">
        <f>$M$24*1</f>
        <v>1200</v>
      </c>
      <c r="D12" s="472" t="s">
        <v>1300</v>
      </c>
      <c r="E12" s="473">
        <f>C12</f>
        <v>1200</v>
      </c>
      <c r="F12" s="472" t="s">
        <v>1300</v>
      </c>
      <c r="G12" s="473">
        <f>E12</f>
        <v>1200</v>
      </c>
      <c r="H12" s="472" t="s">
        <v>1300</v>
      </c>
      <c r="I12" s="473">
        <f>G12</f>
        <v>1200</v>
      </c>
      <c r="J12" s="472" t="s">
        <v>1300</v>
      </c>
      <c r="K12" s="479">
        <f>I12</f>
        <v>1200</v>
      </c>
      <c r="O12" s="403" t="str">
        <f>【マスター】!P33</f>
        <v>要介護4</v>
      </c>
      <c r="P12" s="424" t="str">
        <f>ASC(【マスター】!Q33)</f>
        <v>1,220</v>
      </c>
      <c r="Q12" s="425" t="str">
        <f>ASC(【マスター】!R33)</f>
        <v>12,370</v>
      </c>
      <c r="R12" s="398">
        <v>29</v>
      </c>
      <c r="S12" s="398">
        <f>31-R12</f>
        <v>2</v>
      </c>
    </row>
    <row r="13" spans="1:19" ht="19.5" thickBot="1">
      <c r="A13" s="2002"/>
      <c r="B13" s="427" t="s">
        <v>1301</v>
      </c>
      <c r="C13" s="428">
        <f>SUM(C5:C12)</f>
        <v>5074</v>
      </c>
      <c r="D13" s="429" t="s">
        <v>1301</v>
      </c>
      <c r="E13" s="428">
        <f>SUM(E5:E12)</f>
        <v>5362</v>
      </c>
      <c r="F13" s="429" t="s">
        <v>1301</v>
      </c>
      <c r="G13" s="428">
        <f>SUM(G5:G12)</f>
        <v>5660</v>
      </c>
      <c r="H13" s="429" t="s">
        <v>1301</v>
      </c>
      <c r="I13" s="428">
        <f>SUM(I5:I12)</f>
        <v>5960</v>
      </c>
      <c r="J13" s="429" t="s">
        <v>1301</v>
      </c>
      <c r="K13" s="430">
        <f>SUM(K5:K12)</f>
        <v>6255</v>
      </c>
      <c r="O13" s="403" t="str">
        <f>【マスター】!P34</f>
        <v>要介護5</v>
      </c>
      <c r="P13" s="424" t="str">
        <f>ASC(【マスター】!Q34)</f>
        <v>1,365</v>
      </c>
      <c r="Q13" s="425" t="str">
        <f>ASC(【マスター】!R34)</f>
        <v>13,841</v>
      </c>
      <c r="R13" s="398">
        <v>30</v>
      </c>
      <c r="S13" s="398">
        <f>31-R13</f>
        <v>1</v>
      </c>
    </row>
    <row r="14" spans="1:19">
      <c r="A14" s="2000" t="s">
        <v>1302</v>
      </c>
      <c r="B14" s="404" t="s">
        <v>1252</v>
      </c>
      <c r="C14" s="407">
        <f>ROUNDDOWN(P9*3*$K$2,0)-(ROUNDDOWN(P9*3*$K$2*$M$4,0))</f>
        <v>2382</v>
      </c>
      <c r="D14" s="406" t="s">
        <v>1256</v>
      </c>
      <c r="E14" s="407">
        <f>ROUNDDOWN(P10*3*$K$2,0)-(ROUNDDOWN(P10*3*$K$2*$M$4,0))</f>
        <v>2814</v>
      </c>
      <c r="F14" s="406" t="s">
        <v>1258</v>
      </c>
      <c r="G14" s="407">
        <f>ROUNDDOWN(P11*3*$K$2,0)-(ROUNDDOWN(P11*3*$K$2*$M$4,0))</f>
        <v>3261</v>
      </c>
      <c r="H14" s="406" t="s">
        <v>1259</v>
      </c>
      <c r="I14" s="407">
        <f>ROUNDDOWN(P12*3*$K$2,0)-(ROUNDDOWN(P12*3*$K$2*$M$4,0))</f>
        <v>3711</v>
      </c>
      <c r="J14" s="406" t="s">
        <v>1261</v>
      </c>
      <c r="K14" s="408">
        <f>ROUNDDOWN(P13*3*$K$2,0)-(ROUNDDOWN(P13*3*$K$2*$M$4,0))</f>
        <v>4153</v>
      </c>
      <c r="S14" s="418" t="s">
        <v>1303</v>
      </c>
    </row>
    <row r="15" spans="1:19" ht="19.5" customHeight="1">
      <c r="A15" s="2001"/>
      <c r="B15" s="409" t="str">
        <f>IF(【マスター】!C51="有","入浴介助加算(Ⅱ)","入浴介助加算(Ⅰ)")</f>
        <v>入浴介助加算(Ⅱ)</v>
      </c>
      <c r="C15" s="410">
        <f>ROUNDDOWN(Q15*3,0)-ROUNDDOWN(Q15*3*$M$4,0)</f>
        <v>168</v>
      </c>
      <c r="D15" s="411" t="str">
        <f>IF(【マスター】!C51="有","入浴介助加算(Ⅱ)","入浴介助加算(Ⅰ)")</f>
        <v>入浴介助加算(Ⅱ)</v>
      </c>
      <c r="E15" s="412">
        <f>C15</f>
        <v>168</v>
      </c>
      <c r="F15" s="411" t="str">
        <f>IF(【マスター】!C51="有","入浴介助加算(Ⅱ)","入浴介助加算(Ⅰ)")</f>
        <v>入浴介助加算(Ⅱ)</v>
      </c>
      <c r="G15" s="412">
        <f>C15</f>
        <v>168</v>
      </c>
      <c r="H15" s="411" t="str">
        <f>IF(【マスター】!C51="有","入浴介助加算(Ⅱ)","入浴介助加算(Ⅰ)")</f>
        <v>入浴介助加算(Ⅱ)</v>
      </c>
      <c r="I15" s="412">
        <f>C15</f>
        <v>168</v>
      </c>
      <c r="J15" s="411" t="str">
        <f>IF(【マスター】!C51="有","入浴介助加算(Ⅱ)","入浴介助加算(Ⅰ)")</f>
        <v>入浴介助加算(Ⅱ)</v>
      </c>
      <c r="K15" s="413">
        <f>C15</f>
        <v>168</v>
      </c>
      <c r="O15" s="701" t="str">
        <f>IF(【マスター】!C51="有","入浴(Ⅱ)","入浴(Ⅰ)")</f>
        <v>入浴(Ⅱ)</v>
      </c>
      <c r="P15" s="467">
        <f>IF(【マスター】!C51="有",55,40)</f>
        <v>55</v>
      </c>
      <c r="Q15" s="424" t="str">
        <f>IF(【マスター】!C51="有",(ASC(【マスター】!E51)),(ASC(【マスター】!E50)))</f>
        <v>557</v>
      </c>
      <c r="R15" s="398">
        <f>P15*31</f>
        <v>1705</v>
      </c>
    </row>
    <row r="16" spans="1:19">
      <c r="A16" s="2001"/>
      <c r="B16" s="409" t="s">
        <v>1295</v>
      </c>
      <c r="C16" s="410">
        <f>ROUNDDOWN(Q16*4,0)-ROUNDDOWN(Q16*4*$M$4,0)</f>
        <v>-191</v>
      </c>
      <c r="D16" s="411" t="s">
        <v>1295</v>
      </c>
      <c r="E16" s="412">
        <f>C16</f>
        <v>-191</v>
      </c>
      <c r="F16" s="411" t="s">
        <v>1295</v>
      </c>
      <c r="G16" s="412">
        <f>C16</f>
        <v>-191</v>
      </c>
      <c r="H16" s="411" t="s">
        <v>1295</v>
      </c>
      <c r="I16" s="412">
        <f>C16</f>
        <v>-191</v>
      </c>
      <c r="J16" s="411" t="s">
        <v>1295</v>
      </c>
      <c r="K16" s="413">
        <f>C16</f>
        <v>-191</v>
      </c>
      <c r="O16" s="403" t="s">
        <v>1295</v>
      </c>
      <c r="P16" s="424">
        <f>-(ASC(【マスター】!K53))</f>
        <v>-47</v>
      </c>
      <c r="Q16" s="424">
        <f>-(ASC(【マスター】!L53))</f>
        <v>-476</v>
      </c>
      <c r="R16" s="398">
        <f>P16*60</f>
        <v>-2820</v>
      </c>
    </row>
    <row r="17" spans="1:18">
      <c r="A17" s="2001"/>
      <c r="B17" s="765"/>
      <c r="C17" s="763"/>
      <c r="D17" s="765"/>
      <c r="E17" s="764"/>
      <c r="F17" s="765"/>
      <c r="G17" s="764"/>
      <c r="H17" s="765"/>
      <c r="I17" s="764"/>
      <c r="J17" s="765"/>
      <c r="K17" s="479"/>
      <c r="O17" s="701" t="s">
        <v>1915</v>
      </c>
      <c r="P17" s="467">
        <f>-(ASC(【マスター】!K54))</f>
        <v>-94</v>
      </c>
      <c r="Q17" s="467">
        <f>-(ASC(【マスター】!L54))</f>
        <v>-953</v>
      </c>
      <c r="R17" s="461">
        <f>P17*30</f>
        <v>-2820</v>
      </c>
    </row>
    <row r="18" spans="1:18" ht="19.5" thickBot="1">
      <c r="A18" s="2001"/>
      <c r="B18" s="414" t="s">
        <v>1298</v>
      </c>
      <c r="C18" s="415">
        <f>IF($H$2=$O$4,-(SUM(C14:C17)),0)</f>
        <v>0</v>
      </c>
      <c r="D18" s="416" t="s">
        <v>1298</v>
      </c>
      <c r="E18" s="415">
        <f>IF($H$2=$O$4,-(SUM(E14:E17)),0)</f>
        <v>0</v>
      </c>
      <c r="F18" s="416" t="s">
        <v>1298</v>
      </c>
      <c r="G18" s="415">
        <f>IF($H$2=$O$4,-(SUM(G14:G17)),0)</f>
        <v>0</v>
      </c>
      <c r="H18" s="416" t="s">
        <v>1298</v>
      </c>
      <c r="I18" s="415">
        <f>IF($H$2=$O$4,-(SUM(I14:I17)),0)</f>
        <v>0</v>
      </c>
      <c r="J18" s="416" t="s">
        <v>1298</v>
      </c>
      <c r="K18" s="417">
        <f>IF($H$2=$O$4,-(SUM(K14:K17)),0)</f>
        <v>0</v>
      </c>
    </row>
    <row r="19" spans="1:18" ht="19.5" thickTop="1">
      <c r="A19" s="2001"/>
      <c r="B19" s="419" t="s">
        <v>1257</v>
      </c>
      <c r="C19" s="420">
        <f>$P$20*2</f>
        <v>1000</v>
      </c>
      <c r="D19" s="421" t="s">
        <v>1257</v>
      </c>
      <c r="E19" s="422">
        <f>C19</f>
        <v>1000</v>
      </c>
      <c r="F19" s="421" t="s">
        <v>1257</v>
      </c>
      <c r="G19" s="422">
        <f>C19</f>
        <v>1000</v>
      </c>
      <c r="H19" s="421" t="s">
        <v>1257</v>
      </c>
      <c r="I19" s="422">
        <f>C19</f>
        <v>1000</v>
      </c>
      <c r="J19" s="421" t="s">
        <v>1257</v>
      </c>
      <c r="K19" s="423">
        <f>C19</f>
        <v>1000</v>
      </c>
      <c r="O19" s="403" t="s">
        <v>1304</v>
      </c>
      <c r="P19" s="424" t="str">
        <f>ASC(【マスター】!$K$45)</f>
        <v>570</v>
      </c>
    </row>
    <row r="20" spans="1:18">
      <c r="A20" s="2001"/>
      <c r="B20" s="409" t="s">
        <v>1260</v>
      </c>
      <c r="C20" s="410">
        <f>$P$19*3</f>
        <v>1710</v>
      </c>
      <c r="D20" s="411" t="s">
        <v>1260</v>
      </c>
      <c r="E20" s="412">
        <f>C20</f>
        <v>1710</v>
      </c>
      <c r="F20" s="411" t="s">
        <v>1260</v>
      </c>
      <c r="G20" s="412">
        <f>E20</f>
        <v>1710</v>
      </c>
      <c r="H20" s="411" t="s">
        <v>1260</v>
      </c>
      <c r="I20" s="412">
        <f>G20</f>
        <v>1710</v>
      </c>
      <c r="J20" s="411" t="s">
        <v>1260</v>
      </c>
      <c r="K20" s="413">
        <f>I20</f>
        <v>1710</v>
      </c>
      <c r="O20" s="403" t="s">
        <v>1305</v>
      </c>
      <c r="P20" s="424" t="str">
        <f>ASC(【マスター】!$K$44)</f>
        <v>500</v>
      </c>
    </row>
    <row r="21" spans="1:18">
      <c r="A21" s="2001"/>
      <c r="B21" s="409" t="s">
        <v>1262</v>
      </c>
      <c r="C21" s="410">
        <f>$P$21*2</f>
        <v>1260</v>
      </c>
      <c r="D21" s="411" t="s">
        <v>1262</v>
      </c>
      <c r="E21" s="412">
        <f>C21</f>
        <v>1260</v>
      </c>
      <c r="F21" s="411" t="s">
        <v>1262</v>
      </c>
      <c r="G21" s="412">
        <f>E21</f>
        <v>1260</v>
      </c>
      <c r="H21" s="411" t="s">
        <v>1262</v>
      </c>
      <c r="I21" s="412">
        <f>G21</f>
        <v>1260</v>
      </c>
      <c r="J21" s="411" t="s">
        <v>1262</v>
      </c>
      <c r="K21" s="413">
        <f>I21</f>
        <v>1260</v>
      </c>
      <c r="O21" s="403" t="s">
        <v>1306</v>
      </c>
      <c r="P21" s="424" t="str">
        <f>ASC(【マスター】!$K$46)</f>
        <v>630</v>
      </c>
    </row>
    <row r="22" spans="1:18" ht="19.5" thickBot="1">
      <c r="A22" s="2001"/>
      <c r="B22" s="409" t="s">
        <v>1300</v>
      </c>
      <c r="C22" s="410">
        <f>$M$24*2</f>
        <v>2400</v>
      </c>
      <c r="D22" s="411" t="s">
        <v>1300</v>
      </c>
      <c r="E22" s="412">
        <f>C22</f>
        <v>2400</v>
      </c>
      <c r="F22" s="411" t="s">
        <v>1300</v>
      </c>
      <c r="G22" s="412">
        <f>E22</f>
        <v>2400</v>
      </c>
      <c r="H22" s="411" t="s">
        <v>1300</v>
      </c>
      <c r="I22" s="412">
        <f>G22</f>
        <v>2400</v>
      </c>
      <c r="J22" s="411" t="s">
        <v>1300</v>
      </c>
      <c r="K22" s="413">
        <f>I22</f>
        <v>2400</v>
      </c>
    </row>
    <row r="23" spans="1:18" ht="19.5" thickBot="1">
      <c r="A23" s="2002"/>
      <c r="B23" s="427" t="s">
        <v>1301</v>
      </c>
      <c r="C23" s="428">
        <f>SUM(C14:C22)</f>
        <v>8729</v>
      </c>
      <c r="D23" s="429" t="s">
        <v>1301</v>
      </c>
      <c r="E23" s="428">
        <f>SUM(E14:E22)</f>
        <v>9161</v>
      </c>
      <c r="F23" s="429" t="s">
        <v>1301</v>
      </c>
      <c r="G23" s="428">
        <f>SUM(G14:G22)</f>
        <v>9608</v>
      </c>
      <c r="H23" s="429" t="s">
        <v>1301</v>
      </c>
      <c r="I23" s="428">
        <f>SUM(I14:I22)</f>
        <v>10058</v>
      </c>
      <c r="J23" s="429" t="s">
        <v>1301</v>
      </c>
      <c r="K23" s="430">
        <f>SUM(K14:K22)</f>
        <v>10500</v>
      </c>
      <c r="O23" s="398" t="s">
        <v>1307</v>
      </c>
    </row>
    <row r="24" spans="1:18">
      <c r="A24" s="2000" t="s">
        <v>1308</v>
      </c>
      <c r="B24" s="431" t="s">
        <v>1252</v>
      </c>
      <c r="C24" s="407">
        <f>ROUNDDOWN(P9*8*$K$2,0)-(ROUNDDOWN(P9*8*$K$2*$M$4,0))</f>
        <v>6351</v>
      </c>
      <c r="D24" s="403" t="s">
        <v>1256</v>
      </c>
      <c r="E24" s="407">
        <f>ROUNDDOWN(P10*8*$K$2,0)-(ROUNDDOWN(P10*8*$K$2*$M$4,0))</f>
        <v>7504</v>
      </c>
      <c r="F24" s="403" t="s">
        <v>1258</v>
      </c>
      <c r="G24" s="407">
        <f>ROUNDDOWN(P11*8*$K$2,0)-(ROUNDDOWN(P11*8*$K$2*$M$4,0))</f>
        <v>8696</v>
      </c>
      <c r="H24" s="403" t="s">
        <v>1259</v>
      </c>
      <c r="I24" s="407">
        <f>ROUNDDOWN(P12*8*$K$2,0)-(ROUNDDOWN(P12*8*$K$2*$M$4,0))</f>
        <v>9897</v>
      </c>
      <c r="J24" s="403" t="s">
        <v>1261</v>
      </c>
      <c r="K24" s="445">
        <f>ROUNDDOWN(P13*8*$K$2,0)-(ROUNDDOWN(P13*8*$K$2*$M$4,0))</f>
        <v>11073</v>
      </c>
      <c r="M24" s="424" t="str">
        <f>VLOOKUP($H$2,O24:P27,2,FALSE)</f>
        <v>1,200</v>
      </c>
      <c r="O24" s="399" t="s">
        <v>1289</v>
      </c>
      <c r="P24" s="424" t="str">
        <f>ASC(【マスター】!J42)</f>
        <v>1,200</v>
      </c>
    </row>
    <row r="25" spans="1:18" ht="19.5" customHeight="1">
      <c r="A25" s="2001"/>
      <c r="B25" s="409" t="str">
        <f>IF(【マスター】!C51="有","入浴介助加算(Ⅱ)","入浴介助加算(Ⅰ)")</f>
        <v>入浴介助加算(Ⅱ)</v>
      </c>
      <c r="C25" s="410">
        <f>ROUNDDOWN(Q15*8,0)-ROUNDDOWN(Q15*8*$M$4,0)</f>
        <v>446</v>
      </c>
      <c r="D25" s="411" t="str">
        <f>IF(【マスター】!C51="有","入浴介助加算(Ⅱ)","入浴介助加算(Ⅰ)")</f>
        <v>入浴介助加算(Ⅱ)</v>
      </c>
      <c r="E25" s="412">
        <f>C25</f>
        <v>446</v>
      </c>
      <c r="F25" s="411" t="str">
        <f>IF(【マスター】!C51="有","入浴介助加算(Ⅱ)","入浴介助加算(Ⅰ)")</f>
        <v>入浴介助加算(Ⅱ)</v>
      </c>
      <c r="G25" s="412">
        <f>C25</f>
        <v>446</v>
      </c>
      <c r="H25" s="411" t="str">
        <f>IF(【マスター】!C51="有","入浴介助加算(Ⅱ)","入浴介助加算(Ⅰ)")</f>
        <v>入浴介助加算(Ⅱ)</v>
      </c>
      <c r="I25" s="412">
        <f>C25</f>
        <v>446</v>
      </c>
      <c r="J25" s="411" t="str">
        <f>IF(【マスター】!C51="有","入浴介助加算(Ⅱ)","入浴介助加算(Ⅰ)")</f>
        <v>入浴介助加算(Ⅱ)</v>
      </c>
      <c r="K25" s="446">
        <f>C25</f>
        <v>446</v>
      </c>
      <c r="O25" s="399" t="s">
        <v>1281</v>
      </c>
      <c r="P25" s="424" t="str">
        <f>ASC(【マスター】!K42)</f>
        <v>1,200</v>
      </c>
    </row>
    <row r="26" spans="1:18">
      <c r="A26" s="2001"/>
      <c r="B26" s="409" t="s">
        <v>1295</v>
      </c>
      <c r="C26" s="410">
        <f>ROUNDDOWN(Q16*14,0)-ROUNDDOWN(Q16*14*$M$4,0)</f>
        <v>-667</v>
      </c>
      <c r="D26" s="411" t="s">
        <v>1295</v>
      </c>
      <c r="E26" s="412">
        <f>C26</f>
        <v>-667</v>
      </c>
      <c r="F26" s="411" t="s">
        <v>1295</v>
      </c>
      <c r="G26" s="412">
        <f>C26</f>
        <v>-667</v>
      </c>
      <c r="H26" s="411" t="s">
        <v>1295</v>
      </c>
      <c r="I26" s="412">
        <f>C26</f>
        <v>-667</v>
      </c>
      <c r="J26" s="411" t="s">
        <v>1295</v>
      </c>
      <c r="K26" s="446">
        <f>C26</f>
        <v>-667</v>
      </c>
      <c r="O26" s="399" t="s">
        <v>1293</v>
      </c>
      <c r="P26" s="424" t="str">
        <f>ASC(【マスター】!L42)</f>
        <v>1,200</v>
      </c>
    </row>
    <row r="27" spans="1:18" ht="19.5" thickBot="1">
      <c r="A27" s="2001"/>
      <c r="B27" s="414" t="s">
        <v>1298</v>
      </c>
      <c r="C27" s="415">
        <f>IF($H$2=$O$4,-(SUM(C24:C26)),0)</f>
        <v>0</v>
      </c>
      <c r="D27" s="416" t="s">
        <v>1298</v>
      </c>
      <c r="E27" s="415">
        <f>IF($H$2=$O$4,-(SUM(E24:E26)),0)</f>
        <v>0</v>
      </c>
      <c r="F27" s="416" t="s">
        <v>1298</v>
      </c>
      <c r="G27" s="415">
        <f>IF($H$2=$O$4,-(SUM(G24:G26)),0)</f>
        <v>0</v>
      </c>
      <c r="H27" s="416" t="s">
        <v>1298</v>
      </c>
      <c r="I27" s="415">
        <f>IF($H$2=$O$4,-(SUM(I24:I26)),0)</f>
        <v>0</v>
      </c>
      <c r="J27" s="416" t="s">
        <v>1298</v>
      </c>
      <c r="K27" s="417">
        <f>IF($H$2=$O$4,-(SUM(K24:K26)),0)</f>
        <v>0</v>
      </c>
      <c r="O27" s="399" t="s">
        <v>1296</v>
      </c>
      <c r="P27" s="424" t="str">
        <f>P26</f>
        <v>1,200</v>
      </c>
    </row>
    <row r="28" spans="1:18" ht="19.5" thickTop="1">
      <c r="A28" s="2001"/>
      <c r="B28" s="419" t="s">
        <v>1257</v>
      </c>
      <c r="C28" s="420">
        <f>$P$20*7</f>
        <v>3500</v>
      </c>
      <c r="D28" s="421" t="s">
        <v>1257</v>
      </c>
      <c r="E28" s="422">
        <f>C28</f>
        <v>3500</v>
      </c>
      <c r="F28" s="421" t="s">
        <v>1257</v>
      </c>
      <c r="G28" s="422">
        <f>C28</f>
        <v>3500</v>
      </c>
      <c r="H28" s="421" t="s">
        <v>1257</v>
      </c>
      <c r="I28" s="422">
        <f>C28</f>
        <v>3500</v>
      </c>
      <c r="J28" s="421" t="s">
        <v>1257</v>
      </c>
      <c r="K28" s="423">
        <f>C28</f>
        <v>3500</v>
      </c>
    </row>
    <row r="29" spans="1:18">
      <c r="A29" s="2001"/>
      <c r="B29" s="409" t="s">
        <v>1260</v>
      </c>
      <c r="C29" s="410">
        <f>$P$19*8</f>
        <v>4560</v>
      </c>
      <c r="D29" s="411" t="s">
        <v>1260</v>
      </c>
      <c r="E29" s="412">
        <f>C29</f>
        <v>4560</v>
      </c>
      <c r="F29" s="411" t="s">
        <v>1260</v>
      </c>
      <c r="G29" s="412">
        <f>E29</f>
        <v>4560</v>
      </c>
      <c r="H29" s="411" t="s">
        <v>1260</v>
      </c>
      <c r="I29" s="412">
        <f>G29</f>
        <v>4560</v>
      </c>
      <c r="J29" s="411" t="s">
        <v>1260</v>
      </c>
      <c r="K29" s="413">
        <f>I29</f>
        <v>4560</v>
      </c>
      <c r="O29" s="398" t="s">
        <v>1309</v>
      </c>
    </row>
    <row r="30" spans="1:18">
      <c r="A30" s="2001"/>
      <c r="B30" s="409" t="s">
        <v>1262</v>
      </c>
      <c r="C30" s="410">
        <f>$P$21*7</f>
        <v>4410</v>
      </c>
      <c r="D30" s="411" t="s">
        <v>1262</v>
      </c>
      <c r="E30" s="412">
        <f>C30</f>
        <v>4410</v>
      </c>
      <c r="F30" s="411" t="s">
        <v>1262</v>
      </c>
      <c r="G30" s="412">
        <f>E30</f>
        <v>4410</v>
      </c>
      <c r="H30" s="411" t="s">
        <v>1262</v>
      </c>
      <c r="I30" s="412">
        <f>G30</f>
        <v>4410</v>
      </c>
      <c r="J30" s="411" t="s">
        <v>1262</v>
      </c>
      <c r="K30" s="413">
        <f>I30</f>
        <v>4410</v>
      </c>
      <c r="M30" s="424" t="str">
        <f>VLOOKUP($H$2,O30:P33,2,FALSE)</f>
        <v>3,500</v>
      </c>
      <c r="O30" s="399" t="s">
        <v>1289</v>
      </c>
      <c r="P30" s="424" t="str">
        <f>ASC(【マスター】!J40)</f>
        <v>3,500</v>
      </c>
    </row>
    <row r="31" spans="1:18" ht="19.5" thickBot="1">
      <c r="A31" s="2001"/>
      <c r="B31" s="409" t="s">
        <v>1300</v>
      </c>
      <c r="C31" s="410">
        <f>$M$24*7</f>
        <v>8400</v>
      </c>
      <c r="D31" s="411" t="s">
        <v>1300</v>
      </c>
      <c r="E31" s="412">
        <f>C31</f>
        <v>8400</v>
      </c>
      <c r="F31" s="411" t="s">
        <v>1300</v>
      </c>
      <c r="G31" s="412">
        <f>E31</f>
        <v>8400</v>
      </c>
      <c r="H31" s="411" t="s">
        <v>1300</v>
      </c>
      <c r="I31" s="412">
        <f>G31</f>
        <v>8400</v>
      </c>
      <c r="J31" s="411" t="s">
        <v>1300</v>
      </c>
      <c r="K31" s="413">
        <f>I31</f>
        <v>8400</v>
      </c>
      <c r="O31" s="399" t="s">
        <v>1281</v>
      </c>
      <c r="P31" s="424" t="str">
        <f>ASC(【マスター】!K40)</f>
        <v>3,500</v>
      </c>
    </row>
    <row r="32" spans="1:18" ht="19.5" thickBot="1">
      <c r="A32" s="2002"/>
      <c r="B32" s="427" t="s">
        <v>1301</v>
      </c>
      <c r="C32" s="428">
        <f>SUM(C24:C31)</f>
        <v>27000</v>
      </c>
      <c r="D32" s="429" t="s">
        <v>1301</v>
      </c>
      <c r="E32" s="428">
        <f>SUM(E24:E31)</f>
        <v>28153</v>
      </c>
      <c r="F32" s="429" t="s">
        <v>1301</v>
      </c>
      <c r="G32" s="428">
        <f>SUM(G24:G31)</f>
        <v>29345</v>
      </c>
      <c r="H32" s="429" t="s">
        <v>1301</v>
      </c>
      <c r="I32" s="428">
        <f>SUM(I24:I31)</f>
        <v>30546</v>
      </c>
      <c r="J32" s="429" t="s">
        <v>1301</v>
      </c>
      <c r="K32" s="430">
        <f>SUM(K24:K31)</f>
        <v>31722</v>
      </c>
      <c r="O32" s="399" t="s">
        <v>1293</v>
      </c>
      <c r="P32" s="424" t="str">
        <f>ASC(【マスター】!L40)</f>
        <v>3,500</v>
      </c>
    </row>
    <row r="33" spans="1:16">
      <c r="A33" s="2000" t="s">
        <v>1310</v>
      </c>
      <c r="B33" s="431" t="s">
        <v>1252</v>
      </c>
      <c r="C33" s="407">
        <f>ROUNDDOWN(P9*15*$K$2,0)-(ROUNDDOWN(P9*15*$K$2*$M$4,0))</f>
        <v>11910</v>
      </c>
      <c r="D33" s="403" t="s">
        <v>1256</v>
      </c>
      <c r="E33" s="407">
        <f>ROUNDDOWN(P10*15*$K$2,0)-(ROUNDDOWN(P10*15*$K$2*$M$4,0))</f>
        <v>14069</v>
      </c>
      <c r="F33" s="403" t="s">
        <v>1258</v>
      </c>
      <c r="G33" s="407">
        <f>ROUNDDOWN(P11*15*$K$2,0)-(ROUNDDOWN(P11*15*$K$2*$M$4,0))</f>
        <v>16305</v>
      </c>
      <c r="H33" s="403" t="s">
        <v>1259</v>
      </c>
      <c r="I33" s="407">
        <f>ROUNDDOWN(P12*15*$K$2,0)-(ROUNDDOWN(P12*15*$K$2*$M$4,0))</f>
        <v>18557</v>
      </c>
      <c r="J33" s="403" t="s">
        <v>1261</v>
      </c>
      <c r="K33" s="408">
        <f>ROUNDDOWN(P13*15*$K$2,0)-(ROUNDDOWN(P13*15*$K$2*$M$4,0))</f>
        <v>20762</v>
      </c>
      <c r="O33" s="399" t="s">
        <v>1296</v>
      </c>
      <c r="P33" s="424" t="str">
        <f>P32</f>
        <v>3,500</v>
      </c>
    </row>
    <row r="34" spans="1:16">
      <c r="A34" s="2001"/>
      <c r="B34" s="409" t="str">
        <f>IF(【マスター】!C51="有","入浴介助加算(Ⅱ)","入浴介助加算(Ⅰ)")</f>
        <v>入浴介助加算(Ⅱ)</v>
      </c>
      <c r="C34" s="410">
        <f>ROUNDDOWN(Q15*15,0)-ROUNDDOWN(Q15*15*$M$4,0)</f>
        <v>836</v>
      </c>
      <c r="D34" s="411" t="str">
        <f>IF(【マスター】!C51="有","入浴介助加算(Ⅱ)","入浴介助加算(Ⅰ)")</f>
        <v>入浴介助加算(Ⅱ)</v>
      </c>
      <c r="E34" s="412">
        <f>C34</f>
        <v>836</v>
      </c>
      <c r="F34" s="411" t="str">
        <f>IF(【マスター】!C51="有","入浴介助加算(Ⅱ)","入浴介助加算(Ⅰ)")</f>
        <v>入浴介助加算(Ⅱ)</v>
      </c>
      <c r="G34" s="412">
        <f>C34</f>
        <v>836</v>
      </c>
      <c r="H34" s="411" t="str">
        <f>IF(【マスター】!C51="有","入浴介助加算(Ⅱ)","入浴介助加算(Ⅰ)")</f>
        <v>入浴介助加算(Ⅱ)</v>
      </c>
      <c r="I34" s="412">
        <f>C34</f>
        <v>836</v>
      </c>
      <c r="J34" s="411" t="str">
        <f>IF(【マスター】!C51="有","入浴介助加算(Ⅱ)","入浴介助加算(Ⅰ)")</f>
        <v>入浴介助加算(Ⅱ)</v>
      </c>
      <c r="K34" s="413">
        <f>C34</f>
        <v>836</v>
      </c>
      <c r="O34" s="398" t="s">
        <v>1311</v>
      </c>
    </row>
    <row r="35" spans="1:16" ht="19.5" customHeight="1">
      <c r="A35" s="2001"/>
      <c r="B35" s="409" t="s">
        <v>1295</v>
      </c>
      <c r="C35" s="410">
        <f>ROUNDDOWN(Q16*28,0)-ROUNDDOWN(Q16*28*$M$4,0)</f>
        <v>-1333</v>
      </c>
      <c r="D35" s="411" t="s">
        <v>1295</v>
      </c>
      <c r="E35" s="412">
        <f>C35</f>
        <v>-1333</v>
      </c>
      <c r="F35" s="411" t="s">
        <v>1295</v>
      </c>
      <c r="G35" s="412">
        <f>C35</f>
        <v>-1333</v>
      </c>
      <c r="H35" s="411" t="s">
        <v>1295</v>
      </c>
      <c r="I35" s="412">
        <f>C35</f>
        <v>-1333</v>
      </c>
      <c r="J35" s="411" t="s">
        <v>1295</v>
      </c>
      <c r="K35" s="413">
        <f>C35</f>
        <v>-1333</v>
      </c>
      <c r="M35" s="424" t="str">
        <f>VLOOKUP($H$2,O35:P38,2,FALSE)</f>
        <v>3,500</v>
      </c>
      <c r="O35" s="399" t="s">
        <v>1289</v>
      </c>
      <c r="P35" s="424" t="str">
        <f>ASC(【マスター】!J41)</f>
        <v>3,500</v>
      </c>
    </row>
    <row r="36" spans="1:16" ht="19.5" thickBot="1">
      <c r="A36" s="2001"/>
      <c r="B36" s="414" t="s">
        <v>1298</v>
      </c>
      <c r="C36" s="415">
        <f>IF($H$2=$O$4,-(SUM(C33:C35)),0)</f>
        <v>0</v>
      </c>
      <c r="D36" s="416" t="s">
        <v>1298</v>
      </c>
      <c r="E36" s="415">
        <f>IF($H$2=$O$4,-(SUM(E33:E35)),0)</f>
        <v>0</v>
      </c>
      <c r="F36" s="416" t="s">
        <v>1298</v>
      </c>
      <c r="G36" s="415">
        <f>IF($H$2=$O$4,-(SUM(G33:G35)),0)</f>
        <v>0</v>
      </c>
      <c r="H36" s="416" t="s">
        <v>1298</v>
      </c>
      <c r="I36" s="415">
        <f>IF($H$2=$O$4,-(SUM(I33:I35)),0)</f>
        <v>0</v>
      </c>
      <c r="J36" s="416" t="s">
        <v>1298</v>
      </c>
      <c r="K36" s="417">
        <f>IF($H$2=$O$4,-(SUM(K33:K35)),0)</f>
        <v>0</v>
      </c>
      <c r="O36" s="399" t="s">
        <v>1281</v>
      </c>
      <c r="P36" s="424" t="str">
        <f>ASC(【マスター】!K41)</f>
        <v>3,500</v>
      </c>
    </row>
    <row r="37" spans="1:16" ht="19.5" thickTop="1">
      <c r="A37" s="2001"/>
      <c r="B37" s="419" t="s">
        <v>1257</v>
      </c>
      <c r="C37" s="420">
        <f>$P$20*14</f>
        <v>7000</v>
      </c>
      <c r="D37" s="421" t="s">
        <v>1257</v>
      </c>
      <c r="E37" s="422">
        <f>C37</f>
        <v>7000</v>
      </c>
      <c r="F37" s="421" t="s">
        <v>1257</v>
      </c>
      <c r="G37" s="422">
        <f>C37</f>
        <v>7000</v>
      </c>
      <c r="H37" s="421" t="s">
        <v>1257</v>
      </c>
      <c r="I37" s="422">
        <f>C37</f>
        <v>7000</v>
      </c>
      <c r="J37" s="421" t="s">
        <v>1257</v>
      </c>
      <c r="K37" s="423">
        <f>C37</f>
        <v>7000</v>
      </c>
      <c r="O37" s="399" t="s">
        <v>1293</v>
      </c>
      <c r="P37" s="424" t="str">
        <f>ASC(【マスター】!L41)</f>
        <v>3,500</v>
      </c>
    </row>
    <row r="38" spans="1:16">
      <c r="A38" s="2001"/>
      <c r="B38" s="409" t="s">
        <v>1260</v>
      </c>
      <c r="C38" s="410">
        <f>$P$19*15</f>
        <v>8550</v>
      </c>
      <c r="D38" s="411" t="s">
        <v>1260</v>
      </c>
      <c r="E38" s="412">
        <f>C38</f>
        <v>8550</v>
      </c>
      <c r="F38" s="411" t="s">
        <v>1260</v>
      </c>
      <c r="G38" s="412">
        <f>E38</f>
        <v>8550</v>
      </c>
      <c r="H38" s="411" t="s">
        <v>1260</v>
      </c>
      <c r="I38" s="412">
        <f>G38</f>
        <v>8550</v>
      </c>
      <c r="J38" s="411" t="s">
        <v>1260</v>
      </c>
      <c r="K38" s="413">
        <f>I38</f>
        <v>8550</v>
      </c>
      <c r="O38" s="399" t="s">
        <v>1296</v>
      </c>
      <c r="P38" s="424" t="str">
        <f>P37</f>
        <v>3,500</v>
      </c>
    </row>
    <row r="39" spans="1:16">
      <c r="A39" s="2001"/>
      <c r="B39" s="409" t="s">
        <v>1262</v>
      </c>
      <c r="C39" s="410">
        <f>$P$21*14</f>
        <v>8820</v>
      </c>
      <c r="D39" s="411" t="s">
        <v>1262</v>
      </c>
      <c r="E39" s="412">
        <f>C39</f>
        <v>8820</v>
      </c>
      <c r="F39" s="411" t="s">
        <v>1262</v>
      </c>
      <c r="G39" s="412">
        <f>E39</f>
        <v>8820</v>
      </c>
      <c r="H39" s="411" t="s">
        <v>1262</v>
      </c>
      <c r="I39" s="412">
        <f>G39</f>
        <v>8820</v>
      </c>
      <c r="J39" s="411" t="s">
        <v>1262</v>
      </c>
      <c r="K39" s="413">
        <f>I39</f>
        <v>8820</v>
      </c>
    </row>
    <row r="40" spans="1:16" ht="19.5" thickBot="1">
      <c r="A40" s="2001"/>
      <c r="B40" s="409" t="s">
        <v>1300</v>
      </c>
      <c r="C40" s="410">
        <f>$M$24*14</f>
        <v>16800</v>
      </c>
      <c r="D40" s="411" t="s">
        <v>1300</v>
      </c>
      <c r="E40" s="412">
        <f>C40</f>
        <v>16800</v>
      </c>
      <c r="F40" s="411" t="s">
        <v>1300</v>
      </c>
      <c r="G40" s="412">
        <f>E40</f>
        <v>16800</v>
      </c>
      <c r="H40" s="411" t="s">
        <v>1300</v>
      </c>
      <c r="I40" s="412">
        <f>G40</f>
        <v>16800</v>
      </c>
      <c r="J40" s="411" t="s">
        <v>1300</v>
      </c>
      <c r="K40" s="413">
        <f>I40</f>
        <v>16800</v>
      </c>
      <c r="M40" s="461"/>
      <c r="N40" s="461" t="s">
        <v>1916</v>
      </c>
      <c r="O40" s="461" t="s">
        <v>1917</v>
      </c>
      <c r="P40" s="541" t="s">
        <v>1918</v>
      </c>
    </row>
    <row r="41" spans="1:16" ht="19.5" thickBot="1">
      <c r="A41" s="2002"/>
      <c r="B41" s="427" t="s">
        <v>1301</v>
      </c>
      <c r="C41" s="428">
        <f>SUM(C33:C40)</f>
        <v>52583</v>
      </c>
      <c r="D41" s="429" t="s">
        <v>1301</v>
      </c>
      <c r="E41" s="428">
        <f>SUM(E33:E40)</f>
        <v>54742</v>
      </c>
      <c r="F41" s="429" t="s">
        <v>1301</v>
      </c>
      <c r="G41" s="428">
        <f>SUM(G33:G40)</f>
        <v>56978</v>
      </c>
      <c r="H41" s="429" t="s">
        <v>1301</v>
      </c>
      <c r="I41" s="428">
        <f>SUM(I33:I40)</f>
        <v>59230</v>
      </c>
      <c r="J41" s="429" t="s">
        <v>1301</v>
      </c>
      <c r="K41" s="430">
        <f>SUM(K33:K40)</f>
        <v>61435</v>
      </c>
      <c r="M41" s="766" t="s">
        <v>581</v>
      </c>
      <c r="N41" s="774">
        <f>【マスター】!Q37</f>
        <v>16765</v>
      </c>
      <c r="O41" s="767">
        <f>SUM(R13,$R$15,$R$16,$R$17)</f>
        <v>-3905</v>
      </c>
      <c r="P41" s="768">
        <f>ROUNDDOWN(O41*$K$2,0)-ROUNDDOWN(N41*$K$2,0)</f>
        <v>-209593</v>
      </c>
    </row>
    <row r="42" spans="1:16">
      <c r="A42" s="2000" t="s">
        <v>1318</v>
      </c>
      <c r="B42" s="432" t="str">
        <f>"地域通所介護61("&amp;R9&amp;"回)"</f>
        <v>地域通所介護61(25回)</v>
      </c>
      <c r="C42" s="407">
        <f>ROUNDDOWN(P9*R9*$K$2,0)-(ROUNDDOWN(P9*R9*$K$2*$M$4,0))</f>
        <v>19849</v>
      </c>
      <c r="D42" s="433" t="str">
        <f>"地域通所介護62("&amp;R10&amp;"回)"</f>
        <v>地域通所介護62(25回)</v>
      </c>
      <c r="E42" s="407">
        <f>ROUNDDOWN(P10*R10*$K$2,0)-(ROUNDDOWN(P10*R10*$K$2*$M$4,0))</f>
        <v>23449</v>
      </c>
      <c r="F42" s="433" t="str">
        <f>"地域通所介護63("&amp;R11&amp;"回)"</f>
        <v>地域通所介護63(29回)</v>
      </c>
      <c r="G42" s="407">
        <f>ROUNDDOWN(P11*R11*$K$2,0)-(ROUNDDOWN(P11*R11*$K$2*$M$4,0))</f>
        <v>31523</v>
      </c>
      <c r="H42" s="433" t="str">
        <f>"地域通所介護64("&amp;R12&amp;"回)"</f>
        <v>地域通所介護64(29回)</v>
      </c>
      <c r="I42" s="407">
        <f>ROUNDDOWN(P12*R12*$K$2,0)-(ROUNDDOWN(P12*R12*$K$2*$M$4,0))</f>
        <v>35876</v>
      </c>
      <c r="J42" s="433" t="str">
        <f>"地域通所介護65("&amp;R13&amp;"回)"</f>
        <v>地域通所介護65(30回)</v>
      </c>
      <c r="K42" s="408">
        <f>ROUNDDOWN(P13*R13*$K$2,0)-(ROUNDDOWN(P13*R13*$K$2*$M$4,0))</f>
        <v>41524</v>
      </c>
      <c r="M42" s="766" t="s">
        <v>602</v>
      </c>
      <c r="N42" s="774">
        <f>【マスター】!Q38</f>
        <v>19705</v>
      </c>
      <c r="O42" s="767">
        <f t="shared" ref="O42:O45" si="0">SUM(R14,$R$15,$R$16,$R$17)</f>
        <v>-3935</v>
      </c>
      <c r="P42" s="768">
        <f>ROUNDDOWN(O42*$K$2,0)-ROUNDDOWN(N42*$K$2,0)</f>
        <v>-239708</v>
      </c>
    </row>
    <row r="43" spans="1:16">
      <c r="A43" s="2001"/>
      <c r="B43" s="409" t="str">
        <f>IF(【マスター】!C51="有","入浴介助加算(Ⅱ)("&amp;R9&amp;"回)","入浴介助加算(Ⅰ)("&amp;R9&amp;"回)")</f>
        <v>入浴介助加算(Ⅱ)(25回)</v>
      </c>
      <c r="C43" s="407">
        <f>ROUNDDOWN($Q$15*R9,0)-ROUNDDOWN($Q$15*R9*$M$4,0)</f>
        <v>1393</v>
      </c>
      <c r="D43" s="411" t="str">
        <f>IF(【マスター】!C51="有","入浴介助加算(Ⅱ)("&amp;R10&amp;"回)","入浴介助加算(Ⅰ)("&amp;R10&amp;"回)")</f>
        <v>入浴介助加算(Ⅱ)(25回)</v>
      </c>
      <c r="E43" s="407">
        <f>ROUNDDOWN($Q$15*R10,0)-ROUNDDOWN($Q$15*R10*$M$4,0)</f>
        <v>1393</v>
      </c>
      <c r="F43" s="472" t="str">
        <f>IF(【マスター】!C51="有","入浴介助加算(Ⅱ)("&amp;R11&amp;"回)","入浴介助加算(Ⅰ)("&amp;R11&amp;"回)")</f>
        <v>入浴介助加算(Ⅱ)(29回)</v>
      </c>
      <c r="G43" s="407">
        <f>ROUNDDOWN($Q$15*R11,0)-ROUNDDOWN($Q$15*R11*$M$4,0)</f>
        <v>1616</v>
      </c>
      <c r="H43" s="472" t="str">
        <f>IF(【マスター】!C51="有","入浴介助加算(Ⅱ)("&amp;R12&amp;"回)","入浴介助加算(Ⅰ)("&amp;R12&amp;"回)")</f>
        <v>入浴介助加算(Ⅱ)(29回)</v>
      </c>
      <c r="I43" s="407">
        <f>ROUNDDOWN($Q$15*R12,0)-ROUNDDOWN($Q$15*R12*$M$4,0)</f>
        <v>1616</v>
      </c>
      <c r="J43" s="472" t="str">
        <f>IF(【マスター】!C51="有","入浴介助加算(Ⅱ)("&amp;R13&amp;"回)","入浴介助加算(Ⅰ)("&amp;R13&amp;"回)")</f>
        <v>入浴介助加算(Ⅱ)(30回)</v>
      </c>
      <c r="K43" s="408">
        <f>ROUNDDOWN($Q$15*R13,0)-ROUNDDOWN($Q$15*R13*$M$4,0)</f>
        <v>1671</v>
      </c>
      <c r="L43" s="434"/>
      <c r="M43" s="766" t="s">
        <v>605</v>
      </c>
      <c r="N43" s="774">
        <f>【マスター】!Q39</f>
        <v>27048</v>
      </c>
      <c r="O43" s="767">
        <f t="shared" si="0"/>
        <v>-2230</v>
      </c>
      <c r="P43" s="768"/>
    </row>
    <row r="44" spans="1:16">
      <c r="A44" s="2001"/>
      <c r="B44" s="409" t="s">
        <v>1295</v>
      </c>
      <c r="C44" s="410">
        <f>ROUNDDOWN($P$16*(R9*2-2)*$K$2,0)-ROUNDDOWN(($P$16*(R9*2-2)*$K$2*$M$4),0)</f>
        <v>-2287</v>
      </c>
      <c r="D44" s="411" t="s">
        <v>1295</v>
      </c>
      <c r="E44" s="407">
        <f>ROUNDDOWN($P$16*(R10*2-2)*$K$2,0)-ROUNDDOWN(($P$16*(R10*2-2)*$K$2*$M$4),0)</f>
        <v>-2287</v>
      </c>
      <c r="F44" s="411" t="s">
        <v>1295</v>
      </c>
      <c r="G44" s="407">
        <f>ROUNDDOWN($P$16*(R11*2-2)*$K$2,0)-ROUNDDOWN(($P$16*(R11*2-2)*$K$2*$M$4),0)</f>
        <v>-2669</v>
      </c>
      <c r="H44" s="411" t="s">
        <v>1295</v>
      </c>
      <c r="I44" s="407">
        <f>ROUNDDOWN($P$16*(R12*2-2)*$K$2,0)-ROUNDDOWN(($P$16*(R12*2-2)*$K$2*$M$4),0)</f>
        <v>-2669</v>
      </c>
      <c r="J44" s="411" t="s">
        <v>1295</v>
      </c>
      <c r="K44" s="408">
        <f>ROUNDDOWN($P$16*(R13*2-2)*$K$2,0)-ROUNDDOWN(($P$16*(R13*2-2)*$K$2*$M$4),0)</f>
        <v>-2764</v>
      </c>
      <c r="L44" s="434"/>
      <c r="M44" s="766" t="s">
        <v>608</v>
      </c>
      <c r="N44" s="774">
        <f>【マスター】!Q40</f>
        <v>30938</v>
      </c>
      <c r="O44" s="767">
        <f t="shared" si="0"/>
        <v>-6755</v>
      </c>
      <c r="P44" s="768"/>
    </row>
    <row r="45" spans="1:16" ht="19.5" customHeight="1" thickBot="1">
      <c r="A45" s="2001"/>
      <c r="B45" s="414" t="s">
        <v>1298</v>
      </c>
      <c r="C45" s="415">
        <f>IF($H$2=$O$4,-(SUM(C42:C44)),0)</f>
        <v>0</v>
      </c>
      <c r="D45" s="416" t="s">
        <v>1298</v>
      </c>
      <c r="E45" s="415">
        <f>IF($H$2=$O$4,-(SUM(E42:E44)),0)</f>
        <v>0</v>
      </c>
      <c r="F45" s="416" t="s">
        <v>1298</v>
      </c>
      <c r="G45" s="415">
        <f>IF($H$2=$O$4,-(SUM(G42:G44)),0)</f>
        <v>0</v>
      </c>
      <c r="H45" s="416" t="s">
        <v>1298</v>
      </c>
      <c r="I45" s="415">
        <f>IF($H$2=$O$4,-(SUM(I42:I44)),0)</f>
        <v>0</v>
      </c>
      <c r="J45" s="416" t="s">
        <v>1298</v>
      </c>
      <c r="K45" s="417">
        <f>IF($H$2=$O$4,-(SUM(K42:K44)),0)</f>
        <v>0</v>
      </c>
      <c r="M45" s="766" t="s">
        <v>613</v>
      </c>
      <c r="N45" s="774">
        <f>【マスター】!Q41</f>
        <v>36217</v>
      </c>
      <c r="O45" s="767">
        <f t="shared" si="0"/>
        <v>-6755</v>
      </c>
      <c r="P45" s="768"/>
    </row>
    <row r="46" spans="1:16" ht="19.5" thickTop="1">
      <c r="A46" s="2001"/>
      <c r="B46" s="419" t="s">
        <v>1257</v>
      </c>
      <c r="C46" s="420">
        <f>$P$20*30</f>
        <v>15000</v>
      </c>
      <c r="D46" s="421" t="s">
        <v>1257</v>
      </c>
      <c r="E46" s="422">
        <f>C46</f>
        <v>15000</v>
      </c>
      <c r="F46" s="421" t="s">
        <v>1257</v>
      </c>
      <c r="G46" s="422">
        <f>C46</f>
        <v>15000</v>
      </c>
      <c r="H46" s="421" t="s">
        <v>1257</v>
      </c>
      <c r="I46" s="422">
        <f>C46</f>
        <v>15000</v>
      </c>
      <c r="J46" s="421" t="s">
        <v>1257</v>
      </c>
      <c r="K46" s="423">
        <f>C46</f>
        <v>15000</v>
      </c>
    </row>
    <row r="47" spans="1:16">
      <c r="A47" s="2001"/>
      <c r="B47" s="409" t="s">
        <v>1260</v>
      </c>
      <c r="C47" s="410">
        <f>$P$19*31</f>
        <v>17670</v>
      </c>
      <c r="D47" s="411" t="s">
        <v>1260</v>
      </c>
      <c r="E47" s="412">
        <f>C47</f>
        <v>17670</v>
      </c>
      <c r="F47" s="411" t="s">
        <v>1260</v>
      </c>
      <c r="G47" s="412">
        <f>E47</f>
        <v>17670</v>
      </c>
      <c r="H47" s="411" t="s">
        <v>1260</v>
      </c>
      <c r="I47" s="412">
        <f>G47</f>
        <v>17670</v>
      </c>
      <c r="J47" s="411" t="s">
        <v>1260</v>
      </c>
      <c r="K47" s="413">
        <f>I47</f>
        <v>17670</v>
      </c>
    </row>
    <row r="48" spans="1:16">
      <c r="A48" s="2001"/>
      <c r="B48" s="409" t="s">
        <v>1262</v>
      </c>
      <c r="C48" s="410">
        <f>$P$21*30</f>
        <v>18900</v>
      </c>
      <c r="D48" s="411" t="s">
        <v>1262</v>
      </c>
      <c r="E48" s="412">
        <f>C48</f>
        <v>18900</v>
      </c>
      <c r="F48" s="411" t="s">
        <v>1262</v>
      </c>
      <c r="G48" s="412">
        <f>E48</f>
        <v>18900</v>
      </c>
      <c r="H48" s="411" t="s">
        <v>1262</v>
      </c>
      <c r="I48" s="412">
        <f>G48</f>
        <v>18900</v>
      </c>
      <c r="J48" s="411" t="s">
        <v>1262</v>
      </c>
      <c r="K48" s="413">
        <f>I48</f>
        <v>18900</v>
      </c>
    </row>
    <row r="49" spans="1:19">
      <c r="A49" s="2001"/>
      <c r="B49" s="409" t="str">
        <f>"保険外通所介護("&amp;S9&amp;"回)"</f>
        <v>保険外通所介護(6回)</v>
      </c>
      <c r="C49" s="410">
        <f>$M$30*S9</f>
        <v>21000</v>
      </c>
      <c r="D49" s="411" t="str">
        <f>"保険外通所介護("&amp;S10&amp;"回)"</f>
        <v>保険外通所介護(6回)</v>
      </c>
      <c r="E49" s="410">
        <f>$M$30*S10</f>
        <v>21000</v>
      </c>
      <c r="F49" s="411" t="str">
        <f>"保険外通所介護("&amp;S11&amp;"回)"</f>
        <v>保険外通所介護(2回)</v>
      </c>
      <c r="G49" s="410">
        <f>$M$35*S11</f>
        <v>7000</v>
      </c>
      <c r="H49" s="411" t="str">
        <f>"保険外通所介護("&amp;S12&amp;"回)"</f>
        <v>保険外通所介護(2回)</v>
      </c>
      <c r="I49" s="410">
        <f>$M$35*S12</f>
        <v>7000</v>
      </c>
      <c r="J49" s="411" t="str">
        <f>"保険外通所介護("&amp;S13&amp;"回)"</f>
        <v>保険外通所介護(1回)</v>
      </c>
      <c r="K49" s="435">
        <f>$M$35*S13</f>
        <v>3500</v>
      </c>
      <c r="L49" s="434"/>
    </row>
    <row r="50" spans="1:19" ht="19.5" thickBot="1">
      <c r="A50" s="2001"/>
      <c r="B50" s="409" t="s">
        <v>1300</v>
      </c>
      <c r="C50" s="410">
        <f>$M$24*30</f>
        <v>36000</v>
      </c>
      <c r="D50" s="411" t="s">
        <v>1300</v>
      </c>
      <c r="E50" s="412">
        <f>C50</f>
        <v>36000</v>
      </c>
      <c r="F50" s="411" t="s">
        <v>1300</v>
      </c>
      <c r="G50" s="412">
        <f>E50</f>
        <v>36000</v>
      </c>
      <c r="H50" s="411" t="s">
        <v>1300</v>
      </c>
      <c r="I50" s="412">
        <f>G50</f>
        <v>36000</v>
      </c>
      <c r="J50" s="411" t="s">
        <v>1300</v>
      </c>
      <c r="K50" s="413">
        <f>I50</f>
        <v>36000</v>
      </c>
    </row>
    <row r="51" spans="1:19" ht="20.100000000000001" customHeight="1" thickBot="1">
      <c r="A51" s="2002"/>
      <c r="B51" s="436" t="s">
        <v>1301</v>
      </c>
      <c r="C51" s="437">
        <f>SUM(C42,C46:C50)</f>
        <v>128419</v>
      </c>
      <c r="D51" s="438" t="s">
        <v>1301</v>
      </c>
      <c r="E51" s="437">
        <f>SUM(E42,E46:E50)</f>
        <v>132019</v>
      </c>
      <c r="F51" s="438" t="s">
        <v>1301</v>
      </c>
      <c r="G51" s="437">
        <f>SUM(G42:G50)</f>
        <v>125040</v>
      </c>
      <c r="H51" s="438" t="s">
        <v>1301</v>
      </c>
      <c r="I51" s="437">
        <f>SUM(I42:I50)</f>
        <v>129393</v>
      </c>
      <c r="J51" s="438" t="s">
        <v>1301</v>
      </c>
      <c r="K51" s="439">
        <f>SUM(K42:K50)</f>
        <v>131501</v>
      </c>
    </row>
    <row r="52" spans="1:19" ht="20.100000000000001" customHeight="1">
      <c r="B52" s="1985" t="s">
        <v>1897</v>
      </c>
      <c r="C52" s="1985"/>
      <c r="D52" s="1985"/>
      <c r="E52" s="1985"/>
      <c r="F52" s="1985"/>
      <c r="G52" s="1985"/>
      <c r="H52" s="1985"/>
      <c r="I52" s="1985"/>
      <c r="J52" s="1985"/>
      <c r="K52" s="1985"/>
    </row>
    <row r="53" spans="1:19" ht="20.100000000000001" customHeight="1">
      <c r="B53" s="1986" t="s">
        <v>1312</v>
      </c>
      <c r="C53" s="1986"/>
      <c r="D53" s="1986"/>
      <c r="E53" s="1986"/>
      <c r="F53" s="1986"/>
      <c r="G53" s="1986"/>
      <c r="H53" s="1986"/>
      <c r="I53" s="1986"/>
      <c r="M53" s="315">
        <f>IF(【マスター】!C74="有",1,0)</f>
        <v>0</v>
      </c>
      <c r="N53" s="315" t="s">
        <v>594</v>
      </c>
      <c r="O53" s="315" t="str">
        <f>【マスター】!D74</f>
        <v>9.2%（1ヶ月の利用合計単位数に乗じる）</v>
      </c>
      <c r="P53" s="461"/>
    </row>
    <row r="54" spans="1:19" ht="19.5">
      <c r="B54" s="398" t="s">
        <v>1313</v>
      </c>
      <c r="M54" s="315">
        <f>IF(【マスター】!C75="有",1,0)</f>
        <v>1</v>
      </c>
      <c r="N54" s="315" t="s">
        <v>597</v>
      </c>
      <c r="O54" s="315" t="str">
        <f>【マスター】!D75</f>
        <v>9.0%（1ヶ月の利用合計単位数に乗じる）</v>
      </c>
      <c r="P54" s="461"/>
    </row>
    <row r="55" spans="1:19" ht="19.5">
      <c r="A55" s="2006" t="s">
        <v>1314</v>
      </c>
      <c r="B55" s="698" t="s">
        <v>1315</v>
      </c>
      <c r="C55" s="539" t="s">
        <v>1877</v>
      </c>
      <c r="D55" s="539" t="s">
        <v>1315</v>
      </c>
      <c r="E55" s="539" t="s">
        <v>1877</v>
      </c>
      <c r="F55" s="539" t="s">
        <v>1315</v>
      </c>
      <c r="G55" s="539" t="s">
        <v>1877</v>
      </c>
      <c r="H55" s="539" t="s">
        <v>1315</v>
      </c>
      <c r="I55" s="539" t="s">
        <v>1877</v>
      </c>
      <c r="J55" s="539" t="s">
        <v>1315</v>
      </c>
      <c r="K55" s="539" t="s">
        <v>1877</v>
      </c>
      <c r="M55" s="315">
        <f>IF(【マスター】!C76="有",1,0)</f>
        <v>0</v>
      </c>
      <c r="N55" s="315" t="s">
        <v>601</v>
      </c>
      <c r="O55" s="315" t="str">
        <f>【マスター】!D76</f>
        <v>8.0%（1ヶ月の利用合計単位数に乗じる）</v>
      </c>
      <c r="P55" s="461"/>
    </row>
    <row r="56" spans="1:19" ht="19.5">
      <c r="A56" s="2006"/>
      <c r="B56" s="464" t="str">
        <f>'料金表（1回分)'!F4</f>
        <v>入浴介助加算（Ⅰ）/日</v>
      </c>
      <c r="C56" s="699" t="str">
        <f>IF(【マスター】!C50="","算定なし",ASC("\"&amp;ROUNDDOWN(【マスター】!E50,0)-ROUNDDOWN(【マスター】!E50*$M$4,0)))</f>
        <v>\41</v>
      </c>
      <c r="D56" s="464" t="str">
        <f>'料金表（1回分)'!F9</f>
        <v>個別機能訓練加算（Ⅰ）イ/日</v>
      </c>
      <c r="E56" s="699" t="str">
        <f>IF(【マスター】!C55="","算定なし",ASC("\"&amp;ROUNDDOWN(【マスター】!E55,0)-ROUNDDOWN(【マスター】!E55*$M$4,0)))</f>
        <v>\57</v>
      </c>
      <c r="F56" s="464" t="str">
        <f>'料金表（1回分)'!F14</f>
        <v>サービス提供体制強化加算（Ⅲ）/日</v>
      </c>
      <c r="G56" s="699" t="str">
        <f>IF(【マスター】!C60="","算定なし",ASC("\"&amp;ROUNDDOWN(【マスター】!E60,0)-ROUNDDOWN(【マスター】!E60*$M$4,0)))</f>
        <v>算定なし</v>
      </c>
      <c r="H56" s="464" t="str">
        <f>'料金表（1回分)'!F19</f>
        <v>口腔機能向上加算（Ⅰ）/回</v>
      </c>
      <c r="I56" s="699" t="str">
        <f>IF(【マスター】!C65="","算定なし",ASC("\"&amp;ROUNDDOWN(【マスター】!E65,0)-ROUNDDOWN(【マスター】!E65*$M$4,0)))</f>
        <v>\153</v>
      </c>
      <c r="J56" s="464" t="str">
        <f>'料金表（1回分)'!F24</f>
        <v>生活機能向上連携加算（Ⅰ）/月</v>
      </c>
      <c r="K56" s="614" t="str">
        <f>IF(【マスター】!C70="","算定なし",ASC("\"&amp;ROUNDDOWN(【マスター】!E70,0)-ROUNDDOWN(【マスター】!E70*$M$4,0)))</f>
        <v>算定なし</v>
      </c>
      <c r="M56" s="315">
        <f>SUM(M53:M55)</f>
        <v>1</v>
      </c>
      <c r="N56" s="315" t="s">
        <v>611</v>
      </c>
      <c r="O56" s="461"/>
      <c r="P56" s="461"/>
    </row>
    <row r="57" spans="1:19">
      <c r="A57" s="2006"/>
      <c r="B57" s="464" t="str">
        <f>'料金表（1回分)'!F5</f>
        <v>入浴介助加算（Ⅱ）/日</v>
      </c>
      <c r="C57" s="699" t="str">
        <f>IF(【マスター】!C51="","算定なし",ASC("\"&amp;ROUNDDOWN(【マスター】!E51,0)-ROUNDDOWN(【マスター】!E51*$M$4,0)))</f>
        <v>\56</v>
      </c>
      <c r="D57" s="464" t="str">
        <f>'料金表（1回分)'!F10</f>
        <v>個別機能訓練加算（Ⅰ）ロ/日</v>
      </c>
      <c r="E57" s="699" t="str">
        <f>IF(【マスター】!C56="","算定なし",ASC("\"&amp;ROUNDDOWN(【マスター】!E56,0)-ROUNDDOWN(【マスター】!E56*$M$4,0)))</f>
        <v>算定なし</v>
      </c>
      <c r="F57" s="464" t="str">
        <f>'料金表（1回分)'!F15</f>
        <v>栄養改善加算/回</v>
      </c>
      <c r="G57" s="699" t="str">
        <f>IF(【マスター】!C61="","算定なし",ASC("\"&amp;ROUNDDOWN(【マスター】!E61,0)-ROUNDDOWN(【マスター】!E61*$M$4,0)))</f>
        <v>算定なし</v>
      </c>
      <c r="H57" s="464" t="str">
        <f>'料金表（1回分)'!F20</f>
        <v>口腔機能向上加算（Ⅱ）/回</v>
      </c>
      <c r="I57" s="699" t="str">
        <f>IF(【マスター】!C66="","算定なし",ASC("\"&amp;ROUNDDOWN(【マスター】!E66,0)-ROUNDDOWN(【マスター】!E66*$M$4,0)))</f>
        <v>算定なし</v>
      </c>
      <c r="J57" s="464" t="str">
        <f>'料金表（1回分)'!F25</f>
        <v>生活機能向上連携加算（Ⅱ）/月</v>
      </c>
      <c r="K57" s="614" t="str">
        <f>IF(【マスター】!C71="","算定なし",ASC("\"&amp;ROUNDDOWN(【マスター】!E71,0)-ROUNDDOWN(【マスター】!E71*$M$4,0)))</f>
        <v>算定なし</v>
      </c>
      <c r="M57" s="461"/>
      <c r="N57" s="461"/>
      <c r="O57" s="461"/>
      <c r="P57" s="461"/>
    </row>
    <row r="58" spans="1:19" ht="19.5">
      <c r="A58" s="2006"/>
      <c r="B58" s="464" t="str">
        <f>'料金表（1回分)'!F6</f>
        <v>認知症加算/日</v>
      </c>
      <c r="C58" s="699" t="str">
        <f>IF(【マスター】!C52="","算定なし",ASC("\"&amp;ROUNDDOWN(【マスター】!E52,0)-ROUNDDOWN(【マスター】!E52*$M$4,0)))</f>
        <v>算定なし</v>
      </c>
      <c r="D58" s="464" t="str">
        <f>'料金表（1回分)'!F11</f>
        <v>個別機能訓練加算（Ⅱ）/月</v>
      </c>
      <c r="E58" s="699" t="str">
        <f>IF(【マスター】!C57="","算定なし",ASC("\"&amp;ROUNDDOWN(【マスター】!E57,0)-ROUNDDOWN(【マスター】!E57*$M$4,0)))</f>
        <v>算定なし</v>
      </c>
      <c r="F58" s="464" t="str">
        <f>'料金表（1回分)'!F16</f>
        <v>栄養アセスメント加算/月</v>
      </c>
      <c r="G58" s="699" t="str">
        <f>IF(【マスター】!C62="","算定なし",ASC("\"&amp;ROUNDDOWN(【マスター】!E62,0)-ROUNDDOWN(【マスター】!E62*$M$4,0)))</f>
        <v>算定なし</v>
      </c>
      <c r="H58" s="464" t="str">
        <f>'料金表（1回分)'!F21</f>
        <v>ＡＤＬ維持等加算（Ⅰ）/月</v>
      </c>
      <c r="I58" s="699" t="str">
        <f>IF(【マスター】!C67="","算定なし",ASC("\"&amp;ROUNDDOWN(【マスター】!E67,0)-ROUNDDOWN(【マスター】!E67*$M$4,0)))</f>
        <v>算定なし</v>
      </c>
      <c r="J58" s="464" t="str">
        <f>'料金表（1回分)'!F26</f>
        <v>延長加算（1時間当たり）/回</v>
      </c>
      <c r="K58" s="614" t="str">
        <f>IF(【マスター】!C72="","算定なし",ASC("\"&amp;ROUNDDOWN(【マスター】!E72,0)-ROUNDDOWN(【マスター】!E72*$M$4,0)))</f>
        <v>\51</v>
      </c>
      <c r="M58" s="315">
        <f>IF(【マスター】!C78="有",1,0)</f>
        <v>0</v>
      </c>
      <c r="N58" s="315" t="s">
        <v>594</v>
      </c>
      <c r="O58" s="315">
        <f>【マスター】!D78</f>
        <v>0</v>
      </c>
      <c r="P58" s="461"/>
    </row>
    <row r="59" spans="1:19" ht="19.5">
      <c r="A59" s="2006"/>
      <c r="B59" s="464" t="str">
        <f>'料金表（1回分)'!F7</f>
        <v>若年性認知症利用者受入加算/日</v>
      </c>
      <c r="C59" s="699" t="str">
        <f>IF(【マスター】!C53="","算定なし",ASC("\"&amp;ROUNDDOWN(【マスター】!E53,0)-ROUNDDOWN(【マスター】!E53*$M$4,0)))</f>
        <v>\61</v>
      </c>
      <c r="D59" s="464" t="str">
        <f>'料金表（1回分)'!F12</f>
        <v>サービス提供体制強化加算（Ⅰ）/日</v>
      </c>
      <c r="E59" s="699" t="str">
        <f>IF(【マスター】!C58="","算定なし",ASC("\"&amp;ROUNDDOWN(【マスター】!E58,0)-ROUNDDOWN(【マスター】!E58*$M$4,0)))</f>
        <v>算定なし</v>
      </c>
      <c r="F59" s="464" t="str">
        <f>'料金表（1回分)'!F17</f>
        <v>口腔・栄養スクリーニング加算（Ⅰ）/回</v>
      </c>
      <c r="G59" s="699" t="str">
        <f>IF(【マスター】!C63="","算定なし",ASC("\"&amp;ROUNDDOWN(【マスター】!E63,0)-ROUNDDOWN(【マスター】!E63*$M$4,0)))</f>
        <v>算定なし</v>
      </c>
      <c r="H59" s="464" t="str">
        <f>'料金表（1回分)'!F22</f>
        <v>ＡＤＬ維持等加算（Ⅱ）/月</v>
      </c>
      <c r="I59" s="699" t="str">
        <f>IF(【マスター】!C68="","算定なし",ASC("\"&amp;ROUNDDOWN(【マスター】!E68,0)-ROUNDDOWN(【マスター】!E68*$M$4,0)))</f>
        <v>算定なし</v>
      </c>
      <c r="J59" s="464" t="str">
        <f>'料金表（1回分)'!F27</f>
        <v>科学的介護推進体制加算/月</v>
      </c>
      <c r="K59" s="614" t="str">
        <f>IF(【マスター】!C73="","算定なし",ASC("\"&amp;ROUNDDOWN(【マスター】!E73,0)-ROUNDDOWN(【マスター】!E73*$M$4,0)))</f>
        <v>\41</v>
      </c>
      <c r="M59" s="315">
        <f>IF(【マスター】!C79="有",1,0)</f>
        <v>0</v>
      </c>
      <c r="N59" s="315" t="s">
        <v>597</v>
      </c>
      <c r="O59" s="315">
        <f>【マスター】!D79</f>
        <v>0</v>
      </c>
      <c r="P59" s="461"/>
    </row>
    <row r="60" spans="1:19" ht="19.5">
      <c r="A60" s="2006"/>
      <c r="B60" s="464" t="str">
        <f>'料金表（1回分)'!F8</f>
        <v>中重度者ケア体制加算/日</v>
      </c>
      <c r="C60" s="699" t="str">
        <f>IF(【マスター】!C54="","算定なし",ASC("\"&amp;ROUNDDOWN(【マスター】!E54,0)-ROUNDDOWN(【マスター】!E54*$M$4,0)))</f>
        <v>算定なし</v>
      </c>
      <c r="D60" s="464" t="str">
        <f>'料金表（1回分)'!F13</f>
        <v>サービス提供体制強化加算（Ⅱ）/日</v>
      </c>
      <c r="E60" s="699" t="str">
        <f>IF(【マスター】!C59="","算定なし",ASC("\"&amp;ROUNDDOWN(【マスター】!E59,0)-ROUNDDOWN(【マスター】!E59*$M$4,0)))</f>
        <v>算定なし</v>
      </c>
      <c r="F60" s="464" t="str">
        <f>'料金表（1回分)'!F18</f>
        <v>口腔・栄養スクリーニング加算（Ⅱ）/回</v>
      </c>
      <c r="G60" s="699" t="str">
        <f>IF(【マスター】!C64="","算定なし",ASC("\"&amp;ROUNDDOWN(【マスター】!E64,0)-ROUNDDOWN(【マスター】!E64*$M$4,0)))</f>
        <v>算定なし</v>
      </c>
      <c r="H60" s="464" t="str">
        <f>'料金表（1回分)'!F23</f>
        <v>ＡＤＬ維持等加算（Ⅲ）/月</v>
      </c>
      <c r="I60" s="699" t="str">
        <f>IF(【マスター】!C69="","算定なし",ASC("\"&amp;ROUNDDOWN(【マスター】!E69,0)-ROUNDDOWN(【マスター】!E69*$M$4,0)))</f>
        <v>算定なし</v>
      </c>
      <c r="J60" s="461"/>
      <c r="K60" s="461"/>
      <c r="M60" s="315">
        <f>SUM(M58:M59)</f>
        <v>0</v>
      </c>
      <c r="N60" s="315" t="s">
        <v>611</v>
      </c>
      <c r="P60" s="461"/>
    </row>
    <row r="61" spans="1:19">
      <c r="A61" s="2006"/>
      <c r="B61" s="613" t="s">
        <v>1316</v>
      </c>
      <c r="C61" s="1958" t="str">
        <f>IF(M56=0,N56,VLOOKUP(1,M53:O55,3,FALSE))</f>
        <v>9.0%（1ヶ月の利用合計単位数に乗じる）</v>
      </c>
      <c r="D61" s="1959"/>
      <c r="E61" s="700" t="s">
        <v>1317</v>
      </c>
      <c r="F61" s="2004" t="str">
        <f>IF(M60=0,N60,VLOOKUP(1,M58:O59,3,FALSE))</f>
        <v>算定なし</v>
      </c>
      <c r="G61" s="2005"/>
      <c r="H61" s="700" t="s">
        <v>1898</v>
      </c>
      <c r="I61" s="1955" t="str">
        <f>IF(M63=0,N63,VLOOKUP(1,M62:O63,3,FALSE))</f>
        <v>算定なし</v>
      </c>
      <c r="J61" s="1955"/>
      <c r="K61" s="461"/>
    </row>
    <row r="62" spans="1:19" ht="19.5">
      <c r="A62" s="2003" t="str">
        <f>【マスター】!C7</f>
        <v>デイサービスさくら亭</v>
      </c>
      <c r="B62" s="2003"/>
      <c r="C62" s="2003"/>
      <c r="D62" s="2003"/>
      <c r="E62" s="2003"/>
      <c r="F62" s="1963" t="str">
        <f>"TEL:"&amp;【マスター】!C10</f>
        <v>TEL:0532-39-7855</v>
      </c>
      <c r="G62" s="1963"/>
      <c r="H62" s="1963" t="str">
        <f>"FAX:"&amp;【マスター】!I10</f>
        <v>FAX:0532-39-7856</v>
      </c>
      <c r="I62" s="1963"/>
      <c r="J62" s="1963" t="str">
        <f>"担当:"&amp;【マスター】!C21</f>
        <v>担当:小久保　幾生</v>
      </c>
      <c r="K62" s="1963"/>
      <c r="M62" s="315">
        <f>IF(【マスター】!C80="有",1,0)</f>
        <v>0</v>
      </c>
      <c r="N62" s="315" t="s">
        <v>1899</v>
      </c>
      <c r="O62" s="315">
        <f>【マスター】!D80</f>
        <v>0</v>
      </c>
      <c r="P62" s="461"/>
      <c r="Q62" s="461"/>
      <c r="R62" s="461"/>
      <c r="S62" s="461"/>
    </row>
    <row r="63" spans="1:19" ht="19.5">
      <c r="M63" s="315">
        <f>SUM(M62:M62)</f>
        <v>0</v>
      </c>
      <c r="N63" s="315" t="s">
        <v>611</v>
      </c>
      <c r="P63" s="461"/>
      <c r="Q63" s="461"/>
      <c r="R63" s="461"/>
      <c r="S63" s="461"/>
    </row>
  </sheetData>
  <sheetProtection selectLockedCells="1"/>
  <mergeCells count="24">
    <mergeCell ref="A62:E62"/>
    <mergeCell ref="F62:G62"/>
    <mergeCell ref="H62:I62"/>
    <mergeCell ref="J62:K62"/>
    <mergeCell ref="O2:S2"/>
    <mergeCell ref="B53:I53"/>
    <mergeCell ref="D4:E4"/>
    <mergeCell ref="B4:C4"/>
    <mergeCell ref="F4:G4"/>
    <mergeCell ref="H4:I4"/>
    <mergeCell ref="J4:K4"/>
    <mergeCell ref="A1:E2"/>
    <mergeCell ref="F2:G2"/>
    <mergeCell ref="F1:K1"/>
    <mergeCell ref="A55:A61"/>
    <mergeCell ref="B52:K52"/>
    <mergeCell ref="A5:A13"/>
    <mergeCell ref="C61:D61"/>
    <mergeCell ref="F61:G61"/>
    <mergeCell ref="I61:J61"/>
    <mergeCell ref="A14:A23"/>
    <mergeCell ref="A42:A51"/>
    <mergeCell ref="A33:A41"/>
    <mergeCell ref="A24:A32"/>
  </mergeCells>
  <phoneticPr fontId="16"/>
  <dataValidations disablePrompts="1" count="1">
    <dataValidation type="list" allowBlank="1" showInputMessage="1" showErrorMessage="1" sqref="H2" xr:uid="{00000000-0002-0000-1000-000000000000}">
      <formula1>$O$4:$O$7</formula1>
    </dataValidation>
  </dataValidations>
  <printOptions horizontalCentered="1" verticalCentered="1"/>
  <pageMargins left="0.23622047244094491" right="0.23622047244094491" top="0.74803149606299213" bottom="0.74803149606299213" header="0.31496062992125984" footer="0.31496062992125984"/>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FF00"/>
    <pageSetUpPr fitToPage="1"/>
  </sheetPr>
  <dimension ref="A1:AO160"/>
  <sheetViews>
    <sheetView view="pageBreakPreview" zoomScaleNormal="100" zoomScaleSheetLayoutView="100" workbookViewId="0">
      <selection activeCell="V57" sqref="V57:V58"/>
    </sheetView>
  </sheetViews>
  <sheetFormatPr defaultColWidth="9" defaultRowHeight="12"/>
  <cols>
    <col min="1" max="1" width="4.625" style="63" customWidth="1"/>
    <col min="2" max="3" width="4.625" style="77" customWidth="1"/>
    <col min="4" max="22" width="4.625" style="63" customWidth="1"/>
    <col min="23" max="23" width="4.625" style="281" customWidth="1"/>
    <col min="24" max="36" width="4.625" style="63" customWidth="1"/>
    <col min="37" max="16384" width="9" style="63"/>
  </cols>
  <sheetData>
    <row r="1" spans="1:23" ht="15" customHeight="1">
      <c r="A1" s="2064" t="s">
        <v>310</v>
      </c>
      <c r="B1" s="2064"/>
      <c r="C1" s="2064"/>
      <c r="D1" s="2064"/>
      <c r="E1" s="2064"/>
      <c r="F1" s="2064"/>
      <c r="G1" s="2064"/>
      <c r="H1" s="2064"/>
      <c r="I1" s="2064"/>
      <c r="J1" s="2064"/>
      <c r="K1" s="2064"/>
      <c r="L1" s="2064"/>
      <c r="M1" s="2064"/>
      <c r="N1" s="2064"/>
      <c r="O1" s="2064"/>
      <c r="P1" s="2064"/>
      <c r="Q1" s="2064"/>
      <c r="R1" s="2064"/>
      <c r="S1" s="2064"/>
      <c r="T1" s="2064"/>
      <c r="W1" s="280"/>
    </row>
    <row r="2" spans="1:23" ht="15" customHeight="1">
      <c r="A2" s="2064"/>
      <c r="B2" s="2064"/>
      <c r="C2" s="2064"/>
      <c r="D2" s="2064"/>
      <c r="E2" s="2064"/>
      <c r="F2" s="2064"/>
      <c r="G2" s="2064"/>
      <c r="H2" s="2064"/>
      <c r="I2" s="2064"/>
      <c r="J2" s="2064"/>
      <c r="K2" s="2064"/>
      <c r="L2" s="2064"/>
      <c r="M2" s="2064"/>
      <c r="N2" s="2064"/>
      <c r="O2" s="2064"/>
      <c r="P2" s="2064"/>
      <c r="Q2" s="2064"/>
      <c r="R2" s="2064"/>
      <c r="S2" s="2064"/>
      <c r="T2" s="2064"/>
      <c r="W2" s="280"/>
    </row>
    <row r="3" spans="1:23" s="64" customFormat="1" ht="15" customHeight="1">
      <c r="A3" s="64" t="s">
        <v>1319</v>
      </c>
      <c r="B3" s="65"/>
      <c r="C3" s="65"/>
      <c r="W3" s="282"/>
    </row>
    <row r="4" spans="1:23" s="64" customFormat="1" ht="60" customHeight="1">
      <c r="B4" s="1303" t="str">
        <f>"　"&amp;【マスター】!C22&amp;"が開設する"&amp;【マスター】!C7&amp;"(以下「事業所」という。）が行う指定地域密着型通所介護の事業（以下「事業」という。）の適正な運営を確保するために人員及び管理運営に関する事項を定め、事業所毎に置くべき従業者（以下「地域密着型通所介護従業者」という。）が、要介護状態にある高齢者に対し、適正な指定地域密着型通所介護を提供することを目的とします。"</f>
        <v>　株式会社ケアサポートが開設するデイサービスさくら亭(以下「事業所」という。）が行う指定地域密着型通所介護の事業（以下「事業」という。）の適正な運営を確保するために人員及び管理運営に関する事項を定め、事業所毎に置くべき従業者（以下「地域密着型通所介護従業者」という。）が、要介護状態にある高齢者に対し、適正な指定地域密着型通所介護を提供することを目的とします。</v>
      </c>
      <c r="C4" s="1303"/>
      <c r="D4" s="1303"/>
      <c r="E4" s="1303"/>
      <c r="F4" s="1303"/>
      <c r="G4" s="1303"/>
      <c r="H4" s="1303"/>
      <c r="I4" s="1303"/>
      <c r="J4" s="1303"/>
      <c r="K4" s="1303"/>
      <c r="L4" s="1303"/>
      <c r="M4" s="1303"/>
      <c r="N4" s="1303"/>
      <c r="O4" s="1303"/>
      <c r="P4" s="1303"/>
      <c r="Q4" s="1303"/>
      <c r="R4" s="1303"/>
      <c r="S4" s="1303"/>
      <c r="T4" s="1303"/>
      <c r="W4" s="282"/>
    </row>
    <row r="5" spans="1:23" s="64" customFormat="1" ht="15" customHeight="1">
      <c r="A5" s="64" t="s">
        <v>1320</v>
      </c>
      <c r="B5" s="65"/>
      <c r="C5" s="65"/>
      <c r="W5" s="282"/>
    </row>
    <row r="6" spans="1:23" s="64" customFormat="1" ht="90" customHeight="1">
      <c r="B6" s="1303" t="s">
        <v>1321</v>
      </c>
      <c r="C6" s="1303"/>
      <c r="D6" s="1303"/>
      <c r="E6" s="1303"/>
      <c r="F6" s="1303"/>
      <c r="G6" s="1303"/>
      <c r="H6" s="1303"/>
      <c r="I6" s="1303"/>
      <c r="J6" s="1303"/>
      <c r="K6" s="1303"/>
      <c r="L6" s="1303"/>
      <c r="M6" s="1303"/>
      <c r="N6" s="1303"/>
      <c r="O6" s="1303"/>
      <c r="P6" s="1303"/>
      <c r="Q6" s="1303"/>
      <c r="R6" s="1303"/>
      <c r="S6" s="1303"/>
      <c r="T6" s="1303"/>
      <c r="W6" s="282"/>
    </row>
    <row r="7" spans="1:23" s="64" customFormat="1" ht="15" customHeight="1">
      <c r="A7" s="64" t="s">
        <v>1322</v>
      </c>
      <c r="B7" s="65"/>
      <c r="C7" s="65"/>
      <c r="W7" s="282"/>
    </row>
    <row r="8" spans="1:23" s="64" customFormat="1" ht="15" customHeight="1">
      <c r="A8" s="307" t="s">
        <v>1323</v>
      </c>
      <c r="C8" s="65"/>
      <c r="W8" s="282"/>
    </row>
    <row r="9" spans="1:23" s="64" customFormat="1" ht="15" customHeight="1">
      <c r="A9" s="66"/>
      <c r="B9" s="2039" t="s">
        <v>312</v>
      </c>
      <c r="C9" s="2039"/>
      <c r="D9" s="2039"/>
      <c r="E9" s="2039"/>
      <c r="F9" s="2039"/>
      <c r="G9" s="79"/>
      <c r="H9" s="2027" t="str">
        <f>IF(【マスター】!C22="","",【マスター】!C22)</f>
        <v>株式会社ケアサポート</v>
      </c>
      <c r="I9" s="2028"/>
      <c r="J9" s="2028"/>
      <c r="K9" s="2028"/>
      <c r="L9" s="2028"/>
      <c r="M9" s="2028"/>
      <c r="N9" s="2028"/>
      <c r="O9" s="2028"/>
      <c r="P9" s="2028"/>
      <c r="Q9" s="2028" t="s">
        <v>313</v>
      </c>
      <c r="R9" s="2028"/>
      <c r="S9" s="2028"/>
      <c r="T9" s="2029"/>
      <c r="W9" s="282"/>
    </row>
    <row r="10" spans="1:23" s="64" customFormat="1" ht="15" customHeight="1">
      <c r="A10" s="66"/>
      <c r="B10" s="2039" t="s">
        <v>314</v>
      </c>
      <c r="C10" s="2039"/>
      <c r="D10" s="2039"/>
      <c r="E10" s="2039"/>
      <c r="F10" s="2039"/>
      <c r="G10" s="82"/>
      <c r="H10" s="2047" t="str">
        <f>""&amp;【マスター】!C26&amp;"  "&amp;【マスター】!I26&amp;""</f>
        <v>代表取締役  本多 康夫</v>
      </c>
      <c r="I10" s="2048"/>
      <c r="J10" s="2048"/>
      <c r="K10" s="2048"/>
      <c r="L10" s="2048"/>
      <c r="M10" s="2048"/>
      <c r="N10" s="2048"/>
      <c r="O10" s="2048"/>
      <c r="P10" s="2048"/>
      <c r="Q10" s="2048"/>
      <c r="R10" s="2048"/>
      <c r="S10" s="2048"/>
      <c r="T10" s="2049"/>
      <c r="W10" s="282"/>
    </row>
    <row r="11" spans="1:23" s="64" customFormat="1" ht="15" customHeight="1">
      <c r="A11" s="474"/>
      <c r="B11" s="2051" t="s">
        <v>315</v>
      </c>
      <c r="C11" s="2051"/>
      <c r="D11" s="2051"/>
      <c r="E11" s="2051"/>
      <c r="F11" s="2051"/>
      <c r="G11" s="475"/>
      <c r="H11" s="2054" t="s">
        <v>316</v>
      </c>
      <c r="I11" s="2055"/>
      <c r="J11" s="2055"/>
      <c r="K11" s="2056" t="str">
        <f>DBCS(【マスター】!F23&amp;" "&amp;【マスター】!C24)</f>
        <v>愛知県豊川市大堀町２９３番地　</v>
      </c>
      <c r="L11" s="2056"/>
      <c r="M11" s="2056"/>
      <c r="N11" s="2056"/>
      <c r="O11" s="2056"/>
      <c r="P11" s="2056"/>
      <c r="Q11" s="2056"/>
      <c r="R11" s="2056"/>
      <c r="S11" s="2056"/>
      <c r="T11" s="2057"/>
      <c r="W11" s="282"/>
    </row>
    <row r="12" spans="1:23" s="64" customFormat="1" ht="15" customHeight="1">
      <c r="A12" s="67"/>
      <c r="B12" s="2053"/>
      <c r="C12" s="2053"/>
      <c r="D12" s="2053"/>
      <c r="E12" s="2053"/>
      <c r="F12" s="2053"/>
      <c r="G12" s="81"/>
      <c r="H12" s="2058" t="s">
        <v>317</v>
      </c>
      <c r="I12" s="2059"/>
      <c r="J12" s="2059"/>
      <c r="K12" s="1248" t="str">
        <f>DBCS(【マスター】!C25)</f>
        <v>０５３３－６５－８７０２</v>
      </c>
      <c r="L12" s="1248"/>
      <c r="M12" s="1248"/>
      <c r="N12" s="1248"/>
      <c r="O12" s="1248"/>
      <c r="P12" s="1248"/>
      <c r="Q12" s="1248"/>
      <c r="R12" s="1248"/>
      <c r="S12" s="1248"/>
      <c r="T12" s="1249"/>
      <c r="W12" s="282"/>
    </row>
    <row r="13" spans="1:23" s="64" customFormat="1" ht="15" customHeight="1">
      <c r="A13" s="68"/>
      <c r="B13" s="2063"/>
      <c r="C13" s="2063"/>
      <c r="D13" s="2063"/>
      <c r="E13" s="2063"/>
      <c r="F13" s="2063"/>
      <c r="G13" s="213"/>
      <c r="H13" s="2060" t="s">
        <v>318</v>
      </c>
      <c r="I13" s="2061"/>
      <c r="J13" s="2061"/>
      <c r="K13" s="1250" t="str">
        <f>DBCS(【マスター】!I25)</f>
        <v>０５３３－６５－８７０３</v>
      </c>
      <c r="L13" s="1250"/>
      <c r="M13" s="1250"/>
      <c r="N13" s="1250"/>
      <c r="O13" s="1250"/>
      <c r="P13" s="1250"/>
      <c r="Q13" s="1250"/>
      <c r="R13" s="1250"/>
      <c r="S13" s="1250"/>
      <c r="T13" s="1251"/>
      <c r="W13" s="282"/>
    </row>
    <row r="14" spans="1:23" s="64" customFormat="1" ht="15" customHeight="1">
      <c r="A14" s="306" t="s">
        <v>321</v>
      </c>
      <c r="C14" s="65"/>
      <c r="W14" s="282"/>
    </row>
    <row r="15" spans="1:23" s="64" customFormat="1" ht="15" customHeight="1">
      <c r="A15" s="78"/>
      <c r="B15" s="2039" t="s">
        <v>78</v>
      </c>
      <c r="C15" s="2039"/>
      <c r="D15" s="2039"/>
      <c r="E15" s="2039"/>
      <c r="F15" s="2039"/>
      <c r="G15" s="79"/>
      <c r="H15" s="2052" t="str">
        <f>IF(【マスター】!C7="","",【マスター】!C7)</f>
        <v>デイサービスさくら亭</v>
      </c>
      <c r="I15" s="2052"/>
      <c r="J15" s="2052"/>
      <c r="K15" s="2052"/>
      <c r="L15" s="2052"/>
      <c r="M15" s="2052"/>
      <c r="N15" s="2052"/>
      <c r="O15" s="2052"/>
      <c r="P15" s="2052"/>
      <c r="Q15" s="2052"/>
      <c r="R15" s="2052"/>
      <c r="S15" s="2052"/>
      <c r="T15" s="2052"/>
      <c r="W15" s="282"/>
    </row>
    <row r="16" spans="1:23" s="64" customFormat="1" ht="15" customHeight="1">
      <c r="A16" s="476"/>
      <c r="B16" s="2051" t="s">
        <v>315</v>
      </c>
      <c r="C16" s="2051"/>
      <c r="D16" s="2051"/>
      <c r="E16" s="2051"/>
      <c r="F16" s="2051"/>
      <c r="G16" s="475"/>
      <c r="H16" s="2054" t="s">
        <v>316</v>
      </c>
      <c r="I16" s="2055"/>
      <c r="J16" s="2055"/>
      <c r="K16" s="2056" t="str">
        <f>DBCS(【マスター】!F8&amp;【マスター】!C9)</f>
        <v>愛知県豊橋市東田中郷町１１番</v>
      </c>
      <c r="L16" s="2056"/>
      <c r="M16" s="2056"/>
      <c r="N16" s="2056"/>
      <c r="O16" s="2056"/>
      <c r="P16" s="2056"/>
      <c r="Q16" s="2056"/>
      <c r="R16" s="2056"/>
      <c r="S16" s="2056"/>
      <c r="T16" s="2057"/>
      <c r="W16" s="282"/>
    </row>
    <row r="17" spans="1:23" s="64" customFormat="1" ht="15" customHeight="1">
      <c r="A17" s="80"/>
      <c r="B17" s="2053"/>
      <c r="C17" s="2053"/>
      <c r="D17" s="2053"/>
      <c r="E17" s="2053"/>
      <c r="F17" s="2053"/>
      <c r="G17" s="81"/>
      <c r="H17" s="2058" t="s">
        <v>317</v>
      </c>
      <c r="I17" s="2059"/>
      <c r="J17" s="2059"/>
      <c r="K17" s="1248" t="str">
        <f>DBCS(【マスター】!C10)</f>
        <v>０５３２－３９－７８５５</v>
      </c>
      <c r="L17" s="1248"/>
      <c r="M17" s="1248"/>
      <c r="N17" s="1248"/>
      <c r="O17" s="1248"/>
      <c r="P17" s="1248"/>
      <c r="Q17" s="1248"/>
      <c r="R17" s="1248"/>
      <c r="S17" s="1248"/>
      <c r="T17" s="1249"/>
      <c r="W17" s="282"/>
    </row>
    <row r="18" spans="1:23" s="64" customFormat="1" ht="15" customHeight="1">
      <c r="A18" s="80"/>
      <c r="B18" s="2053"/>
      <c r="C18" s="2053"/>
      <c r="D18" s="2053"/>
      <c r="E18" s="2053"/>
      <c r="F18" s="2053"/>
      <c r="G18" s="81"/>
      <c r="H18" s="2060" t="s">
        <v>318</v>
      </c>
      <c r="I18" s="2061"/>
      <c r="J18" s="2061"/>
      <c r="K18" s="1250" t="str">
        <f>DBCS(【マスター】!I10)</f>
        <v>０５３２－３９－７８５６</v>
      </c>
      <c r="L18" s="1250"/>
      <c r="M18" s="1250"/>
      <c r="N18" s="1250"/>
      <c r="O18" s="1250"/>
      <c r="P18" s="1250"/>
      <c r="Q18" s="1250"/>
      <c r="R18" s="1250"/>
      <c r="S18" s="1250"/>
      <c r="T18" s="1251"/>
      <c r="W18" s="282"/>
    </row>
    <row r="19" spans="1:23" s="64" customFormat="1" ht="15" customHeight="1">
      <c r="A19" s="78"/>
      <c r="B19" s="2039" t="s">
        <v>89</v>
      </c>
      <c r="C19" s="2039"/>
      <c r="D19" s="2039"/>
      <c r="E19" s="2039"/>
      <c r="F19" s="2039"/>
      <c r="G19" s="82"/>
      <c r="H19" s="2062" t="str">
        <f>DBCS(【マスター】!C11&amp;【マスター】!D11&amp;【マスター】!E11&amp;【マスター】!F11&amp;【マスター】!G11&amp;【マスター】!H11&amp;【マスター】!I11&amp;【マスター】!J11&amp;【マスター】!K11&amp;【マスター】!L11)</f>
        <v>２３９２０００６０６</v>
      </c>
      <c r="I19" s="2062"/>
      <c r="J19" s="2062"/>
      <c r="K19" s="2062"/>
      <c r="L19" s="2062"/>
      <c r="M19" s="2062"/>
      <c r="N19" s="2062"/>
      <c r="O19" s="2062"/>
      <c r="P19" s="2062"/>
      <c r="Q19" s="2062"/>
      <c r="R19" s="2062"/>
      <c r="S19" s="2062"/>
      <c r="T19" s="2062"/>
      <c r="W19" s="282"/>
    </row>
    <row r="20" spans="1:23" s="64" customFormat="1" ht="15" customHeight="1">
      <c r="A20" s="78"/>
      <c r="B20" s="2039" t="s">
        <v>322</v>
      </c>
      <c r="C20" s="2039"/>
      <c r="D20" s="2039"/>
      <c r="E20" s="2039"/>
      <c r="F20" s="2039"/>
      <c r="G20" s="82"/>
      <c r="H20" s="2062" t="str">
        <f>IF(【マスター】!C21="","",【マスター】!C21)</f>
        <v>小久保　幾生</v>
      </c>
      <c r="I20" s="2062"/>
      <c r="J20" s="2062"/>
      <c r="K20" s="2062"/>
      <c r="L20" s="2062"/>
      <c r="M20" s="2062"/>
      <c r="N20" s="2062"/>
      <c r="O20" s="2062"/>
      <c r="P20" s="2062"/>
      <c r="Q20" s="2062"/>
      <c r="R20" s="2062"/>
      <c r="S20" s="2062"/>
      <c r="T20" s="2062"/>
      <c r="W20" s="282"/>
    </row>
    <row r="21" spans="1:23" s="64" customFormat="1" ht="15" customHeight="1">
      <c r="A21" s="78"/>
      <c r="B21" s="2039" t="s">
        <v>323</v>
      </c>
      <c r="C21" s="2039"/>
      <c r="D21" s="2039"/>
      <c r="E21" s="2039"/>
      <c r="F21" s="2039"/>
      <c r="G21" s="82"/>
      <c r="H21" s="2043" t="s">
        <v>1324</v>
      </c>
      <c r="I21" s="2044"/>
      <c r="J21" s="2044"/>
      <c r="K21" s="2044"/>
      <c r="L21" s="2044"/>
      <c r="M21" s="2044"/>
      <c r="N21" s="242" t="str">
        <f>DBCS(【マスター】!C18)</f>
        <v>１８</v>
      </c>
      <c r="O21" s="2044" t="s">
        <v>325</v>
      </c>
      <c r="P21" s="2044"/>
      <c r="Q21" s="221"/>
      <c r="R21" s="221"/>
      <c r="S21" s="221"/>
      <c r="T21" s="222"/>
      <c r="W21" s="282"/>
    </row>
    <row r="22" spans="1:23" s="64" customFormat="1" ht="15" customHeight="1">
      <c r="A22" s="306" t="s">
        <v>327</v>
      </c>
      <c r="C22" s="65"/>
      <c r="W22" s="282"/>
    </row>
    <row r="23" spans="1:23" s="64" customFormat="1" ht="15" customHeight="1">
      <c r="A23" s="2067" t="s">
        <v>143</v>
      </c>
      <c r="B23" s="2067"/>
      <c r="C23" s="2067"/>
      <c r="D23" s="2067"/>
      <c r="E23" s="2067"/>
      <c r="F23" s="2068" t="s">
        <v>144</v>
      </c>
      <c r="G23" s="2069"/>
      <c r="H23" s="2072" t="s">
        <v>328</v>
      </c>
      <c r="I23" s="2072"/>
      <c r="J23" s="2072"/>
      <c r="K23" s="2072"/>
      <c r="L23" s="2072"/>
      <c r="M23" s="2072"/>
      <c r="N23" s="2072"/>
      <c r="O23" s="2072"/>
      <c r="P23" s="2054" t="s">
        <v>329</v>
      </c>
      <c r="Q23" s="2055"/>
      <c r="R23" s="2055"/>
      <c r="S23" s="2055"/>
      <c r="T23" s="2073"/>
      <c r="W23" s="282"/>
    </row>
    <row r="24" spans="1:23" s="64" customFormat="1" ht="15" customHeight="1">
      <c r="A24" s="2067"/>
      <c r="B24" s="2067"/>
      <c r="C24" s="2067"/>
      <c r="D24" s="2067"/>
      <c r="E24" s="2067"/>
      <c r="F24" s="2070"/>
      <c r="G24" s="2071"/>
      <c r="H24" s="1192" t="s">
        <v>330</v>
      </c>
      <c r="I24" s="1192"/>
      <c r="J24" s="1192" t="s">
        <v>331</v>
      </c>
      <c r="K24" s="1192"/>
      <c r="L24" s="1192" t="s">
        <v>332</v>
      </c>
      <c r="M24" s="1192"/>
      <c r="N24" s="1192" t="s">
        <v>333</v>
      </c>
      <c r="O24" s="1192"/>
      <c r="P24" s="2058"/>
      <c r="Q24" s="2059"/>
      <c r="R24" s="2059"/>
      <c r="S24" s="2059"/>
      <c r="T24" s="2074"/>
      <c r="W24" s="282"/>
    </row>
    <row r="25" spans="1:23" s="64" customFormat="1" ht="15" customHeight="1">
      <c r="A25" s="2067"/>
      <c r="B25" s="2067"/>
      <c r="C25" s="2067"/>
      <c r="D25" s="2067"/>
      <c r="E25" s="2067"/>
      <c r="F25" s="2035" t="s">
        <v>146</v>
      </c>
      <c r="G25" s="2036"/>
      <c r="H25" s="2035" t="s">
        <v>146</v>
      </c>
      <c r="I25" s="2036"/>
      <c r="J25" s="2035" t="s">
        <v>146</v>
      </c>
      <c r="K25" s="2036"/>
      <c r="L25" s="2035" t="s">
        <v>146</v>
      </c>
      <c r="M25" s="2036"/>
      <c r="N25" s="2035" t="s">
        <v>146</v>
      </c>
      <c r="O25" s="2036"/>
      <c r="P25" s="2075"/>
      <c r="Q25" s="2076"/>
      <c r="R25" s="2076"/>
      <c r="S25" s="2076"/>
      <c r="T25" s="2077"/>
      <c r="W25" s="282"/>
    </row>
    <row r="26" spans="1:23" s="64" customFormat="1" ht="15" customHeight="1">
      <c r="A26" s="2037" t="s">
        <v>334</v>
      </c>
      <c r="B26" s="2037"/>
      <c r="C26" s="2037"/>
      <c r="D26" s="2037"/>
      <c r="E26" s="2037"/>
      <c r="F26" s="2030" t="str">
        <f>DBCS(【マスター】!C32)</f>
        <v>１</v>
      </c>
      <c r="G26" s="2031"/>
      <c r="H26" s="2030" t="str">
        <f>DBCS(【マスター】!D32)</f>
        <v/>
      </c>
      <c r="I26" s="2031"/>
      <c r="J26" s="2030" t="str">
        <f>DBCS(【マスター】!F32)</f>
        <v>１</v>
      </c>
      <c r="K26" s="2031"/>
      <c r="L26" s="2065"/>
      <c r="M26" s="2066"/>
      <c r="N26" s="2065"/>
      <c r="O26" s="2066"/>
      <c r="P26" s="2032" t="s">
        <v>335</v>
      </c>
      <c r="Q26" s="2033"/>
      <c r="R26" s="2033"/>
      <c r="S26" s="2033"/>
      <c r="T26" s="2034"/>
      <c r="W26" s="282"/>
    </row>
    <row r="27" spans="1:23" s="64" customFormat="1" ht="15" customHeight="1">
      <c r="A27" s="2037" t="s">
        <v>152</v>
      </c>
      <c r="B27" s="2037"/>
      <c r="C27" s="2037"/>
      <c r="D27" s="2037"/>
      <c r="E27" s="2037"/>
      <c r="F27" s="2030" t="str">
        <f>DBCS(【マスター】!C33)</f>
        <v>３</v>
      </c>
      <c r="G27" s="2031"/>
      <c r="H27" s="2030" t="str">
        <f>DBCS(【マスター】!D33)</f>
        <v/>
      </c>
      <c r="I27" s="2031"/>
      <c r="J27" s="2030" t="str">
        <f>DBCS(【マスター】!F33)</f>
        <v>３</v>
      </c>
      <c r="K27" s="2031"/>
      <c r="L27" s="2030" t="str">
        <f>DBCS(【マスター】!H33)</f>
        <v/>
      </c>
      <c r="M27" s="2031"/>
      <c r="N27" s="2030" t="str">
        <f>DBCS(【マスター】!J33)</f>
        <v/>
      </c>
      <c r="O27" s="2031"/>
      <c r="P27" s="2032" t="s">
        <v>336</v>
      </c>
      <c r="Q27" s="2033"/>
      <c r="R27" s="2033"/>
      <c r="S27" s="2033"/>
      <c r="T27" s="2034"/>
      <c r="W27" s="282"/>
    </row>
    <row r="28" spans="1:23" s="64" customFormat="1" ht="15" customHeight="1">
      <c r="A28" s="2037" t="s">
        <v>337</v>
      </c>
      <c r="B28" s="2037"/>
      <c r="C28" s="2037"/>
      <c r="D28" s="2037"/>
      <c r="E28" s="2037"/>
      <c r="F28" s="2030" t="str">
        <f>DBCS(【マスター】!C34)</f>
        <v>９</v>
      </c>
      <c r="G28" s="2031"/>
      <c r="H28" s="2030" t="str">
        <f>DBCS(【マスター】!D34)</f>
        <v>１</v>
      </c>
      <c r="I28" s="2031"/>
      <c r="J28" s="2030" t="str">
        <f>DBCS(【マスター】!F34)</f>
        <v>５</v>
      </c>
      <c r="K28" s="2031"/>
      <c r="L28" s="2030" t="str">
        <f>DBCS(【マスター】!H34)</f>
        <v>３</v>
      </c>
      <c r="M28" s="2031"/>
      <c r="N28" s="2030" t="str">
        <f>DBCS(【マスター】!J34)</f>
        <v/>
      </c>
      <c r="O28" s="2031"/>
      <c r="P28" s="2032" t="s">
        <v>338</v>
      </c>
      <c r="Q28" s="2033"/>
      <c r="R28" s="2033"/>
      <c r="S28" s="2033"/>
      <c r="T28" s="2034"/>
      <c r="W28" s="282"/>
    </row>
    <row r="29" spans="1:23" s="64" customFormat="1" ht="15" customHeight="1">
      <c r="A29" s="2037" t="s">
        <v>154</v>
      </c>
      <c r="B29" s="2037"/>
      <c r="C29" s="2037"/>
      <c r="D29" s="2037"/>
      <c r="E29" s="2037"/>
      <c r="F29" s="2030" t="str">
        <f>DBCS(【マスター】!C35)</f>
        <v>３</v>
      </c>
      <c r="G29" s="2031"/>
      <c r="H29" s="2030" t="str">
        <f>DBCS(【マスター】!D35)</f>
        <v/>
      </c>
      <c r="I29" s="2031"/>
      <c r="J29" s="2030" t="str">
        <f>DBCS(【マスター】!F35)</f>
        <v>２</v>
      </c>
      <c r="K29" s="2031"/>
      <c r="L29" s="2030" t="str">
        <f>DBCS(【マスター】!H35)</f>
        <v/>
      </c>
      <c r="M29" s="2031"/>
      <c r="N29" s="2030" t="str">
        <f>DBCS(【マスター】!J35)</f>
        <v>１</v>
      </c>
      <c r="O29" s="2031"/>
      <c r="P29" s="2032" t="s">
        <v>339</v>
      </c>
      <c r="Q29" s="2033"/>
      <c r="R29" s="2033"/>
      <c r="S29" s="2033"/>
      <c r="T29" s="2034"/>
      <c r="W29" s="282"/>
    </row>
    <row r="30" spans="1:23" s="64" customFormat="1" ht="15" customHeight="1">
      <c r="A30" s="2037" t="s">
        <v>1325</v>
      </c>
      <c r="B30" s="2037"/>
      <c r="C30" s="2037"/>
      <c r="D30" s="2037"/>
      <c r="E30" s="2037"/>
      <c r="F30" s="2030" t="str">
        <f>DBCS(【マスター】!C36)</f>
        <v>３</v>
      </c>
      <c r="G30" s="2031"/>
      <c r="H30" s="2030" t="str">
        <f>DBCS(【マスター】!D36)</f>
        <v/>
      </c>
      <c r="I30" s="2031"/>
      <c r="J30" s="2030" t="str">
        <f>DBCS(【マスター】!F36)</f>
        <v>２</v>
      </c>
      <c r="K30" s="2031"/>
      <c r="L30" s="2030" t="str">
        <f>DBCS(【マスター】!H36)</f>
        <v/>
      </c>
      <c r="M30" s="2031"/>
      <c r="N30" s="2030" t="str">
        <f>DBCS(【マスター】!J36)</f>
        <v>１</v>
      </c>
      <c r="O30" s="2031"/>
      <c r="P30" s="2032" t="s">
        <v>1326</v>
      </c>
      <c r="Q30" s="2033"/>
      <c r="R30" s="2033"/>
      <c r="S30" s="2033"/>
      <c r="T30" s="2034"/>
      <c r="W30" s="282"/>
    </row>
    <row r="31" spans="1:23" s="64" customFormat="1" ht="15" customHeight="1">
      <c r="A31" s="306" t="s">
        <v>351</v>
      </c>
      <c r="C31" s="65"/>
      <c r="W31" s="282"/>
    </row>
    <row r="32" spans="1:23" s="64" customFormat="1" ht="15" customHeight="1">
      <c r="A32" s="2043" t="s">
        <v>352</v>
      </c>
      <c r="B32" s="2044"/>
      <c r="C32" s="2044"/>
      <c r="D32" s="2044"/>
      <c r="E32" s="2045"/>
      <c r="F32" s="2027" t="str">
        <f>""&amp;【マスター】!C17&amp;IF(【マスター】!E17=0," ","・")&amp;【マスター】!E17&amp;""&amp;IF(【マスター】!G17=0," ","・")&amp;【マスター】!G17&amp;""&amp;IF(【マスター】!I17=0," ","・")&amp;【マスター】!I17&amp;""&amp;IF(【マスター】!K17=0," ","・")&amp;【マスター】!K17&amp;""</f>
        <v xml:space="preserve">豊橋市・豊川市   </v>
      </c>
      <c r="G32" s="2028"/>
      <c r="H32" s="2028"/>
      <c r="I32" s="2028"/>
      <c r="J32" s="2028"/>
      <c r="K32" s="2028"/>
      <c r="L32" s="2028"/>
      <c r="M32" s="2028"/>
      <c r="N32" s="2028"/>
      <c r="O32" s="2028"/>
      <c r="P32" s="2028"/>
      <c r="Q32" s="2028"/>
      <c r="R32" s="2028"/>
      <c r="S32" s="2028"/>
      <c r="T32" s="2029"/>
      <c r="W32" s="282"/>
    </row>
    <row r="33" spans="1:23" s="64" customFormat="1" ht="15" customHeight="1">
      <c r="A33" s="306" t="s">
        <v>354</v>
      </c>
      <c r="C33" s="69"/>
      <c r="D33" s="69"/>
      <c r="E33" s="69"/>
      <c r="F33" s="69"/>
      <c r="G33" s="69"/>
      <c r="H33" s="69"/>
      <c r="I33" s="69"/>
      <c r="J33" s="69"/>
      <c r="K33" s="69"/>
      <c r="L33" s="69"/>
      <c r="M33" s="69"/>
      <c r="N33" s="69"/>
      <c r="O33" s="69"/>
      <c r="P33" s="69"/>
      <c r="Q33" s="69"/>
      <c r="R33" s="69"/>
      <c r="S33" s="69"/>
      <c r="T33" s="69"/>
      <c r="W33" s="282"/>
    </row>
    <row r="34" spans="1:23" s="64" customFormat="1" ht="15" customHeight="1">
      <c r="A34" s="474"/>
      <c r="B34" s="2051" t="s">
        <v>355</v>
      </c>
      <c r="C34" s="2051"/>
      <c r="D34" s="2051"/>
      <c r="E34" s="2051"/>
      <c r="F34" s="2051"/>
      <c r="G34" s="475"/>
      <c r="H34" s="2045" t="str">
        <f>【マスター】!K16</f>
        <v>月曜日～日曜日（祝日を含む）</v>
      </c>
      <c r="I34" s="1219"/>
      <c r="J34" s="1219"/>
      <c r="K34" s="1219"/>
      <c r="L34" s="1219"/>
      <c r="M34" s="1219"/>
      <c r="N34" s="1219"/>
      <c r="O34" s="69"/>
      <c r="P34" s="69"/>
      <c r="Q34" s="69"/>
      <c r="R34" s="69"/>
      <c r="S34" s="69"/>
      <c r="T34" s="69"/>
      <c r="W34" s="282"/>
    </row>
    <row r="35" spans="1:23" s="64" customFormat="1" ht="15" customHeight="1">
      <c r="A35" s="66"/>
      <c r="B35" s="2039" t="s">
        <v>357</v>
      </c>
      <c r="C35" s="2039"/>
      <c r="D35" s="2039"/>
      <c r="E35" s="2039"/>
      <c r="F35" s="2039"/>
      <c r="G35" s="79"/>
      <c r="H35" s="2094" t="str">
        <f>DBCS(【マスター】!C13&amp;【マスター】!D13&amp;【マスター】!E13)</f>
        <v>６：３０～２０：３０</v>
      </c>
      <c r="I35" s="2095"/>
      <c r="J35" s="2095"/>
      <c r="K35" s="2095"/>
      <c r="L35" s="2095"/>
      <c r="M35" s="2095"/>
      <c r="N35" s="2096"/>
      <c r="O35" s="69"/>
      <c r="P35" s="69"/>
      <c r="Q35" s="69"/>
      <c r="R35" s="69"/>
      <c r="S35" s="69"/>
      <c r="T35" s="69"/>
      <c r="W35" s="282"/>
    </row>
    <row r="36" spans="1:23" s="64" customFormat="1" ht="15" customHeight="1">
      <c r="A36" s="66"/>
      <c r="B36" s="2039" t="s">
        <v>94</v>
      </c>
      <c r="C36" s="2039"/>
      <c r="D36" s="2039"/>
      <c r="E36" s="2039"/>
      <c r="F36" s="2039"/>
      <c r="G36" s="79"/>
      <c r="H36" s="2040" t="str">
        <f>DBCS(【マスター】!I13&amp;【マスター】!J13&amp;【マスター】!K13)</f>
        <v>９：３０～１７：３０</v>
      </c>
      <c r="I36" s="2041"/>
      <c r="J36" s="2041"/>
      <c r="K36" s="2041"/>
      <c r="L36" s="2041"/>
      <c r="M36" s="2041"/>
      <c r="N36" s="2042"/>
      <c r="O36" s="69"/>
      <c r="P36" s="69"/>
      <c r="Q36" s="69"/>
      <c r="R36" s="69"/>
      <c r="S36" s="69"/>
      <c r="T36" s="69"/>
      <c r="W36" s="282"/>
    </row>
    <row r="37" spans="1:23" s="31" customFormat="1" ht="15" customHeight="1">
      <c r="A37" s="64"/>
      <c r="B37" s="65"/>
      <c r="C37" s="69"/>
      <c r="D37" s="69"/>
      <c r="E37" s="69"/>
      <c r="F37" s="69"/>
      <c r="H37" s="64" t="str">
        <f>IF(【マスター】!C14="","","※ただし送迎対応時間は、"&amp;【マスター】!C14&amp;【マスター】!D14&amp;【マスター】!E14&amp;"とします。")</f>
        <v>※ただし送迎対応時間は、6:30～20:30とします。</v>
      </c>
      <c r="I37" s="69"/>
      <c r="J37" s="69"/>
      <c r="K37" s="69"/>
      <c r="L37" s="69"/>
      <c r="M37" s="69"/>
      <c r="N37" s="69"/>
      <c r="O37" s="69"/>
      <c r="P37" s="69"/>
      <c r="Q37" s="69"/>
      <c r="R37" s="69"/>
      <c r="S37" s="69"/>
      <c r="T37" s="69"/>
      <c r="U37" s="64"/>
      <c r="W37" s="196"/>
    </row>
    <row r="38" spans="1:23" s="64" customFormat="1" ht="15" customHeight="1">
      <c r="A38" s="63" t="s">
        <v>1327</v>
      </c>
      <c r="B38" s="65"/>
      <c r="C38" s="65"/>
      <c r="W38" s="282"/>
    </row>
    <row r="39" spans="1:23" s="64" customFormat="1" ht="15" customHeight="1">
      <c r="A39" s="2037" t="s">
        <v>361</v>
      </c>
      <c r="B39" s="2037"/>
      <c r="C39" s="2037"/>
      <c r="D39" s="2037"/>
      <c r="E39" s="2037"/>
      <c r="F39" s="2043" t="s">
        <v>362</v>
      </c>
      <c r="G39" s="2044"/>
      <c r="H39" s="2044"/>
      <c r="I39" s="2044"/>
      <c r="J39" s="2044"/>
      <c r="K39" s="2044"/>
      <c r="L39" s="2044"/>
      <c r="M39" s="2044"/>
      <c r="N39" s="2044"/>
      <c r="O39" s="2044"/>
      <c r="P39" s="2044"/>
      <c r="Q39" s="2044"/>
      <c r="R39" s="2044"/>
      <c r="S39" s="2044"/>
      <c r="T39" s="2045"/>
      <c r="W39" s="282"/>
    </row>
    <row r="40" spans="1:23" s="64" customFormat="1" ht="15" customHeight="1">
      <c r="A40" s="477"/>
      <c r="B40" s="2023" t="s">
        <v>363</v>
      </c>
      <c r="C40" s="2023"/>
      <c r="D40" s="2023"/>
      <c r="E40" s="478"/>
      <c r="F40" s="2024" t="s">
        <v>1883</v>
      </c>
      <c r="G40" s="2025"/>
      <c r="H40" s="2025"/>
      <c r="I40" s="2025"/>
      <c r="J40" s="2025"/>
      <c r="K40" s="2025"/>
      <c r="L40" s="2025"/>
      <c r="M40" s="2025"/>
      <c r="N40" s="2025"/>
      <c r="O40" s="2025"/>
      <c r="P40" s="2025"/>
      <c r="Q40" s="2025"/>
      <c r="R40" s="2025"/>
      <c r="S40" s="2025"/>
      <c r="T40" s="2026"/>
      <c r="W40" s="282"/>
    </row>
    <row r="41" spans="1:23" s="64" customFormat="1" ht="15" customHeight="1">
      <c r="A41" s="477"/>
      <c r="B41" s="2023" t="s">
        <v>368</v>
      </c>
      <c r="C41" s="2023"/>
      <c r="D41" s="2023"/>
      <c r="E41" s="478"/>
      <c r="F41" s="2024" t="s">
        <v>1328</v>
      </c>
      <c r="G41" s="2025"/>
      <c r="H41" s="2025"/>
      <c r="I41" s="2025"/>
      <c r="J41" s="2025"/>
      <c r="K41" s="2025"/>
      <c r="L41" s="2025"/>
      <c r="M41" s="2025"/>
      <c r="N41" s="2025"/>
      <c r="O41" s="2025"/>
      <c r="P41" s="2025"/>
      <c r="Q41" s="2025"/>
      <c r="R41" s="2025"/>
      <c r="S41" s="2025"/>
      <c r="T41" s="2026"/>
      <c r="W41" s="282"/>
    </row>
    <row r="42" spans="1:23" s="64" customFormat="1" ht="30" customHeight="1">
      <c r="A42" s="477"/>
      <c r="B42" s="2023" t="s">
        <v>371</v>
      </c>
      <c r="C42" s="2023"/>
      <c r="D42" s="2023"/>
      <c r="E42" s="478"/>
      <c r="F42" s="1263" t="s">
        <v>372</v>
      </c>
      <c r="G42" s="1246"/>
      <c r="H42" s="1246"/>
      <c r="I42" s="1246"/>
      <c r="J42" s="1246"/>
      <c r="K42" s="1246"/>
      <c r="L42" s="1246"/>
      <c r="M42" s="1246"/>
      <c r="N42" s="1246"/>
      <c r="O42" s="1246"/>
      <c r="P42" s="1246"/>
      <c r="Q42" s="1246"/>
      <c r="R42" s="1246"/>
      <c r="S42" s="1246"/>
      <c r="T42" s="1247"/>
      <c r="W42" s="282"/>
    </row>
    <row r="43" spans="1:23" s="64" customFormat="1" ht="30" customHeight="1">
      <c r="A43" s="477"/>
      <c r="B43" s="2023" t="s">
        <v>373</v>
      </c>
      <c r="C43" s="2023"/>
      <c r="D43" s="2023"/>
      <c r="E43" s="478"/>
      <c r="F43" s="1263" t="s">
        <v>1329</v>
      </c>
      <c r="G43" s="1246"/>
      <c r="H43" s="1246"/>
      <c r="I43" s="1246"/>
      <c r="J43" s="1246"/>
      <c r="K43" s="1246"/>
      <c r="L43" s="1246"/>
      <c r="M43" s="1246"/>
      <c r="N43" s="1246"/>
      <c r="O43" s="1246"/>
      <c r="P43" s="1246"/>
      <c r="Q43" s="1246"/>
      <c r="R43" s="1246"/>
      <c r="S43" s="1246"/>
      <c r="T43" s="1247"/>
      <c r="W43" s="282"/>
    </row>
    <row r="44" spans="1:23" s="64" customFormat="1" ht="30" customHeight="1">
      <c r="A44" s="477"/>
      <c r="B44" s="2023" t="s">
        <v>375</v>
      </c>
      <c r="C44" s="2023"/>
      <c r="D44" s="2023"/>
      <c r="E44" s="478"/>
      <c r="F44" s="1263" t="s">
        <v>1330</v>
      </c>
      <c r="G44" s="2025"/>
      <c r="H44" s="2025"/>
      <c r="I44" s="2025"/>
      <c r="J44" s="2025"/>
      <c r="K44" s="2025"/>
      <c r="L44" s="2025"/>
      <c r="M44" s="2025"/>
      <c r="N44" s="2025"/>
      <c r="O44" s="2025"/>
      <c r="P44" s="2025"/>
      <c r="Q44" s="2025"/>
      <c r="R44" s="2025"/>
      <c r="S44" s="2025"/>
      <c r="T44" s="2026"/>
      <c r="W44" s="282"/>
    </row>
    <row r="45" spans="1:23" s="64" customFormat="1" ht="15" customHeight="1">
      <c r="A45" s="477"/>
      <c r="B45" s="2023" t="s">
        <v>378</v>
      </c>
      <c r="C45" s="2023"/>
      <c r="D45" s="2023"/>
      <c r="E45" s="478"/>
      <c r="F45" s="2024" t="s">
        <v>379</v>
      </c>
      <c r="G45" s="2025"/>
      <c r="H45" s="2025"/>
      <c r="I45" s="2025"/>
      <c r="J45" s="2025"/>
      <c r="K45" s="2025"/>
      <c r="L45" s="2025"/>
      <c r="M45" s="2025"/>
      <c r="N45" s="2025"/>
      <c r="O45" s="2025"/>
      <c r="P45" s="2025"/>
      <c r="Q45" s="2025"/>
      <c r="R45" s="2025"/>
      <c r="S45" s="2025"/>
      <c r="T45" s="2026"/>
      <c r="W45" s="282"/>
    </row>
    <row r="46" spans="1:23" s="64" customFormat="1" ht="15" customHeight="1">
      <c r="A46" s="308"/>
      <c r="B46" s="2046" t="s">
        <v>380</v>
      </c>
      <c r="C46" s="2046"/>
      <c r="D46" s="2046"/>
      <c r="E46" s="309"/>
      <c r="F46" s="2047" t="s">
        <v>1331</v>
      </c>
      <c r="G46" s="2048"/>
      <c r="H46" s="2048"/>
      <c r="I46" s="2048"/>
      <c r="J46" s="2048"/>
      <c r="K46" s="2048"/>
      <c r="L46" s="2048"/>
      <c r="M46" s="2048"/>
      <c r="N46" s="2048"/>
      <c r="O46" s="2048"/>
      <c r="P46" s="2048"/>
      <c r="Q46" s="2048"/>
      <c r="R46" s="2048"/>
      <c r="S46" s="2048"/>
      <c r="T46" s="2049"/>
      <c r="W46" s="282"/>
    </row>
    <row r="47" spans="1:23" s="64" customFormat="1" ht="30" customHeight="1">
      <c r="A47" s="308"/>
      <c r="B47" s="2046" t="s">
        <v>382</v>
      </c>
      <c r="C47" s="2046"/>
      <c r="D47" s="2046"/>
      <c r="E47" s="309"/>
      <c r="F47" s="2047" t="s">
        <v>1332</v>
      </c>
      <c r="G47" s="2048"/>
      <c r="H47" s="2048"/>
      <c r="I47" s="2048"/>
      <c r="J47" s="2048"/>
      <c r="K47" s="2048"/>
      <c r="L47" s="2048"/>
      <c r="M47" s="2048"/>
      <c r="N47" s="2048"/>
      <c r="O47" s="2048"/>
      <c r="P47" s="2048"/>
      <c r="Q47" s="2048"/>
      <c r="R47" s="2048"/>
      <c r="S47" s="2048"/>
      <c r="T47" s="2049"/>
      <c r="W47" s="282"/>
    </row>
    <row r="48" spans="1:23" s="64" customFormat="1" ht="15" customHeight="1">
      <c r="A48" s="159" t="s">
        <v>549</v>
      </c>
      <c r="B48" s="71"/>
      <c r="C48" s="72"/>
      <c r="D48" s="72"/>
      <c r="E48" s="72"/>
      <c r="F48" s="72"/>
      <c r="G48" s="72"/>
      <c r="H48" s="72"/>
      <c r="I48" s="73"/>
      <c r="J48" s="73"/>
      <c r="K48" s="73"/>
      <c r="L48" s="73"/>
      <c r="M48" s="73"/>
      <c r="N48" s="73"/>
      <c r="O48" s="73"/>
      <c r="P48" s="73"/>
      <c r="Q48" s="73"/>
      <c r="R48" s="73"/>
      <c r="S48" s="73"/>
      <c r="T48" s="73"/>
      <c r="W48" s="282"/>
    </row>
    <row r="49" spans="1:23" s="64" customFormat="1" ht="15" customHeight="1">
      <c r="A49" s="2050" t="str">
        <f>IF((【マスター】!C74="")*AND(【マスター】!C75="")*AND(【マスター】!C76=""),【マスター】!P71,VLOOKUP("有",【マスター】!C74:S77,4,FALSE))</f>
        <v>（１ヶ月の利用合計単位数＋１ヶ月の利用合計単位数×９．０％）×　地域単価</v>
      </c>
      <c r="B49" s="2050"/>
      <c r="C49" s="2050"/>
      <c r="D49" s="2050"/>
      <c r="E49" s="2050"/>
      <c r="F49" s="2050"/>
      <c r="G49" s="2050"/>
      <c r="H49" s="2050"/>
      <c r="I49" s="2050"/>
      <c r="J49" s="2050"/>
      <c r="K49" s="2050"/>
      <c r="L49" s="2050"/>
      <c r="M49" s="2050"/>
      <c r="N49" s="2050"/>
      <c r="O49" s="2050"/>
      <c r="P49" s="2050"/>
      <c r="Q49" s="2050"/>
      <c r="R49" s="2050"/>
      <c r="S49" s="2050"/>
      <c r="T49" s="2050"/>
      <c r="W49" s="282"/>
    </row>
    <row r="50" spans="1:23" s="64" customFormat="1" ht="15" customHeight="1">
      <c r="A50" s="305" t="s">
        <v>550</v>
      </c>
      <c r="B50" s="71"/>
      <c r="C50" s="72"/>
      <c r="D50" s="72"/>
      <c r="E50" s="72"/>
      <c r="F50" s="72"/>
      <c r="G50" s="72"/>
      <c r="H50" s="72"/>
      <c r="I50" s="73"/>
      <c r="J50" s="73"/>
      <c r="K50" s="73"/>
      <c r="L50" s="73"/>
      <c r="M50" s="73"/>
      <c r="N50" s="73"/>
      <c r="O50" s="73"/>
      <c r="P50" s="73"/>
      <c r="Q50" s="73"/>
      <c r="R50" s="73"/>
      <c r="S50" s="73"/>
      <c r="T50" s="73"/>
      <c r="W50" s="282"/>
    </row>
    <row r="51" spans="1:23" s="64" customFormat="1" ht="15" customHeight="1">
      <c r="A51" s="159" t="s">
        <v>551</v>
      </c>
      <c r="B51" s="65"/>
      <c r="C51" s="73"/>
      <c r="D51" s="73"/>
      <c r="E51" s="73"/>
      <c r="F51" s="73"/>
      <c r="G51" s="73"/>
      <c r="H51" s="73"/>
      <c r="I51" s="73"/>
      <c r="J51" s="73"/>
      <c r="K51" s="73"/>
      <c r="L51" s="73"/>
      <c r="M51" s="73"/>
      <c r="N51" s="73"/>
      <c r="O51" s="73"/>
      <c r="P51" s="73"/>
      <c r="Q51" s="73"/>
      <c r="R51" s="73"/>
      <c r="S51" s="73"/>
      <c r="T51" s="73"/>
      <c r="W51" s="282"/>
    </row>
    <row r="52" spans="1:23" s="64" customFormat="1" ht="15" customHeight="1">
      <c r="A52" s="70" t="s">
        <v>75</v>
      </c>
      <c r="B52" s="65" t="s">
        <v>552</v>
      </c>
      <c r="C52" s="73"/>
      <c r="D52" s="73"/>
      <c r="E52" s="73"/>
      <c r="F52" s="73"/>
      <c r="G52" s="73"/>
      <c r="H52" s="73"/>
      <c r="I52" s="73"/>
      <c r="J52" s="73"/>
      <c r="K52" s="73"/>
      <c r="L52" s="73"/>
      <c r="M52" s="73"/>
      <c r="N52" s="73"/>
      <c r="O52" s="73"/>
      <c r="P52" s="73"/>
      <c r="Q52" s="73"/>
      <c r="R52" s="73"/>
      <c r="S52" s="73"/>
      <c r="W52" s="282"/>
    </row>
    <row r="53" spans="1:23" s="64" customFormat="1" ht="15" customHeight="1">
      <c r="A53" s="65"/>
      <c r="B53" s="1303" t="str">
        <f>DBCS("　食事サービスを受ける方は、昼食代１食あたり"&amp;【マスター】!K45&amp;"円が必要となります。")</f>
        <v>　食事サービスを受ける方は、昼食代１食あたり５７０円が必要となります。</v>
      </c>
      <c r="C53" s="1303"/>
      <c r="D53" s="1303"/>
      <c r="E53" s="1303"/>
      <c r="F53" s="1303"/>
      <c r="G53" s="1303"/>
      <c r="H53" s="1303"/>
      <c r="I53" s="1303"/>
      <c r="J53" s="1303"/>
      <c r="K53" s="1303"/>
      <c r="L53" s="1303"/>
      <c r="M53" s="1303"/>
      <c r="N53" s="1303"/>
      <c r="O53" s="1303"/>
      <c r="P53" s="1303"/>
      <c r="Q53" s="1303"/>
      <c r="R53" s="1303"/>
      <c r="S53" s="1303"/>
      <c r="T53" s="1303"/>
      <c r="W53" s="282"/>
    </row>
    <row r="54" spans="1:23" s="64" customFormat="1" ht="30" customHeight="1">
      <c r="A54" s="65"/>
      <c r="B54" s="1303" t="str">
        <f>IF(【マスター】!C72="","",'通所重説 (別表)'!S96)</f>
        <v>　延長加算算定時に、食事サービスを受ける方は、朝食代１食あたり５００円・夕食代１食あたり６３０円が必要となります。</v>
      </c>
      <c r="C54" s="1303"/>
      <c r="D54" s="1303"/>
      <c r="E54" s="1303"/>
      <c r="F54" s="1303"/>
      <c r="G54" s="1303"/>
      <c r="H54" s="1303"/>
      <c r="I54" s="1303"/>
      <c r="J54" s="1303"/>
      <c r="K54" s="1303"/>
      <c r="L54" s="1303"/>
      <c r="M54" s="1303"/>
      <c r="N54" s="1303"/>
      <c r="O54" s="1303"/>
      <c r="P54" s="1303"/>
      <c r="Q54" s="1303"/>
      <c r="R54" s="1303"/>
      <c r="S54" s="1303"/>
      <c r="T54" s="1303"/>
      <c r="W54" s="282"/>
    </row>
    <row r="55" spans="1:23" s="64" customFormat="1" ht="15" customHeight="1">
      <c r="A55" s="70" t="s">
        <v>75</v>
      </c>
      <c r="B55" s="65" t="s">
        <v>555</v>
      </c>
      <c r="C55" s="73"/>
      <c r="D55" s="73"/>
      <c r="E55" s="73"/>
      <c r="F55" s="73"/>
      <c r="G55" s="73"/>
      <c r="H55" s="73"/>
      <c r="I55" s="73"/>
      <c r="J55" s="73"/>
      <c r="K55" s="73"/>
      <c r="L55" s="73"/>
      <c r="M55" s="73"/>
      <c r="N55" s="73"/>
      <c r="O55" s="73"/>
      <c r="P55" s="73"/>
      <c r="Q55" s="73"/>
      <c r="R55" s="73"/>
      <c r="S55" s="73"/>
      <c r="W55" s="282"/>
    </row>
    <row r="56" spans="1:23" s="64" customFormat="1" ht="15" customHeight="1">
      <c r="A56" s="65"/>
      <c r="B56" s="65" t="s">
        <v>556</v>
      </c>
      <c r="C56" s="65"/>
      <c r="D56" s="65"/>
      <c r="E56" s="65"/>
      <c r="F56" s="65"/>
      <c r="G56" s="65"/>
      <c r="H56" s="65"/>
      <c r="I56" s="65"/>
      <c r="J56" s="65"/>
      <c r="K56" s="65"/>
      <c r="L56" s="65"/>
      <c r="M56" s="65"/>
      <c r="N56" s="65"/>
      <c r="O56" s="65"/>
      <c r="P56" s="65"/>
      <c r="Q56" s="65"/>
      <c r="R56" s="65"/>
      <c r="S56" s="65"/>
      <c r="W56" s="282"/>
    </row>
    <row r="57" spans="1:23" s="64" customFormat="1" ht="15" customHeight="1">
      <c r="A57" s="190"/>
      <c r="B57" s="65"/>
      <c r="C57" s="65" t="s">
        <v>557</v>
      </c>
      <c r="E57" s="65"/>
      <c r="F57" s="65"/>
      <c r="I57" s="190" t="s">
        <v>1333</v>
      </c>
      <c r="J57" s="64" t="str">
        <f>DBCS(【マスター】!J47)&amp;"円"</f>
        <v>１００円</v>
      </c>
      <c r="N57" s="65"/>
      <c r="O57" s="65"/>
      <c r="P57" s="65"/>
      <c r="Q57" s="65"/>
      <c r="R57" s="65"/>
      <c r="S57" s="65"/>
      <c r="T57" s="65"/>
      <c r="V57" s="751" t="s">
        <v>1905</v>
      </c>
      <c r="W57" s="282"/>
    </row>
    <row r="58" spans="1:23" s="64" customFormat="1" ht="15" customHeight="1">
      <c r="A58" s="190"/>
      <c r="B58" s="65"/>
      <c r="C58" s="65" t="s">
        <v>1334</v>
      </c>
      <c r="E58" s="65"/>
      <c r="H58" s="190"/>
      <c r="I58" s="190" t="s">
        <v>1333</v>
      </c>
      <c r="J58" s="64" t="str">
        <f>DBCS(【マスター】!J48)&amp;"円"</f>
        <v>５０円</v>
      </c>
      <c r="M58" s="65"/>
      <c r="V58" s="751" t="s">
        <v>1905</v>
      </c>
      <c r="W58" s="282"/>
    </row>
    <row r="59" spans="1:23" s="64" customFormat="1" ht="15" customHeight="1">
      <c r="A59" s="70" t="s">
        <v>75</v>
      </c>
      <c r="B59" s="65" t="s">
        <v>559</v>
      </c>
      <c r="W59" s="282"/>
    </row>
    <row r="60" spans="1:23" s="64" customFormat="1" ht="30" customHeight="1">
      <c r="A60" s="65"/>
      <c r="B60" s="2078" t="s">
        <v>560</v>
      </c>
      <c r="C60" s="2078"/>
      <c r="D60" s="2078"/>
      <c r="E60" s="2078"/>
      <c r="F60" s="2078"/>
      <c r="G60" s="2078"/>
      <c r="H60" s="2078"/>
      <c r="I60" s="2078"/>
      <c r="J60" s="2078"/>
      <c r="K60" s="2078"/>
      <c r="L60" s="2078"/>
      <c r="M60" s="2078"/>
      <c r="N60" s="2078"/>
      <c r="O60" s="2078"/>
      <c r="P60" s="2078"/>
      <c r="Q60" s="2078"/>
      <c r="R60" s="2078"/>
      <c r="S60" s="2078"/>
      <c r="T60" s="2078"/>
      <c r="W60" s="282"/>
    </row>
    <row r="61" spans="1:23" s="64" customFormat="1" ht="15" customHeight="1">
      <c r="A61" s="70" t="s">
        <v>75</v>
      </c>
      <c r="B61" s="74" t="s">
        <v>561</v>
      </c>
      <c r="C61" s="544"/>
      <c r="D61" s="544"/>
      <c r="E61" s="544"/>
      <c r="F61" s="544"/>
      <c r="G61" s="544"/>
      <c r="H61" s="544"/>
      <c r="I61" s="544"/>
      <c r="J61" s="544"/>
      <c r="K61" s="544"/>
      <c r="L61" s="544"/>
      <c r="M61" s="544"/>
      <c r="N61" s="544"/>
      <c r="O61" s="544"/>
      <c r="P61" s="544"/>
      <c r="Q61" s="544"/>
      <c r="R61" s="544"/>
      <c r="S61" s="544"/>
      <c r="W61" s="282"/>
    </row>
    <row r="62" spans="1:23" s="64" customFormat="1" ht="15" customHeight="1">
      <c r="A62" s="65"/>
      <c r="B62" s="74" t="s">
        <v>562</v>
      </c>
      <c r="C62" s="544"/>
      <c r="D62" s="544"/>
      <c r="E62" s="544"/>
      <c r="F62" s="544"/>
      <c r="G62" s="544"/>
      <c r="H62" s="544"/>
      <c r="I62" s="544"/>
      <c r="J62" s="544"/>
      <c r="K62" s="544"/>
      <c r="L62" s="544"/>
      <c r="M62" s="544"/>
      <c r="N62" s="544"/>
      <c r="O62" s="544"/>
      <c r="P62" s="544"/>
      <c r="Q62" s="544"/>
      <c r="R62" s="544"/>
      <c r="S62" s="544"/>
      <c r="W62" s="282"/>
    </row>
    <row r="63" spans="1:23" s="64" customFormat="1" ht="15" customHeight="1">
      <c r="A63" s="159" t="s">
        <v>271</v>
      </c>
      <c r="B63" s="65"/>
      <c r="C63" s="73"/>
      <c r="D63" s="73"/>
      <c r="E63" s="73"/>
      <c r="F63" s="73"/>
      <c r="G63" s="73"/>
      <c r="H63" s="73"/>
      <c r="I63" s="73"/>
      <c r="J63" s="73"/>
      <c r="K63" s="73"/>
      <c r="L63" s="73"/>
      <c r="M63" s="73"/>
      <c r="N63" s="73"/>
      <c r="O63" s="73"/>
      <c r="P63" s="73"/>
      <c r="Q63" s="73"/>
      <c r="R63" s="73"/>
      <c r="S63" s="73"/>
      <c r="T63" s="73"/>
      <c r="W63" s="282"/>
    </row>
    <row r="64" spans="1:23" s="64" customFormat="1" ht="15" customHeight="1">
      <c r="B64" s="65" t="s">
        <v>386</v>
      </c>
      <c r="W64" s="282"/>
    </row>
    <row r="65" spans="1:23" s="64" customFormat="1" ht="15" customHeight="1">
      <c r="A65" s="65"/>
      <c r="B65" s="65"/>
      <c r="D65" s="2119" t="str">
        <f>【マスター】!C84</f>
        <v>口座振替・振込・現金支払</v>
      </c>
      <c r="E65" s="2119"/>
      <c r="F65" s="2119"/>
      <c r="G65" s="2119"/>
      <c r="H65" s="2119"/>
      <c r="I65" s="2119"/>
      <c r="J65" s="2119"/>
      <c r="K65" s="2119"/>
      <c r="L65" s="2119"/>
      <c r="M65" s="2119"/>
      <c r="N65" s="2119"/>
      <c r="O65" s="65" t="s">
        <v>387</v>
      </c>
      <c r="W65" s="282"/>
    </row>
    <row r="66" spans="1:23" s="64" customFormat="1" ht="15" customHeight="1">
      <c r="B66" s="65" t="s">
        <v>388</v>
      </c>
      <c r="C66" s="73"/>
      <c r="D66" s="73"/>
      <c r="E66" s="73"/>
      <c r="F66" s="73"/>
      <c r="G66" s="73"/>
      <c r="H66" s="73"/>
      <c r="I66" s="73"/>
      <c r="J66" s="73"/>
      <c r="K66" s="73"/>
      <c r="L66" s="73"/>
      <c r="M66" s="73"/>
      <c r="N66" s="73"/>
      <c r="O66" s="73"/>
      <c r="P66" s="73"/>
      <c r="Q66" s="73"/>
      <c r="R66" s="73"/>
      <c r="S66" s="73"/>
      <c r="W66" s="282"/>
    </row>
    <row r="67" spans="1:23" s="64" customFormat="1" ht="15" customHeight="1">
      <c r="A67" s="64" t="s">
        <v>1335</v>
      </c>
      <c r="B67" s="65"/>
      <c r="C67" s="73"/>
      <c r="D67" s="73"/>
      <c r="E67" s="73"/>
      <c r="F67" s="73"/>
      <c r="G67" s="73"/>
      <c r="H67" s="73"/>
      <c r="I67" s="73"/>
      <c r="J67" s="73"/>
      <c r="K67" s="73"/>
      <c r="L67" s="73"/>
      <c r="M67" s="73"/>
      <c r="N67" s="73"/>
      <c r="O67" s="73"/>
      <c r="P67" s="73"/>
      <c r="Q67" s="73"/>
      <c r="R67" s="73"/>
      <c r="S67" s="73"/>
      <c r="T67" s="73"/>
      <c r="W67" s="282"/>
    </row>
    <row r="68" spans="1:23" s="64" customFormat="1" ht="15" customHeight="1">
      <c r="A68" s="159" t="s">
        <v>1336</v>
      </c>
      <c r="B68" s="65"/>
      <c r="C68" s="73"/>
      <c r="D68" s="73"/>
      <c r="E68" s="73"/>
      <c r="F68" s="73"/>
      <c r="G68" s="73"/>
      <c r="H68" s="73"/>
      <c r="I68" s="73"/>
      <c r="J68" s="73"/>
      <c r="K68" s="73"/>
      <c r="L68" s="73"/>
      <c r="M68" s="73"/>
      <c r="N68" s="73"/>
      <c r="O68" s="73"/>
      <c r="P68" s="73"/>
      <c r="Q68" s="73"/>
      <c r="R68" s="73"/>
      <c r="S68" s="73"/>
      <c r="T68" s="73"/>
      <c r="W68" s="282"/>
    </row>
    <row r="69" spans="1:23" s="64" customFormat="1" ht="55.35" customHeight="1">
      <c r="B69" s="2078" t="s">
        <v>391</v>
      </c>
      <c r="C69" s="2078"/>
      <c r="D69" s="2078"/>
      <c r="E69" s="2078"/>
      <c r="F69" s="2078"/>
      <c r="G69" s="2078"/>
      <c r="H69" s="2078"/>
      <c r="I69" s="2078"/>
      <c r="J69" s="2078"/>
      <c r="K69" s="2078"/>
      <c r="L69" s="2078"/>
      <c r="M69" s="2078"/>
      <c r="N69" s="2078"/>
      <c r="O69" s="2078"/>
      <c r="P69" s="2078"/>
      <c r="Q69" s="2078"/>
      <c r="R69" s="2078"/>
      <c r="S69" s="2078"/>
      <c r="T69" s="2078"/>
      <c r="W69" s="282"/>
    </row>
    <row r="70" spans="1:23" s="64" customFormat="1" ht="15" customHeight="1">
      <c r="A70" s="159" t="s">
        <v>1337</v>
      </c>
      <c r="B70" s="65"/>
      <c r="C70" s="65"/>
      <c r="W70" s="282"/>
    </row>
    <row r="71" spans="1:23" s="64" customFormat="1" ht="15" customHeight="1">
      <c r="A71" s="75" t="s">
        <v>393</v>
      </c>
      <c r="B71" s="2078" t="s">
        <v>1338</v>
      </c>
      <c r="C71" s="2078"/>
      <c r="D71" s="2078"/>
      <c r="E71" s="2078"/>
      <c r="F71" s="2078"/>
      <c r="G71" s="2078"/>
      <c r="H71" s="2078"/>
      <c r="I71" s="2078"/>
      <c r="J71" s="2078"/>
      <c r="K71" s="2078"/>
      <c r="L71" s="2078"/>
      <c r="M71" s="2078"/>
      <c r="N71" s="2078"/>
      <c r="O71" s="2078"/>
      <c r="P71" s="2078"/>
      <c r="Q71" s="2078"/>
      <c r="R71" s="2078"/>
      <c r="S71" s="2078"/>
      <c r="W71" s="282"/>
    </row>
    <row r="72" spans="1:23" s="64" customFormat="1" ht="30" customHeight="1">
      <c r="A72" s="75" t="s">
        <v>395</v>
      </c>
      <c r="B72" s="2078" t="s">
        <v>1339</v>
      </c>
      <c r="C72" s="2078"/>
      <c r="D72" s="2078"/>
      <c r="E72" s="2078"/>
      <c r="F72" s="2078"/>
      <c r="G72" s="2078"/>
      <c r="H72" s="2078"/>
      <c r="I72" s="2078"/>
      <c r="J72" s="2078"/>
      <c r="K72" s="2078"/>
      <c r="L72" s="2078"/>
      <c r="M72" s="2078"/>
      <c r="N72" s="2078"/>
      <c r="O72" s="2078"/>
      <c r="P72" s="2078"/>
      <c r="Q72" s="2078"/>
      <c r="R72" s="2078"/>
      <c r="S72" s="2078"/>
      <c r="T72" s="2078"/>
      <c r="W72" s="282"/>
    </row>
    <row r="73" spans="1:23" s="64" customFormat="1" ht="30" customHeight="1">
      <c r="A73" s="75" t="s">
        <v>397</v>
      </c>
      <c r="B73" s="2078" t="s">
        <v>1340</v>
      </c>
      <c r="C73" s="2078"/>
      <c r="D73" s="2078"/>
      <c r="E73" s="2078"/>
      <c r="F73" s="2078"/>
      <c r="G73" s="2078"/>
      <c r="H73" s="2078"/>
      <c r="I73" s="2078"/>
      <c r="J73" s="2078"/>
      <c r="K73" s="2078"/>
      <c r="L73" s="2078"/>
      <c r="M73" s="2078"/>
      <c r="N73" s="2078"/>
      <c r="O73" s="2078"/>
      <c r="P73" s="2078"/>
      <c r="Q73" s="2078"/>
      <c r="R73" s="2078"/>
      <c r="S73" s="2078"/>
      <c r="T73" s="2078"/>
      <c r="W73" s="282"/>
    </row>
    <row r="74" spans="1:23" s="64" customFormat="1" ht="15" customHeight="1">
      <c r="A74" s="75" t="s">
        <v>399</v>
      </c>
      <c r="B74" s="2078" t="s">
        <v>1341</v>
      </c>
      <c r="C74" s="2078"/>
      <c r="D74" s="2078"/>
      <c r="E74" s="2078"/>
      <c r="F74" s="2078"/>
      <c r="G74" s="2078"/>
      <c r="H74" s="2078"/>
      <c r="I74" s="2078"/>
      <c r="J74" s="2078"/>
      <c r="K74" s="2078"/>
      <c r="L74" s="2078"/>
      <c r="M74" s="2078"/>
      <c r="N74" s="2078"/>
      <c r="O74" s="2078"/>
      <c r="P74" s="2078"/>
      <c r="Q74" s="2078"/>
      <c r="R74" s="2078"/>
      <c r="S74" s="2078"/>
      <c r="T74" s="2078"/>
      <c r="W74" s="282"/>
    </row>
    <row r="75" spans="1:23" s="64" customFormat="1" ht="30" customHeight="1">
      <c r="A75" s="75" t="s">
        <v>401</v>
      </c>
      <c r="B75" s="2078" t="s">
        <v>1342</v>
      </c>
      <c r="C75" s="2078"/>
      <c r="D75" s="2078"/>
      <c r="E75" s="2078"/>
      <c r="F75" s="2078"/>
      <c r="G75" s="2078"/>
      <c r="H75" s="2078"/>
      <c r="I75" s="2078"/>
      <c r="J75" s="2078"/>
      <c r="K75" s="2078"/>
      <c r="L75" s="2078"/>
      <c r="M75" s="2078"/>
      <c r="N75" s="2078"/>
      <c r="O75" s="2078"/>
      <c r="P75" s="2078"/>
      <c r="Q75" s="2078"/>
      <c r="R75" s="2078"/>
      <c r="S75" s="2078"/>
      <c r="T75" s="2078"/>
      <c r="W75" s="282"/>
    </row>
    <row r="76" spans="1:23" s="64" customFormat="1" ht="15" customHeight="1">
      <c r="A76" s="75" t="s">
        <v>403</v>
      </c>
      <c r="B76" s="2078" t="s">
        <v>1343</v>
      </c>
      <c r="C76" s="2078"/>
      <c r="D76" s="2078"/>
      <c r="E76" s="2078"/>
      <c r="F76" s="2078"/>
      <c r="G76" s="2078"/>
      <c r="H76" s="2078"/>
      <c r="I76" s="2078"/>
      <c r="J76" s="2078"/>
      <c r="K76" s="2078"/>
      <c r="L76" s="2078"/>
      <c r="M76" s="2078"/>
      <c r="N76" s="2078"/>
      <c r="O76" s="2078"/>
      <c r="P76" s="2078"/>
      <c r="Q76" s="2078"/>
      <c r="R76" s="2078"/>
      <c r="S76" s="2078"/>
      <c r="W76" s="282"/>
    </row>
    <row r="77" spans="1:23" s="64" customFormat="1" ht="15" customHeight="1">
      <c r="A77" s="64" t="s">
        <v>1344</v>
      </c>
      <c r="B77" s="65"/>
      <c r="C77" s="73"/>
      <c r="D77" s="73"/>
      <c r="E77" s="73"/>
      <c r="F77" s="73"/>
      <c r="G77" s="73"/>
      <c r="H77" s="73"/>
      <c r="I77" s="73"/>
      <c r="J77" s="73"/>
      <c r="K77" s="73"/>
      <c r="L77" s="73"/>
      <c r="M77" s="73"/>
      <c r="N77" s="73"/>
      <c r="O77" s="73"/>
      <c r="P77" s="73"/>
      <c r="Q77" s="73"/>
      <c r="R77" s="73"/>
      <c r="S77" s="73"/>
      <c r="T77" s="73"/>
      <c r="W77" s="282"/>
    </row>
    <row r="78" spans="1:23" s="64" customFormat="1" ht="15" customHeight="1">
      <c r="A78" s="2120"/>
      <c r="B78" s="1246" t="s">
        <v>1345</v>
      </c>
      <c r="C78" s="1246"/>
      <c r="D78" s="1246"/>
      <c r="E78" s="1247"/>
      <c r="F78" s="2079" t="s">
        <v>420</v>
      </c>
      <c r="G78" s="2079"/>
      <c r="H78" s="2079"/>
      <c r="I78" s="2079"/>
      <c r="J78" s="2079"/>
      <c r="K78" s="2100" t="str">
        <f>IF(【マスター】!C21="","",【マスター】!C21)</f>
        <v>小久保　幾生</v>
      </c>
      <c r="L78" s="2100"/>
      <c r="M78" s="2100"/>
      <c r="N78" s="2100"/>
      <c r="O78" s="2100"/>
      <c r="P78" s="2100"/>
      <c r="Q78" s="2100"/>
      <c r="R78" s="2100"/>
      <c r="S78" s="2100"/>
      <c r="T78" s="2100"/>
      <c r="W78" s="282"/>
    </row>
    <row r="79" spans="1:23" s="64" customFormat="1" ht="15" customHeight="1">
      <c r="A79" s="2121"/>
      <c r="B79" s="1248"/>
      <c r="C79" s="1248"/>
      <c r="D79" s="1248"/>
      <c r="E79" s="1249"/>
      <c r="F79" s="2083" t="s">
        <v>421</v>
      </c>
      <c r="G79" s="2083"/>
      <c r="H79" s="2083"/>
      <c r="I79" s="2083"/>
      <c r="J79" s="2083"/>
      <c r="K79" s="2088" t="str">
        <f>DBCS(【マスター】!I13&amp;【マスター】!J13&amp;【マスター】!K13)</f>
        <v>９：３０～１７：３０</v>
      </c>
      <c r="L79" s="2088"/>
      <c r="M79" s="2088"/>
      <c r="N79" s="2088"/>
      <c r="O79" s="2088"/>
      <c r="P79" s="2088"/>
      <c r="Q79" s="2088"/>
      <c r="R79" s="2088"/>
      <c r="S79" s="2088"/>
      <c r="T79" s="2088"/>
      <c r="W79" s="282"/>
    </row>
    <row r="80" spans="1:23" s="64" customFormat="1" ht="15" customHeight="1">
      <c r="A80" s="2121"/>
      <c r="B80" s="1248"/>
      <c r="C80" s="1248"/>
      <c r="D80" s="1248"/>
      <c r="E80" s="1249"/>
      <c r="F80" s="2113" t="s">
        <v>422</v>
      </c>
      <c r="G80" s="2114"/>
      <c r="H80" s="2114"/>
      <c r="I80" s="2089" t="s">
        <v>281</v>
      </c>
      <c r="J80" s="2090"/>
      <c r="K80" s="2088" t="str">
        <f>DBCS(【マスター】!C10)</f>
        <v>０５３２－３９－７８５５</v>
      </c>
      <c r="L80" s="2088"/>
      <c r="M80" s="2088"/>
      <c r="N80" s="2088"/>
      <c r="O80" s="2088"/>
      <c r="P80" s="2088"/>
      <c r="Q80" s="2088"/>
      <c r="R80" s="2088"/>
      <c r="S80" s="2088"/>
      <c r="T80" s="2088"/>
      <c r="W80" s="282"/>
    </row>
    <row r="81" spans="1:23" s="64" customFormat="1" ht="15" customHeight="1">
      <c r="A81" s="2121"/>
      <c r="B81" s="1248"/>
      <c r="C81" s="1248"/>
      <c r="D81" s="1248"/>
      <c r="E81" s="1249"/>
      <c r="F81" s="2115"/>
      <c r="G81" s="2116"/>
      <c r="H81" s="2116"/>
      <c r="I81" s="2089" t="s">
        <v>423</v>
      </c>
      <c r="J81" s="2090"/>
      <c r="K81" s="2088" t="s">
        <v>424</v>
      </c>
      <c r="L81" s="2088"/>
      <c r="M81" s="2088"/>
      <c r="N81" s="2088"/>
      <c r="O81" s="2088"/>
      <c r="P81" s="2088"/>
      <c r="Q81" s="2088"/>
      <c r="R81" s="2088"/>
      <c r="S81" s="2088"/>
      <c r="T81" s="2088"/>
      <c r="W81" s="282"/>
    </row>
    <row r="82" spans="1:23" s="64" customFormat="1" ht="15" customHeight="1">
      <c r="A82" s="2122"/>
      <c r="B82" s="1250"/>
      <c r="C82" s="1250"/>
      <c r="D82" s="1250"/>
      <c r="E82" s="1251"/>
      <c r="F82" s="2117"/>
      <c r="G82" s="2118"/>
      <c r="H82" s="2118"/>
      <c r="I82" s="2091" t="s">
        <v>425</v>
      </c>
      <c r="J82" s="2092"/>
      <c r="K82" s="2093" t="str">
        <f>"（"&amp;【マスター】!C82&amp;"に設置）"</f>
        <v>（玄関に設置）</v>
      </c>
      <c r="L82" s="2093"/>
      <c r="M82" s="2093"/>
      <c r="N82" s="2093"/>
      <c r="O82" s="2093"/>
      <c r="P82" s="2093"/>
      <c r="Q82" s="2093"/>
      <c r="R82" s="2093"/>
      <c r="S82" s="2093"/>
      <c r="T82" s="2093"/>
      <c r="W82" s="282"/>
    </row>
    <row r="83" spans="1:23" s="64" customFormat="1" ht="15" customHeight="1">
      <c r="A83" s="2097" t="s">
        <v>426</v>
      </c>
      <c r="B83" s="2025" t="str">
        <f>IF(【マスター】!A86="","",【マスター】!A86)</f>
        <v>東三河広域連合</v>
      </c>
      <c r="C83" s="2025"/>
      <c r="D83" s="2025"/>
      <c r="E83" s="2026"/>
      <c r="F83" s="2079" t="s">
        <v>427</v>
      </c>
      <c r="G83" s="2079"/>
      <c r="H83" s="2079"/>
      <c r="I83" s="2079"/>
      <c r="J83" s="2079"/>
      <c r="K83" s="2080" t="str">
        <f>DBCS(【マスター】!D86)</f>
        <v>愛知県豊橋市八町通２丁目１６番地</v>
      </c>
      <c r="L83" s="2081"/>
      <c r="M83" s="2081"/>
      <c r="N83" s="2081"/>
      <c r="O83" s="2081"/>
      <c r="P83" s="2081"/>
      <c r="Q83" s="2081"/>
      <c r="R83" s="2081"/>
      <c r="S83" s="2081"/>
      <c r="T83" s="2082"/>
      <c r="W83" s="196"/>
    </row>
    <row r="84" spans="1:23" s="64" customFormat="1" ht="15" customHeight="1">
      <c r="A84" s="2098"/>
      <c r="B84" s="2111"/>
      <c r="C84" s="2111"/>
      <c r="D84" s="2111"/>
      <c r="E84" s="2112"/>
      <c r="F84" s="2083" t="s">
        <v>428</v>
      </c>
      <c r="G84" s="2083"/>
      <c r="H84" s="2083"/>
      <c r="I84" s="2083"/>
      <c r="J84" s="2083"/>
      <c r="K84" s="2103" t="str">
        <f>DBCS(【マスター】!D87)</f>
        <v>０５３２－２６－８４７１</v>
      </c>
      <c r="L84" s="2104"/>
      <c r="M84" s="2104"/>
      <c r="N84" s="2104"/>
      <c r="O84" s="2104"/>
      <c r="P84" s="2104"/>
      <c r="Q84" s="2104"/>
      <c r="R84" s="2104"/>
      <c r="S84" s="2104"/>
      <c r="T84" s="2105"/>
      <c r="W84" s="282"/>
    </row>
    <row r="85" spans="1:23" s="64" customFormat="1" ht="15" customHeight="1">
      <c r="A85" s="2099"/>
      <c r="B85" s="1250" t="s">
        <v>1346</v>
      </c>
      <c r="C85" s="1250"/>
      <c r="D85" s="1250"/>
      <c r="E85" s="1251"/>
      <c r="F85" s="2084" t="s">
        <v>421</v>
      </c>
      <c r="G85" s="2084"/>
      <c r="H85" s="2084"/>
      <c r="I85" s="2084"/>
      <c r="J85" s="2084"/>
      <c r="K85" s="2085" t="str">
        <f>DBCS(IF(B83=0,"",【マスター】!J87&amp;"～"&amp;【マスター】!L87))</f>
        <v>８：３０～１７：１５</v>
      </c>
      <c r="L85" s="2086"/>
      <c r="M85" s="2086"/>
      <c r="N85" s="2086"/>
      <c r="O85" s="2086"/>
      <c r="P85" s="2086"/>
      <c r="Q85" s="2086"/>
      <c r="R85" s="2086"/>
      <c r="S85" s="2086"/>
      <c r="T85" s="2087"/>
      <c r="W85" s="282"/>
    </row>
    <row r="86" spans="1:23" s="64" customFormat="1" ht="15" customHeight="1">
      <c r="A86" s="2097" t="s">
        <v>426</v>
      </c>
      <c r="B86" s="2025" t="str">
        <f>IF(【マスター】!A88="","",【マスター】!A88)</f>
        <v/>
      </c>
      <c r="C86" s="2025"/>
      <c r="D86" s="2025"/>
      <c r="E86" s="2026"/>
      <c r="F86" s="2079" t="s">
        <v>427</v>
      </c>
      <c r="G86" s="2079"/>
      <c r="H86" s="2079"/>
      <c r="I86" s="2079"/>
      <c r="J86" s="2079"/>
      <c r="K86" s="2080" t="str">
        <f>DBCS(【マスター】!D88)</f>
        <v/>
      </c>
      <c r="L86" s="2081"/>
      <c r="M86" s="2081"/>
      <c r="N86" s="2081"/>
      <c r="O86" s="2081"/>
      <c r="P86" s="2081"/>
      <c r="Q86" s="2081"/>
      <c r="R86" s="2081"/>
      <c r="S86" s="2081"/>
      <c r="T86" s="2082"/>
      <c r="W86" s="282"/>
    </row>
    <row r="87" spans="1:23" s="64" customFormat="1" ht="15" customHeight="1">
      <c r="A87" s="2098"/>
      <c r="B87" s="2111"/>
      <c r="C87" s="2111"/>
      <c r="D87" s="2111"/>
      <c r="E87" s="2112"/>
      <c r="F87" s="2083" t="s">
        <v>428</v>
      </c>
      <c r="G87" s="2083"/>
      <c r="H87" s="2083"/>
      <c r="I87" s="2083"/>
      <c r="J87" s="2083"/>
      <c r="K87" s="2103" t="str">
        <f>DBCS(【マスター】!D89)</f>
        <v/>
      </c>
      <c r="L87" s="2104"/>
      <c r="M87" s="2104"/>
      <c r="N87" s="2104"/>
      <c r="O87" s="2104"/>
      <c r="P87" s="2104"/>
      <c r="Q87" s="2104"/>
      <c r="R87" s="2104"/>
      <c r="S87" s="2104"/>
      <c r="T87" s="2105"/>
      <c r="W87" s="282"/>
    </row>
    <row r="88" spans="1:23" s="64" customFormat="1" ht="15" customHeight="1">
      <c r="A88" s="2099"/>
      <c r="B88" s="1250" t="s">
        <v>1346</v>
      </c>
      <c r="C88" s="1250"/>
      <c r="D88" s="1250"/>
      <c r="E88" s="1251"/>
      <c r="F88" s="2084" t="s">
        <v>421</v>
      </c>
      <c r="G88" s="2084"/>
      <c r="H88" s="2084"/>
      <c r="I88" s="2084"/>
      <c r="J88" s="2084"/>
      <c r="K88" s="2085" t="str">
        <f>DBCS(IF(B86=0,"",【マスター】!J89&amp;"～"&amp;【マスター】!L89))</f>
        <v>～</v>
      </c>
      <c r="L88" s="2086"/>
      <c r="M88" s="2086"/>
      <c r="N88" s="2086"/>
      <c r="O88" s="2086"/>
      <c r="P88" s="2086"/>
      <c r="Q88" s="2086"/>
      <c r="R88" s="2086"/>
      <c r="S88" s="2086"/>
      <c r="T88" s="2087"/>
      <c r="W88" s="282"/>
    </row>
    <row r="89" spans="1:23" s="64" customFormat="1" ht="15" customHeight="1">
      <c r="A89" s="2097"/>
      <c r="B89" s="1246" t="s">
        <v>1347</v>
      </c>
      <c r="C89" s="1246"/>
      <c r="D89" s="1246"/>
      <c r="E89" s="1247"/>
      <c r="F89" s="2079" t="s">
        <v>427</v>
      </c>
      <c r="G89" s="2079"/>
      <c r="H89" s="2079"/>
      <c r="I89" s="2079"/>
      <c r="J89" s="2079"/>
      <c r="K89" s="2080" t="str">
        <f>DBCS(【マスター】!D90)</f>
        <v>愛知県名古屋市東区泉一丁目６番５号</v>
      </c>
      <c r="L89" s="2081"/>
      <c r="M89" s="2081"/>
      <c r="N89" s="2081"/>
      <c r="O89" s="2081"/>
      <c r="P89" s="2081"/>
      <c r="Q89" s="2081"/>
      <c r="R89" s="2081"/>
      <c r="S89" s="2081"/>
      <c r="T89" s="2082"/>
      <c r="W89" s="282"/>
    </row>
    <row r="90" spans="1:23" s="64" customFormat="1" ht="15" customHeight="1">
      <c r="A90" s="2098"/>
      <c r="B90" s="1248"/>
      <c r="C90" s="1248"/>
      <c r="D90" s="1248"/>
      <c r="E90" s="1249"/>
      <c r="F90" s="2083" t="s">
        <v>428</v>
      </c>
      <c r="G90" s="2083"/>
      <c r="H90" s="2083"/>
      <c r="I90" s="2083"/>
      <c r="J90" s="2083"/>
      <c r="K90" s="2103" t="str">
        <f>DBCS(【マスター】!D91)</f>
        <v>０５２－９７１－４１６５</v>
      </c>
      <c r="L90" s="2104"/>
      <c r="M90" s="2104"/>
      <c r="N90" s="2104"/>
      <c r="O90" s="2104"/>
      <c r="P90" s="2104"/>
      <c r="Q90" s="2104"/>
      <c r="R90" s="2104"/>
      <c r="S90" s="2104"/>
      <c r="T90" s="2105"/>
      <c r="W90" s="282"/>
    </row>
    <row r="91" spans="1:23" s="64" customFormat="1" ht="15" customHeight="1">
      <c r="A91" s="2099"/>
      <c r="B91" s="1250"/>
      <c r="C91" s="1250"/>
      <c r="D91" s="1250"/>
      <c r="E91" s="1251"/>
      <c r="F91" s="2084" t="s">
        <v>421</v>
      </c>
      <c r="G91" s="2084"/>
      <c r="H91" s="2084"/>
      <c r="I91" s="2084"/>
      <c r="J91" s="2084"/>
      <c r="K91" s="2085" t="str">
        <f>DBCS(【マスター】!J91&amp;【マスター】!K91&amp;【マスター】!L91)</f>
        <v>９：００～１７：００</v>
      </c>
      <c r="L91" s="2086"/>
      <c r="M91" s="2086"/>
      <c r="N91" s="2086"/>
      <c r="O91" s="2086"/>
      <c r="P91" s="2086"/>
      <c r="Q91" s="2086"/>
      <c r="R91" s="2086"/>
      <c r="S91" s="2086"/>
      <c r="T91" s="2087"/>
      <c r="W91" s="282"/>
    </row>
    <row r="92" spans="1:23" s="64" customFormat="1" ht="15" customHeight="1">
      <c r="A92" s="64" t="s">
        <v>1348</v>
      </c>
      <c r="B92" s="65"/>
      <c r="C92" s="65"/>
      <c r="W92" s="282"/>
    </row>
    <row r="93" spans="1:23" s="64" customFormat="1" ht="15" customHeight="1">
      <c r="A93" s="1303" t="s">
        <v>447</v>
      </c>
      <c r="B93" s="1303"/>
      <c r="C93" s="1303"/>
      <c r="D93" s="1303"/>
      <c r="E93" s="1303"/>
      <c r="F93" s="1303"/>
      <c r="G93" s="1303"/>
      <c r="H93" s="1303"/>
      <c r="I93" s="1303"/>
      <c r="J93" s="1303"/>
      <c r="K93" s="1303"/>
      <c r="L93" s="1303"/>
      <c r="M93" s="1303"/>
      <c r="N93" s="1303"/>
      <c r="O93" s="1303"/>
      <c r="P93" s="1303"/>
      <c r="Q93" s="1303"/>
      <c r="R93" s="1303"/>
      <c r="S93" s="1303"/>
      <c r="T93" s="1303"/>
      <c r="W93" s="282"/>
    </row>
    <row r="94" spans="1:23" s="64" customFormat="1" ht="15" customHeight="1">
      <c r="A94" s="75" t="s">
        <v>745</v>
      </c>
      <c r="B94" s="64" t="s">
        <v>1349</v>
      </c>
      <c r="C94" s="65"/>
      <c r="W94" s="282"/>
    </row>
    <row r="95" spans="1:23" s="64" customFormat="1" ht="15" customHeight="1">
      <c r="A95" s="75" t="s">
        <v>747</v>
      </c>
      <c r="B95" s="64" t="s">
        <v>1350</v>
      </c>
      <c r="C95" s="65"/>
      <c r="W95" s="282"/>
    </row>
    <row r="96" spans="1:23" s="64" customFormat="1" ht="30" customHeight="1">
      <c r="A96" s="75" t="s">
        <v>936</v>
      </c>
      <c r="B96" s="1303" t="s">
        <v>1351</v>
      </c>
      <c r="C96" s="1303"/>
      <c r="D96" s="1303"/>
      <c r="E96" s="1303"/>
      <c r="F96" s="1303"/>
      <c r="G96" s="1303"/>
      <c r="H96" s="1303"/>
      <c r="I96" s="1303"/>
      <c r="J96" s="1303"/>
      <c r="K96" s="1303"/>
      <c r="L96" s="1303"/>
      <c r="M96" s="1303"/>
      <c r="N96" s="1303"/>
      <c r="O96" s="1303"/>
      <c r="P96" s="1303"/>
      <c r="Q96" s="1303"/>
      <c r="R96" s="1303"/>
      <c r="S96" s="1303"/>
      <c r="T96" s="1303"/>
      <c r="W96" s="282"/>
    </row>
    <row r="97" spans="1:41" s="64" customFormat="1" ht="15" customHeight="1">
      <c r="A97" s="64" t="s">
        <v>1352</v>
      </c>
      <c r="B97" s="65"/>
      <c r="C97" s="65"/>
      <c r="W97" s="282"/>
    </row>
    <row r="98" spans="1:41" s="64" customFormat="1" ht="40.35" customHeight="1">
      <c r="A98" s="75" t="s">
        <v>745</v>
      </c>
      <c r="B98" s="1303" t="s">
        <v>1353</v>
      </c>
      <c r="C98" s="1303"/>
      <c r="D98" s="1303"/>
      <c r="E98" s="1303"/>
      <c r="F98" s="1303"/>
      <c r="G98" s="1303"/>
      <c r="H98" s="1303"/>
      <c r="I98" s="1303"/>
      <c r="J98" s="1303"/>
      <c r="K98" s="1303"/>
      <c r="L98" s="1303"/>
      <c r="M98" s="1303"/>
      <c r="N98" s="1303"/>
      <c r="O98" s="1303"/>
      <c r="P98" s="1303"/>
      <c r="Q98" s="1303"/>
      <c r="R98" s="1303"/>
      <c r="S98" s="1303"/>
      <c r="T98" s="1303"/>
      <c r="W98" s="282"/>
    </row>
    <row r="99" spans="1:41" s="64" customFormat="1" ht="45" customHeight="1">
      <c r="A99" s="75" t="s">
        <v>747</v>
      </c>
      <c r="B99" s="1303" t="s">
        <v>1354</v>
      </c>
      <c r="C99" s="1303"/>
      <c r="D99" s="1303"/>
      <c r="E99" s="1303"/>
      <c r="F99" s="1303"/>
      <c r="G99" s="1303"/>
      <c r="H99" s="1303"/>
      <c r="I99" s="1303"/>
      <c r="J99" s="1303"/>
      <c r="K99" s="1303"/>
      <c r="L99" s="1303"/>
      <c r="M99" s="1303"/>
      <c r="N99" s="1303"/>
      <c r="O99" s="1303"/>
      <c r="P99" s="1303"/>
      <c r="Q99" s="1303"/>
      <c r="R99" s="1303"/>
      <c r="S99" s="1303"/>
      <c r="T99" s="1303"/>
      <c r="W99" s="282"/>
    </row>
    <row r="100" spans="1:41" s="31" customFormat="1" ht="15" customHeight="1">
      <c r="A100" s="65" t="s">
        <v>1764</v>
      </c>
      <c r="B100" s="661"/>
      <c r="C100" s="661"/>
      <c r="D100" s="661"/>
      <c r="E100" s="661"/>
      <c r="F100" s="662"/>
      <c r="G100" s="662"/>
      <c r="H100" s="662"/>
      <c r="I100" s="662"/>
      <c r="J100" s="662"/>
      <c r="K100" s="662"/>
      <c r="L100" s="662"/>
      <c r="M100" s="662"/>
      <c r="N100" s="662"/>
      <c r="O100" s="662"/>
      <c r="P100" s="662"/>
      <c r="Q100" s="662"/>
      <c r="R100" s="662"/>
      <c r="S100" s="662"/>
      <c r="T100" s="73"/>
      <c r="U100" s="196"/>
      <c r="V100" s="702"/>
      <c r="W100" s="196"/>
      <c r="X100" s="512"/>
      <c r="Y100" s="512"/>
    </row>
    <row r="101" spans="1:41" s="64" customFormat="1" ht="30" customHeight="1">
      <c r="A101" s="723"/>
      <c r="B101" s="2108" t="s">
        <v>1793</v>
      </c>
      <c r="C101" s="2108"/>
      <c r="D101" s="2108"/>
      <c r="E101" s="2108"/>
      <c r="F101" s="2108"/>
      <c r="G101" s="2108"/>
      <c r="H101" s="2108"/>
      <c r="I101" s="2108"/>
      <c r="J101" s="2108"/>
      <c r="K101" s="2108"/>
      <c r="L101" s="2108"/>
      <c r="M101" s="2108"/>
      <c r="N101" s="2108"/>
      <c r="O101" s="2108"/>
      <c r="P101" s="2108"/>
      <c r="Q101" s="2108"/>
      <c r="R101" s="2108"/>
      <c r="S101" s="2108"/>
      <c r="T101" s="2108"/>
      <c r="V101" s="282"/>
      <c r="W101" s="69"/>
      <c r="X101" s="69"/>
      <c r="Y101" s="69"/>
      <c r="Z101" s="69"/>
      <c r="AA101" s="69"/>
      <c r="AB101" s="69"/>
      <c r="AC101" s="69"/>
      <c r="AD101" s="69"/>
      <c r="AE101" s="69"/>
      <c r="AF101" s="69"/>
      <c r="AG101" s="69"/>
      <c r="AH101" s="69"/>
      <c r="AI101" s="69"/>
      <c r="AJ101" s="69"/>
      <c r="AK101" s="69"/>
      <c r="AL101" s="69"/>
      <c r="AM101" s="69"/>
      <c r="AN101" s="69"/>
      <c r="AO101" s="69"/>
    </row>
    <row r="102" spans="1:41" s="64" customFormat="1" ht="15" customHeight="1">
      <c r="A102" s="723"/>
      <c r="B102" s="75" t="s">
        <v>745</v>
      </c>
      <c r="C102" s="2108" t="s">
        <v>1829</v>
      </c>
      <c r="D102" s="2108"/>
      <c r="E102" s="2108"/>
      <c r="F102" s="2108"/>
      <c r="G102" s="2108"/>
      <c r="H102" s="2108"/>
      <c r="I102" s="2108"/>
      <c r="J102" s="2108"/>
      <c r="K102" s="2108"/>
      <c r="L102" s="2108"/>
      <c r="M102" s="2108"/>
      <c r="N102" s="2108"/>
      <c r="O102" s="2108"/>
      <c r="P102" s="2108"/>
      <c r="Q102" s="2108"/>
      <c r="R102" s="2108"/>
      <c r="S102" s="2108"/>
      <c r="T102" s="2108"/>
      <c r="V102" s="282"/>
      <c r="W102" s="69"/>
      <c r="X102" s="69"/>
      <c r="Y102" s="69"/>
      <c r="Z102" s="69"/>
      <c r="AA102" s="69"/>
      <c r="AB102" s="69"/>
      <c r="AC102" s="69"/>
      <c r="AD102" s="69"/>
      <c r="AE102" s="69"/>
      <c r="AF102" s="69"/>
      <c r="AG102" s="69"/>
      <c r="AH102" s="69"/>
      <c r="AI102" s="69"/>
      <c r="AJ102" s="69"/>
      <c r="AK102" s="69"/>
      <c r="AL102" s="69"/>
      <c r="AM102" s="69"/>
      <c r="AN102" s="69"/>
      <c r="AO102" s="69"/>
    </row>
    <row r="103" spans="1:41" s="64" customFormat="1" ht="15" customHeight="1">
      <c r="A103" s="723"/>
      <c r="B103" s="724"/>
      <c r="C103" s="2108"/>
      <c r="D103" s="2108"/>
      <c r="E103" s="2108"/>
      <c r="F103" s="2108"/>
      <c r="G103" s="2108"/>
      <c r="H103" s="2108"/>
      <c r="I103" s="2108"/>
      <c r="J103" s="2108"/>
      <c r="K103" s="2108"/>
      <c r="L103" s="2108"/>
      <c r="M103" s="2108"/>
      <c r="N103" s="2108"/>
      <c r="O103" s="2108"/>
      <c r="P103" s="2108"/>
      <c r="Q103" s="2108"/>
      <c r="R103" s="2108"/>
      <c r="S103" s="2108"/>
      <c r="T103" s="2108"/>
      <c r="V103" s="282"/>
      <c r="W103" s="69"/>
      <c r="X103" s="69"/>
      <c r="Y103" s="69"/>
      <c r="Z103" s="69"/>
      <c r="AA103" s="69"/>
      <c r="AB103" s="69"/>
      <c r="AC103" s="69"/>
      <c r="AD103" s="69"/>
      <c r="AE103" s="69"/>
      <c r="AF103" s="69"/>
      <c r="AG103" s="69"/>
      <c r="AH103" s="69"/>
      <c r="AI103" s="69"/>
      <c r="AJ103" s="69"/>
      <c r="AK103" s="69"/>
      <c r="AL103" s="69"/>
      <c r="AM103" s="69"/>
      <c r="AN103" s="69"/>
      <c r="AO103" s="69"/>
    </row>
    <row r="104" spans="1:41" s="64" customFormat="1" ht="15" customHeight="1">
      <c r="A104" s="723"/>
      <c r="C104" s="725" t="s">
        <v>1892</v>
      </c>
      <c r="D104" s="725"/>
      <c r="E104" s="725"/>
      <c r="F104" s="725"/>
      <c r="G104" s="725"/>
      <c r="H104" s="725"/>
      <c r="I104" s="725"/>
      <c r="J104" s="725"/>
      <c r="K104" s="725"/>
      <c r="L104" s="725"/>
      <c r="M104" s="725"/>
      <c r="N104" s="725"/>
      <c r="O104" s="725"/>
      <c r="P104" s="725"/>
      <c r="Q104" s="725"/>
      <c r="R104" s="725"/>
      <c r="S104" s="725"/>
      <c r="T104" s="714"/>
      <c r="V104" s="282"/>
      <c r="W104" s="69"/>
      <c r="X104" s="69"/>
      <c r="Y104" s="69"/>
      <c r="Z104" s="69"/>
      <c r="AA104" s="69"/>
      <c r="AB104" s="69"/>
      <c r="AC104" s="69"/>
      <c r="AD104" s="69"/>
      <c r="AE104" s="69"/>
      <c r="AF104" s="69"/>
      <c r="AG104" s="69"/>
      <c r="AH104" s="69"/>
      <c r="AI104" s="69"/>
      <c r="AJ104" s="69"/>
      <c r="AK104" s="69"/>
      <c r="AL104" s="69"/>
      <c r="AM104" s="69"/>
      <c r="AN104" s="69"/>
      <c r="AO104" s="69"/>
    </row>
    <row r="105" spans="1:41" s="64" customFormat="1" ht="15" customHeight="1">
      <c r="A105" s="723"/>
      <c r="B105" s="726"/>
      <c r="C105" s="2108" t="s">
        <v>1900</v>
      </c>
      <c r="D105" s="2108"/>
      <c r="E105" s="2108"/>
      <c r="F105" s="2108"/>
      <c r="G105" s="2108"/>
      <c r="H105" s="2108"/>
      <c r="I105" s="2108"/>
      <c r="J105" s="2108"/>
      <c r="K105" s="2108"/>
      <c r="L105" s="2108"/>
      <c r="M105" s="2108"/>
      <c r="N105" s="2108"/>
      <c r="O105" s="2108"/>
      <c r="P105" s="2108"/>
      <c r="Q105" s="2108"/>
      <c r="R105" s="2108"/>
      <c r="S105" s="2108"/>
      <c r="T105" s="2108"/>
      <c r="V105" s="282"/>
      <c r="W105" s="69"/>
      <c r="X105" s="69"/>
      <c r="Y105" s="69"/>
      <c r="Z105" s="69"/>
      <c r="AA105" s="69"/>
      <c r="AB105" s="69"/>
      <c r="AC105" s="69"/>
      <c r="AD105" s="69"/>
      <c r="AE105" s="69"/>
      <c r="AF105" s="69"/>
      <c r="AG105" s="69"/>
      <c r="AH105" s="69"/>
      <c r="AI105" s="69"/>
      <c r="AJ105" s="69"/>
      <c r="AK105" s="69"/>
      <c r="AL105" s="69"/>
      <c r="AM105" s="69"/>
      <c r="AN105" s="69"/>
      <c r="AO105" s="69"/>
    </row>
    <row r="106" spans="1:41" s="64" customFormat="1" ht="15" customHeight="1">
      <c r="A106" s="723"/>
      <c r="B106" s="726"/>
      <c r="C106" s="2108" t="s">
        <v>1901</v>
      </c>
      <c r="D106" s="2109"/>
      <c r="E106" s="2109"/>
      <c r="F106" s="2109"/>
      <c r="G106" s="2109"/>
      <c r="H106" s="2109"/>
      <c r="I106" s="2109"/>
      <c r="J106" s="2109"/>
      <c r="K106" s="2109"/>
      <c r="L106" s="2109"/>
      <c r="M106" s="2109"/>
      <c r="N106" s="2109"/>
      <c r="O106" s="2109"/>
      <c r="P106" s="2109"/>
      <c r="Q106" s="2109"/>
      <c r="R106" s="2109"/>
      <c r="S106" s="2109"/>
      <c r="T106" s="2109"/>
      <c r="V106" s="282"/>
      <c r="W106" s="69"/>
      <c r="X106" s="69"/>
      <c r="Y106" s="69"/>
      <c r="Z106" s="69"/>
      <c r="AA106" s="69"/>
      <c r="AB106" s="69"/>
      <c r="AC106" s="69"/>
      <c r="AD106" s="69"/>
      <c r="AE106" s="69"/>
      <c r="AF106" s="69"/>
      <c r="AG106" s="69"/>
      <c r="AH106" s="69"/>
      <c r="AI106" s="69"/>
      <c r="AJ106" s="69"/>
      <c r="AK106" s="69"/>
      <c r="AL106" s="69"/>
      <c r="AM106" s="69"/>
      <c r="AN106" s="69"/>
      <c r="AO106" s="69"/>
    </row>
    <row r="107" spans="1:41" s="64" customFormat="1" ht="15" customHeight="1">
      <c r="A107" s="723"/>
      <c r="B107" s="726"/>
      <c r="C107" s="2109"/>
      <c r="D107" s="2109"/>
      <c r="E107" s="2109"/>
      <c r="F107" s="2109"/>
      <c r="G107" s="2109"/>
      <c r="H107" s="2109"/>
      <c r="I107" s="2109"/>
      <c r="J107" s="2109"/>
      <c r="K107" s="2109"/>
      <c r="L107" s="2109"/>
      <c r="M107" s="2109"/>
      <c r="N107" s="2109"/>
      <c r="O107" s="2109"/>
      <c r="P107" s="2109"/>
      <c r="Q107" s="2109"/>
      <c r="R107" s="2109"/>
      <c r="S107" s="2109"/>
      <c r="T107" s="2109"/>
      <c r="V107" s="282"/>
      <c r="W107" s="69"/>
      <c r="X107" s="69"/>
      <c r="Y107" s="69"/>
      <c r="Z107" s="69"/>
      <c r="AA107" s="69"/>
      <c r="AB107" s="69"/>
      <c r="AC107" s="69"/>
      <c r="AD107" s="69"/>
      <c r="AE107" s="69"/>
      <c r="AF107" s="69"/>
      <c r="AG107" s="69"/>
      <c r="AH107" s="69"/>
      <c r="AI107" s="69"/>
      <c r="AJ107" s="69"/>
      <c r="AK107" s="69"/>
      <c r="AL107" s="69"/>
      <c r="AM107" s="69"/>
      <c r="AN107" s="69"/>
      <c r="AO107" s="69"/>
    </row>
    <row r="108" spans="1:41" s="64" customFormat="1" ht="15" customHeight="1">
      <c r="A108" s="704"/>
      <c r="B108" s="725"/>
      <c r="C108" s="2108" t="s">
        <v>1773</v>
      </c>
      <c r="D108" s="2108"/>
      <c r="E108" s="2108"/>
      <c r="F108" s="2108"/>
      <c r="G108" s="2108"/>
      <c r="H108" s="2108"/>
      <c r="I108" s="2108"/>
      <c r="J108" s="2108"/>
      <c r="K108" s="2108"/>
      <c r="L108" s="2108"/>
      <c r="M108" s="2108"/>
      <c r="N108" s="2108"/>
      <c r="O108" s="2108"/>
      <c r="P108" s="2108"/>
      <c r="Q108" s="2108"/>
      <c r="R108" s="2108"/>
      <c r="S108" s="2108"/>
      <c r="T108" s="2108"/>
      <c r="V108" s="282"/>
      <c r="W108" s="69"/>
      <c r="X108" s="69"/>
      <c r="Y108" s="69"/>
      <c r="Z108" s="69"/>
      <c r="AA108" s="69"/>
      <c r="AB108" s="69"/>
      <c r="AC108" s="69"/>
      <c r="AD108" s="69"/>
      <c r="AE108" s="69"/>
      <c r="AF108" s="69"/>
      <c r="AG108" s="69"/>
      <c r="AH108" s="69"/>
      <c r="AI108" s="69"/>
      <c r="AJ108" s="69"/>
      <c r="AK108" s="69"/>
      <c r="AL108" s="69"/>
      <c r="AM108" s="69"/>
      <c r="AN108" s="69"/>
      <c r="AO108" s="69"/>
    </row>
    <row r="109" spans="1:41" s="64" customFormat="1" ht="15" customHeight="1">
      <c r="A109" s="65"/>
      <c r="B109" s="75" t="s">
        <v>747</v>
      </c>
      <c r="C109" s="2110" t="s">
        <v>1831</v>
      </c>
      <c r="D109" s="2110"/>
      <c r="E109" s="2110"/>
      <c r="F109" s="2110"/>
      <c r="G109" s="2110"/>
      <c r="H109" s="2110"/>
      <c r="I109" s="2110"/>
      <c r="J109" s="2110"/>
      <c r="K109" s="2110"/>
      <c r="L109" s="2110"/>
      <c r="M109" s="2110"/>
      <c r="N109" s="2110"/>
      <c r="O109" s="2110"/>
      <c r="P109" s="2110"/>
      <c r="Q109" s="2110"/>
      <c r="R109" s="2110"/>
      <c r="S109" s="2110"/>
      <c r="T109" s="2110"/>
      <c r="W109" s="282"/>
      <c r="X109" s="282"/>
      <c r="Y109" s="546"/>
      <c r="Z109" s="546"/>
    </row>
    <row r="110" spans="1:41" s="64" customFormat="1" ht="15" customHeight="1">
      <c r="A110" s="65"/>
      <c r="B110" s="703"/>
      <c r="C110" s="2110"/>
      <c r="D110" s="2110"/>
      <c r="E110" s="2110"/>
      <c r="F110" s="2110"/>
      <c r="G110" s="2110"/>
      <c r="H110" s="2110"/>
      <c r="I110" s="2110"/>
      <c r="J110" s="2110"/>
      <c r="K110" s="2110"/>
      <c r="L110" s="2110"/>
      <c r="M110" s="2110"/>
      <c r="N110" s="2110"/>
      <c r="O110" s="2110"/>
      <c r="P110" s="2110"/>
      <c r="Q110" s="2110"/>
      <c r="R110" s="2110"/>
      <c r="S110" s="2110"/>
      <c r="T110" s="2110"/>
      <c r="W110" s="282"/>
      <c r="X110" s="282"/>
      <c r="Y110" s="546"/>
      <c r="Z110" s="546"/>
    </row>
    <row r="111" spans="1:41" s="64" customFormat="1" ht="15" customHeight="1">
      <c r="A111" s="65"/>
      <c r="B111" s="75" t="s">
        <v>775</v>
      </c>
      <c r="C111" s="2110" t="s">
        <v>1775</v>
      </c>
      <c r="D111" s="2110"/>
      <c r="E111" s="2110"/>
      <c r="F111" s="2110"/>
      <c r="G111" s="2110"/>
      <c r="H111" s="2110"/>
      <c r="I111" s="2110"/>
      <c r="J111" s="2110"/>
      <c r="K111" s="2110"/>
      <c r="L111" s="2110"/>
      <c r="M111" s="2110"/>
      <c r="N111" s="2110"/>
      <c r="O111" s="2110"/>
      <c r="P111" s="2110"/>
      <c r="Q111" s="2110"/>
      <c r="R111" s="2110"/>
      <c r="S111" s="2110"/>
      <c r="T111" s="2110"/>
      <c r="W111" s="282"/>
      <c r="X111" s="282"/>
      <c r="Y111" s="546"/>
      <c r="Z111" s="546"/>
    </row>
    <row r="112" spans="1:41" s="64" customFormat="1" ht="15" customHeight="1">
      <c r="A112" s="65"/>
      <c r="B112" s="703"/>
      <c r="C112" s="2110"/>
      <c r="D112" s="2110"/>
      <c r="E112" s="2110"/>
      <c r="F112" s="2110"/>
      <c r="G112" s="2110"/>
      <c r="H112" s="2110"/>
      <c r="I112" s="2110"/>
      <c r="J112" s="2110"/>
      <c r="K112" s="2110"/>
      <c r="L112" s="2110"/>
      <c r="M112" s="2110"/>
      <c r="N112" s="2110"/>
      <c r="O112" s="2110"/>
      <c r="P112" s="2110"/>
      <c r="Q112" s="2110"/>
      <c r="R112" s="2110"/>
      <c r="S112" s="2110"/>
      <c r="T112" s="2110"/>
      <c r="W112" s="282"/>
      <c r="X112" s="282"/>
      <c r="Y112" s="546"/>
      <c r="Z112" s="546"/>
    </row>
    <row r="113" spans="1:41" s="64" customFormat="1" ht="15" customHeight="1">
      <c r="A113" s="704"/>
      <c r="B113" s="75" t="s">
        <v>792</v>
      </c>
      <c r="C113" s="2108" t="s">
        <v>1774</v>
      </c>
      <c r="D113" s="2108"/>
      <c r="E113" s="2108"/>
      <c r="F113" s="2108"/>
      <c r="G113" s="2108"/>
      <c r="H113" s="2108"/>
      <c r="I113" s="2108"/>
      <c r="J113" s="2108"/>
      <c r="K113" s="2108"/>
      <c r="L113" s="2108"/>
      <c r="M113" s="2108"/>
      <c r="N113" s="2108"/>
      <c r="O113" s="2108"/>
      <c r="P113" s="2108"/>
      <c r="Q113" s="2108"/>
      <c r="R113" s="2108"/>
      <c r="S113" s="2108"/>
      <c r="T113" s="2108"/>
      <c r="V113" s="282"/>
      <c r="W113" s="69"/>
      <c r="X113" s="69"/>
      <c r="Y113" s="69"/>
      <c r="Z113" s="69"/>
      <c r="AA113" s="69"/>
      <c r="AB113" s="69"/>
      <c r="AC113" s="69"/>
      <c r="AD113" s="69"/>
      <c r="AE113" s="69"/>
      <c r="AF113" s="69"/>
      <c r="AG113" s="69"/>
      <c r="AH113" s="69"/>
      <c r="AI113" s="69"/>
      <c r="AJ113" s="69"/>
      <c r="AK113" s="69"/>
      <c r="AL113" s="69"/>
      <c r="AM113" s="69"/>
      <c r="AN113" s="69"/>
      <c r="AO113" s="69"/>
    </row>
    <row r="114" spans="1:41" s="64" customFormat="1" ht="15" customHeight="1">
      <c r="A114" s="704"/>
      <c r="B114" s="725"/>
      <c r="C114" s="2108"/>
      <c r="D114" s="2108"/>
      <c r="E114" s="2108"/>
      <c r="F114" s="2108"/>
      <c r="G114" s="2108"/>
      <c r="H114" s="2108"/>
      <c r="I114" s="2108"/>
      <c r="J114" s="2108"/>
      <c r="K114" s="2108"/>
      <c r="L114" s="2108"/>
      <c r="M114" s="2108"/>
      <c r="N114" s="2108"/>
      <c r="O114" s="2108"/>
      <c r="P114" s="2108"/>
      <c r="Q114" s="2108"/>
      <c r="R114" s="2108"/>
      <c r="S114" s="2108"/>
      <c r="T114" s="2108"/>
      <c r="V114" s="282"/>
      <c r="W114" s="69"/>
      <c r="X114" s="69"/>
      <c r="Y114" s="69"/>
      <c r="Z114" s="69"/>
      <c r="AA114" s="69"/>
      <c r="AB114" s="69"/>
      <c r="AC114" s="69"/>
      <c r="AD114" s="69"/>
      <c r="AE114" s="69"/>
      <c r="AF114" s="69"/>
      <c r="AG114" s="69"/>
      <c r="AH114" s="69"/>
      <c r="AI114" s="69"/>
      <c r="AJ114" s="69"/>
      <c r="AK114" s="69"/>
      <c r="AL114" s="69"/>
      <c r="AM114" s="69"/>
      <c r="AN114" s="69"/>
      <c r="AO114" s="69"/>
    </row>
    <row r="115" spans="1:41" s="31" customFormat="1" ht="15" customHeight="1">
      <c r="A115" s="64" t="s">
        <v>1355</v>
      </c>
      <c r="B115" s="32"/>
      <c r="C115" s="32"/>
      <c r="H115" s="32"/>
      <c r="K115" s="513"/>
      <c r="L115" s="513"/>
      <c r="M115" s="513"/>
      <c r="N115" s="513"/>
      <c r="O115" s="513"/>
      <c r="P115" s="513"/>
      <c r="Q115" s="513"/>
      <c r="R115" s="513"/>
      <c r="S115" s="513"/>
      <c r="T115" s="73"/>
      <c r="V115" s="196"/>
      <c r="W115" s="196"/>
    </row>
    <row r="116" spans="1:41" s="31" customFormat="1" ht="15" customHeight="1">
      <c r="B116" s="2052" t="s">
        <v>138</v>
      </c>
      <c r="C116" s="2052"/>
      <c r="D116" s="2052"/>
      <c r="E116" s="2052"/>
      <c r="F116" s="1219" t="str">
        <f>通所重説!F260</f>
        <v>実施していない</v>
      </c>
      <c r="G116" s="1219"/>
      <c r="H116" s="1219"/>
      <c r="I116" s="1219" t="s">
        <v>139</v>
      </c>
      <c r="J116" s="1219"/>
      <c r="K116" s="1219"/>
      <c r="L116" s="1219"/>
      <c r="M116" s="1219" t="str">
        <f>通所重説!M260</f>
        <v/>
      </c>
      <c r="N116" s="1219"/>
      <c r="O116" s="1219"/>
      <c r="P116" s="1219"/>
      <c r="Q116" s="1219"/>
      <c r="R116" s="1219"/>
      <c r="S116" s="1219"/>
      <c r="T116" s="73"/>
      <c r="V116" s="196"/>
      <c r="W116" s="196"/>
    </row>
    <row r="117" spans="1:41" s="31" customFormat="1" ht="15" customHeight="1">
      <c r="B117" s="2106" t="s">
        <v>140</v>
      </c>
      <c r="C117" s="2106"/>
      <c r="D117" s="2106"/>
      <c r="E117" s="2106"/>
      <c r="F117" s="2107" t="str">
        <f>通所重説!F261</f>
        <v>年月日</v>
      </c>
      <c r="G117" s="2107"/>
      <c r="H117" s="2107"/>
      <c r="I117" s="2107"/>
      <c r="J117" s="2107"/>
      <c r="K117" s="2107"/>
      <c r="L117" s="2107"/>
      <c r="M117" s="63"/>
      <c r="N117" s="63"/>
      <c r="O117" s="63"/>
      <c r="P117" s="63"/>
      <c r="Q117" s="63"/>
      <c r="R117" s="63"/>
      <c r="S117" s="63"/>
      <c r="T117" s="73"/>
      <c r="V117" s="196"/>
      <c r="W117" s="196"/>
    </row>
    <row r="118" spans="1:41" s="31" customFormat="1" ht="15" customHeight="1">
      <c r="B118" s="2052" t="s">
        <v>141</v>
      </c>
      <c r="C118" s="2052"/>
      <c r="D118" s="2052"/>
      <c r="E118" s="2052"/>
      <c r="F118" s="1219" t="str">
        <f>通所重説!F262</f>
        <v/>
      </c>
      <c r="G118" s="1219"/>
      <c r="H118" s="1219"/>
      <c r="I118" s="1219" t="s">
        <v>142</v>
      </c>
      <c r="J118" s="1219"/>
      <c r="K118" s="1219"/>
      <c r="L118" s="1219"/>
      <c r="M118" s="1219" t="str">
        <f>通所重説!M262</f>
        <v/>
      </c>
      <c r="N118" s="1219"/>
      <c r="O118" s="1219"/>
      <c r="P118" s="1219"/>
      <c r="Q118" s="1219"/>
      <c r="R118" s="1219"/>
      <c r="S118" s="1219"/>
      <c r="T118" s="73"/>
      <c r="V118" s="196"/>
      <c r="W118" s="196"/>
    </row>
    <row r="119" spans="1:41" s="64" customFormat="1" ht="15" customHeight="1">
      <c r="A119" s="159" t="s">
        <v>1356</v>
      </c>
      <c r="B119" s="65"/>
      <c r="C119" s="65"/>
      <c r="W119" s="282"/>
    </row>
    <row r="120" spans="1:41" s="64" customFormat="1" ht="45" customHeight="1">
      <c r="A120" s="75" t="s">
        <v>745</v>
      </c>
      <c r="B120" s="2078" t="s">
        <v>1357</v>
      </c>
      <c r="C120" s="2078"/>
      <c r="D120" s="2078"/>
      <c r="E120" s="2078"/>
      <c r="F120" s="2078"/>
      <c r="G120" s="2078"/>
      <c r="H120" s="2078"/>
      <c r="I120" s="2078"/>
      <c r="J120" s="2078"/>
      <c r="K120" s="2078"/>
      <c r="L120" s="2078"/>
      <c r="M120" s="2078"/>
      <c r="N120" s="2078"/>
      <c r="O120" s="2078"/>
      <c r="P120" s="2078"/>
      <c r="Q120" s="2078"/>
      <c r="R120" s="2078"/>
      <c r="S120" s="2078"/>
      <c r="T120" s="2078"/>
      <c r="W120" s="282"/>
    </row>
    <row r="121" spans="1:41" s="64" customFormat="1" ht="30" customHeight="1">
      <c r="A121" s="75" t="s">
        <v>747</v>
      </c>
      <c r="B121" s="2078" t="s">
        <v>1358</v>
      </c>
      <c r="C121" s="2078"/>
      <c r="D121" s="2078"/>
      <c r="E121" s="2078"/>
      <c r="F121" s="2078"/>
      <c r="G121" s="2078"/>
      <c r="H121" s="2078"/>
      <c r="I121" s="2078"/>
      <c r="J121" s="2078"/>
      <c r="K121" s="2078"/>
      <c r="L121" s="2078"/>
      <c r="M121" s="2078"/>
      <c r="N121" s="2078"/>
      <c r="O121" s="2078"/>
      <c r="P121" s="2078"/>
      <c r="Q121" s="2078"/>
      <c r="R121" s="2078"/>
      <c r="S121" s="2078"/>
      <c r="T121" s="2078"/>
      <c r="W121" s="282"/>
    </row>
    <row r="122" spans="1:41" s="64" customFormat="1" ht="30" customHeight="1">
      <c r="A122" s="75" t="s">
        <v>936</v>
      </c>
      <c r="B122" s="2078" t="s">
        <v>1359</v>
      </c>
      <c r="C122" s="2078"/>
      <c r="D122" s="2078"/>
      <c r="E122" s="2078"/>
      <c r="F122" s="2078"/>
      <c r="G122" s="2078"/>
      <c r="H122" s="2078"/>
      <c r="I122" s="2078"/>
      <c r="J122" s="2078"/>
      <c r="K122" s="2078"/>
      <c r="L122" s="2078"/>
      <c r="M122" s="2078"/>
      <c r="N122" s="2078"/>
      <c r="O122" s="2078"/>
      <c r="P122" s="2078"/>
      <c r="Q122" s="2078"/>
      <c r="R122" s="2078"/>
      <c r="S122" s="2078"/>
      <c r="T122" s="2078"/>
      <c r="W122" s="282"/>
    </row>
    <row r="123" spans="1:41" s="64" customFormat="1" ht="15" customHeight="1">
      <c r="A123" s="70" t="s">
        <v>75</v>
      </c>
      <c r="B123" s="74" t="s">
        <v>463</v>
      </c>
      <c r="C123" s="74"/>
      <c r="D123" s="74"/>
      <c r="E123" s="74"/>
      <c r="F123" s="74"/>
      <c r="G123" s="74"/>
      <c r="H123" s="74"/>
      <c r="I123" s="74"/>
      <c r="J123" s="74"/>
      <c r="K123" s="74"/>
      <c r="L123" s="74"/>
      <c r="M123" s="74"/>
      <c r="N123" s="74"/>
      <c r="O123" s="74"/>
      <c r="P123" s="74"/>
      <c r="Q123" s="544"/>
      <c r="R123" s="544"/>
      <c r="S123" s="544"/>
      <c r="T123" s="544"/>
      <c r="W123" s="282"/>
    </row>
    <row r="124" spans="1:41" s="64" customFormat="1" ht="15" customHeight="1">
      <c r="A124" s="70"/>
      <c r="B124" s="74"/>
      <c r="C124" s="74"/>
      <c r="D124" s="74"/>
      <c r="E124" s="74"/>
      <c r="F124" s="74"/>
      <c r="G124" s="74"/>
      <c r="H124" s="74"/>
      <c r="I124" s="74"/>
      <c r="J124" s="74"/>
      <c r="K124" s="74"/>
      <c r="L124" s="74"/>
      <c r="M124" s="74"/>
      <c r="N124" s="74"/>
      <c r="O124" s="74"/>
      <c r="P124" s="74"/>
      <c r="Q124" s="544"/>
      <c r="R124" s="544"/>
      <c r="S124" s="544"/>
      <c r="T124" s="544"/>
      <c r="W124" s="282"/>
    </row>
    <row r="125" spans="1:41" s="64" customFormat="1" ht="15" customHeight="1">
      <c r="A125" s="64" t="str">
        <f>DBCS(【マスター】!C4&amp;【マスター】!D4&amp;【マスター】!E4&amp;"　"&amp;【マスター】!F4&amp;【マスター】!G4&amp;"　"&amp;【マスター】!H4&amp;"日")</f>
        <v>令和７年　４月　１日</v>
      </c>
      <c r="B125" s="65"/>
      <c r="C125" s="73"/>
      <c r="D125" s="73"/>
      <c r="E125" s="73"/>
      <c r="F125" s="73"/>
      <c r="G125" s="73"/>
      <c r="H125" s="73"/>
      <c r="I125" s="73"/>
      <c r="J125" s="73"/>
      <c r="K125" s="73"/>
      <c r="L125" s="73"/>
      <c r="M125" s="73"/>
      <c r="N125" s="73"/>
      <c r="O125" s="73"/>
      <c r="P125" s="73"/>
      <c r="Q125" s="73"/>
      <c r="R125" s="73"/>
      <c r="S125" s="73"/>
      <c r="T125" s="73"/>
      <c r="W125" s="282"/>
    </row>
    <row r="126" spans="1:41" s="64" customFormat="1" ht="15" customHeight="1">
      <c r="B126" s="65"/>
      <c r="C126" s="73"/>
      <c r="D126" s="73"/>
      <c r="E126" s="73"/>
      <c r="F126" s="73"/>
      <c r="G126" s="73"/>
      <c r="H126" s="73"/>
      <c r="I126" s="73"/>
      <c r="J126" s="73"/>
      <c r="K126" s="73"/>
      <c r="L126" s="73"/>
      <c r="M126" s="73"/>
      <c r="N126" s="73"/>
      <c r="O126" s="73"/>
      <c r="P126" s="73"/>
      <c r="Q126" s="73"/>
      <c r="R126" s="73"/>
      <c r="S126" s="73"/>
      <c r="T126" s="73"/>
      <c r="W126" s="282"/>
    </row>
    <row r="127" spans="1:41" s="64" customFormat="1" ht="15" customHeight="1">
      <c r="B127" s="65"/>
      <c r="C127" s="77" t="s">
        <v>502</v>
      </c>
      <c r="D127" s="73"/>
      <c r="E127" s="73"/>
      <c r="F127" s="73"/>
      <c r="G127" s="73"/>
      <c r="H127" s="63" t="s">
        <v>503</v>
      </c>
      <c r="K127" s="2102" t="str">
        <f>DBCS(【マスター】!F23&amp;【マスター】!C24)</f>
        <v>愛知県豊川市大堀町２９３番地</v>
      </c>
      <c r="L127" s="2102"/>
      <c r="M127" s="2102"/>
      <c r="N127" s="2102"/>
      <c r="O127" s="2102"/>
      <c r="P127" s="2102"/>
      <c r="Q127" s="2102"/>
      <c r="R127" s="2102"/>
      <c r="S127" s="2102"/>
      <c r="T127" s="2102"/>
      <c r="W127" s="282"/>
    </row>
    <row r="128" spans="1:41" s="64" customFormat="1" ht="15" customHeight="1">
      <c r="B128" s="65"/>
      <c r="C128" s="65"/>
      <c r="H128" s="63" t="s">
        <v>504</v>
      </c>
      <c r="K128" s="2101" t="str">
        <f>IF(【マスター】!C22="","",【マスター】!C22)</f>
        <v>株式会社ケアサポート</v>
      </c>
      <c r="L128" s="2101"/>
      <c r="M128" s="2101"/>
      <c r="N128" s="2101"/>
      <c r="O128" s="2101"/>
      <c r="P128" s="2101"/>
      <c r="Q128" s="2101"/>
      <c r="R128" s="2101"/>
      <c r="S128" s="2101"/>
      <c r="T128" s="2101"/>
      <c r="W128" s="282"/>
    </row>
    <row r="129" spans="2:23" s="64" customFormat="1" ht="15" customHeight="1">
      <c r="B129" s="65"/>
      <c r="C129" s="65"/>
      <c r="H129" s="63" t="s">
        <v>505</v>
      </c>
      <c r="K129" s="2038" t="str">
        <f>【マスター】!C26&amp;"　"&amp;【マスター】!I26</f>
        <v>代表取締役　本多 康夫</v>
      </c>
      <c r="L129" s="2038"/>
      <c r="M129" s="2038"/>
      <c r="N129" s="2038"/>
      <c r="O129" s="2038"/>
      <c r="P129" s="2038"/>
      <c r="Q129" s="2038"/>
      <c r="R129" s="2038"/>
      <c r="S129" s="2038"/>
      <c r="T129" s="2038"/>
      <c r="W129" s="282"/>
    </row>
    <row r="130" spans="2:23" s="64" customFormat="1" ht="15" customHeight="1">
      <c r="B130" s="65"/>
      <c r="C130" s="65"/>
      <c r="D130" s="73"/>
      <c r="E130" s="73"/>
      <c r="F130" s="73"/>
      <c r="G130" s="73"/>
      <c r="H130" s="65" t="s">
        <v>78</v>
      </c>
      <c r="I130" s="73"/>
      <c r="J130" s="73"/>
      <c r="K130" s="2101" t="str">
        <f>IF(【マスター】!C7="","",【マスター】!C7)</f>
        <v>デイサービスさくら亭</v>
      </c>
      <c r="L130" s="2101"/>
      <c r="M130" s="2101"/>
      <c r="N130" s="2101"/>
      <c r="O130" s="2101"/>
      <c r="P130" s="2101"/>
      <c r="Q130" s="2101"/>
      <c r="R130" s="2101"/>
      <c r="S130" s="2101"/>
      <c r="T130" s="2101"/>
      <c r="W130" s="282"/>
    </row>
    <row r="131" spans="2:23" s="64" customFormat="1" ht="15" customHeight="1">
      <c r="B131" s="65"/>
      <c r="C131" s="65"/>
      <c r="W131" s="282"/>
    </row>
    <row r="132" spans="2:23" s="64" customFormat="1" ht="15" customHeight="1">
      <c r="B132" s="65"/>
      <c r="C132" s="65"/>
      <c r="W132" s="282"/>
    </row>
    <row r="133" spans="2:23" s="64" customFormat="1" ht="15" customHeight="1">
      <c r="B133" s="65"/>
      <c r="C133" s="65"/>
      <c r="W133" s="282"/>
    </row>
    <row r="134" spans="2:23" s="64" customFormat="1" ht="15" customHeight="1">
      <c r="B134" s="65"/>
      <c r="C134" s="65"/>
      <c r="W134" s="282"/>
    </row>
    <row r="135" spans="2:23" s="64" customFormat="1" ht="15" customHeight="1">
      <c r="B135" s="65"/>
      <c r="C135" s="65"/>
      <c r="W135" s="282"/>
    </row>
    <row r="136" spans="2:23" s="64" customFormat="1" ht="15" customHeight="1">
      <c r="B136" s="65"/>
      <c r="C136" s="65"/>
      <c r="W136" s="282"/>
    </row>
    <row r="137" spans="2:23" s="64" customFormat="1" ht="15" customHeight="1">
      <c r="B137" s="65"/>
      <c r="C137" s="65"/>
      <c r="W137" s="282"/>
    </row>
    <row r="138" spans="2:23" s="64" customFormat="1" ht="15" customHeight="1">
      <c r="B138" s="65"/>
      <c r="C138" s="65"/>
      <c r="W138" s="282"/>
    </row>
    <row r="139" spans="2:23" s="64" customFormat="1" ht="15" customHeight="1">
      <c r="B139" s="65"/>
      <c r="C139" s="65"/>
      <c r="W139" s="282"/>
    </row>
    <row r="140" spans="2:23" s="64" customFormat="1" ht="15" customHeight="1">
      <c r="B140" s="65"/>
      <c r="C140" s="65"/>
      <c r="W140" s="282"/>
    </row>
    <row r="141" spans="2:23" s="64" customFormat="1" ht="15" customHeight="1">
      <c r="B141" s="65"/>
      <c r="C141" s="65"/>
      <c r="W141" s="282"/>
    </row>
    <row r="142" spans="2:23" s="64" customFormat="1" ht="15" customHeight="1">
      <c r="B142" s="65"/>
      <c r="C142" s="65"/>
      <c r="W142" s="282"/>
    </row>
    <row r="143" spans="2:23" s="64" customFormat="1" ht="15" customHeight="1">
      <c r="B143" s="65"/>
      <c r="C143" s="65"/>
      <c r="L143" s="76"/>
      <c r="M143" s="76"/>
      <c r="N143" s="76"/>
      <c r="O143" s="76"/>
      <c r="P143" s="76"/>
      <c r="Q143" s="76"/>
      <c r="R143" s="76"/>
      <c r="S143" s="76"/>
      <c r="T143" s="76"/>
      <c r="W143" s="282"/>
    </row>
    <row r="144" spans="2:23" s="64" customFormat="1" ht="15" customHeight="1">
      <c r="B144" s="65"/>
      <c r="C144" s="65"/>
      <c r="L144" s="76"/>
      <c r="M144" s="76"/>
      <c r="N144" s="76"/>
      <c r="O144" s="76"/>
      <c r="P144" s="76"/>
      <c r="Q144" s="76"/>
      <c r="R144" s="76"/>
      <c r="S144" s="76"/>
      <c r="T144" s="76"/>
      <c r="W144" s="282"/>
    </row>
    <row r="145" spans="1:23" s="64" customFormat="1" ht="15" customHeight="1">
      <c r="B145" s="65"/>
      <c r="C145" s="65"/>
      <c r="L145" s="76"/>
      <c r="M145" s="76"/>
      <c r="N145" s="76"/>
      <c r="O145" s="76"/>
      <c r="P145" s="76"/>
      <c r="Q145" s="76"/>
      <c r="R145" s="76"/>
      <c r="S145" s="76"/>
      <c r="T145" s="76"/>
      <c r="W145" s="282"/>
    </row>
    <row r="146" spans="1:23" s="64" customFormat="1" ht="15" customHeight="1">
      <c r="B146" s="65"/>
      <c r="C146" s="65"/>
      <c r="L146" s="76"/>
      <c r="M146" s="76"/>
      <c r="N146" s="76"/>
      <c r="O146" s="76"/>
      <c r="P146" s="76"/>
      <c r="Q146" s="76"/>
      <c r="R146" s="76"/>
      <c r="S146" s="76"/>
      <c r="T146" s="76"/>
      <c r="W146" s="282"/>
    </row>
    <row r="147" spans="1:23" s="64" customFormat="1" ht="15" customHeight="1">
      <c r="B147" s="65"/>
      <c r="C147" s="65"/>
      <c r="L147" s="76"/>
      <c r="M147" s="76"/>
      <c r="N147" s="76"/>
      <c r="O147" s="76"/>
      <c r="P147" s="76"/>
      <c r="Q147" s="76"/>
      <c r="R147" s="76"/>
      <c r="S147" s="76"/>
      <c r="W147" s="282"/>
    </row>
    <row r="148" spans="1:23" s="64" customFormat="1" ht="15" customHeight="1">
      <c r="B148" s="65"/>
      <c r="C148" s="65"/>
      <c r="W148" s="282"/>
    </row>
    <row r="149" spans="1:23" s="64" customFormat="1" ht="15" customHeight="1">
      <c r="B149" s="65"/>
      <c r="C149" s="65"/>
      <c r="W149" s="282"/>
    </row>
    <row r="150" spans="1:23" s="64" customFormat="1" ht="15" customHeight="1">
      <c r="B150" s="65"/>
      <c r="C150" s="65"/>
      <c r="W150" s="282"/>
    </row>
    <row r="151" spans="1:23" s="64" customFormat="1" ht="15" customHeight="1">
      <c r="B151" s="65"/>
      <c r="C151" s="65"/>
      <c r="W151" s="282"/>
    </row>
    <row r="152" spans="1:23" s="64" customFormat="1" ht="15" customHeight="1">
      <c r="B152" s="65"/>
      <c r="C152" s="65"/>
      <c r="W152" s="282"/>
    </row>
    <row r="153" spans="1:23" s="64" customFormat="1" ht="15" customHeight="1">
      <c r="B153" s="65"/>
      <c r="C153" s="65"/>
      <c r="W153" s="282"/>
    </row>
    <row r="154" spans="1:23" s="64" customFormat="1" ht="15" customHeight="1">
      <c r="B154" s="65"/>
      <c r="C154" s="65"/>
      <c r="W154" s="282"/>
    </row>
    <row r="155" spans="1:23" s="64" customFormat="1" ht="15" customHeight="1">
      <c r="B155" s="65"/>
      <c r="C155" s="65"/>
      <c r="W155" s="282"/>
    </row>
    <row r="156" spans="1:23" s="64" customFormat="1" ht="15" customHeight="1">
      <c r="B156" s="65"/>
      <c r="C156" s="65"/>
      <c r="W156" s="282"/>
    </row>
    <row r="157" spans="1:23" s="64" customFormat="1" ht="15" customHeight="1">
      <c r="B157" s="65"/>
      <c r="C157" s="65"/>
      <c r="W157" s="282"/>
    </row>
    <row r="158" spans="1:23" s="64" customFormat="1" ht="15" customHeight="1">
      <c r="B158" s="65"/>
      <c r="C158" s="65"/>
      <c r="W158" s="282"/>
    </row>
    <row r="159" spans="1:23" s="64" customFormat="1" ht="15" customHeight="1">
      <c r="B159" s="65"/>
      <c r="C159" s="65"/>
      <c r="W159" s="282"/>
    </row>
    <row r="160" spans="1:23">
      <c r="A160" s="64"/>
      <c r="B160" s="65"/>
      <c r="C160" s="65"/>
      <c r="D160" s="64"/>
      <c r="E160" s="64"/>
      <c r="F160" s="64"/>
      <c r="G160" s="64"/>
      <c r="H160" s="64"/>
      <c r="I160" s="64"/>
      <c r="J160" s="64"/>
      <c r="K160" s="64"/>
      <c r="L160" s="64"/>
      <c r="M160" s="64"/>
      <c r="N160" s="64"/>
      <c r="O160" s="64"/>
      <c r="P160" s="64"/>
      <c r="Q160" s="64"/>
      <c r="R160" s="64"/>
      <c r="S160" s="64"/>
      <c r="T160" s="64"/>
    </row>
  </sheetData>
  <sheetProtection selectLockedCells="1"/>
  <mergeCells count="185">
    <mergeCell ref="A86:A88"/>
    <mergeCell ref="F80:H82"/>
    <mergeCell ref="F79:J79"/>
    <mergeCell ref="K79:T79"/>
    <mergeCell ref="I80:J80"/>
    <mergeCell ref="B53:T53"/>
    <mergeCell ref="B76:S76"/>
    <mergeCell ref="D65:N65"/>
    <mergeCell ref="B71:S71"/>
    <mergeCell ref="B60:T60"/>
    <mergeCell ref="B72:T72"/>
    <mergeCell ref="B73:T73"/>
    <mergeCell ref="B74:T74"/>
    <mergeCell ref="B75:T75"/>
    <mergeCell ref="B54:T54"/>
    <mergeCell ref="B69:T69"/>
    <mergeCell ref="A78:A82"/>
    <mergeCell ref="B78:E82"/>
    <mergeCell ref="F86:J86"/>
    <mergeCell ref="B83:E84"/>
    <mergeCell ref="B85:E85"/>
    <mergeCell ref="B116:E116"/>
    <mergeCell ref="F116:H116"/>
    <mergeCell ref="I116:L116"/>
    <mergeCell ref="M116:S116"/>
    <mergeCell ref="B117:E117"/>
    <mergeCell ref="F117:L117"/>
    <mergeCell ref="K86:T86"/>
    <mergeCell ref="F87:J87"/>
    <mergeCell ref="K87:T87"/>
    <mergeCell ref="F88:J88"/>
    <mergeCell ref="K88:T88"/>
    <mergeCell ref="B101:T101"/>
    <mergeCell ref="C105:T105"/>
    <mergeCell ref="C106:T107"/>
    <mergeCell ref="C108:T108"/>
    <mergeCell ref="C109:T110"/>
    <mergeCell ref="C111:T112"/>
    <mergeCell ref="C113:T114"/>
    <mergeCell ref="B88:E88"/>
    <mergeCell ref="C102:T103"/>
    <mergeCell ref="B86:E87"/>
    <mergeCell ref="A89:A91"/>
    <mergeCell ref="F78:J78"/>
    <mergeCell ref="K78:T78"/>
    <mergeCell ref="K130:T130"/>
    <mergeCell ref="K127:T127"/>
    <mergeCell ref="K128:T128"/>
    <mergeCell ref="K90:T90"/>
    <mergeCell ref="A93:T93"/>
    <mergeCell ref="A83:A85"/>
    <mergeCell ref="F83:J83"/>
    <mergeCell ref="K83:T83"/>
    <mergeCell ref="F84:J84"/>
    <mergeCell ref="K84:T84"/>
    <mergeCell ref="B122:T122"/>
    <mergeCell ref="B96:T96"/>
    <mergeCell ref="B99:T99"/>
    <mergeCell ref="F91:J91"/>
    <mergeCell ref="K91:T91"/>
    <mergeCell ref="B98:T98"/>
    <mergeCell ref="B120:T120"/>
    <mergeCell ref="B118:E118"/>
    <mergeCell ref="F118:H118"/>
    <mergeCell ref="I118:L118"/>
    <mergeCell ref="M118:S118"/>
    <mergeCell ref="B121:T121"/>
    <mergeCell ref="B89:E91"/>
    <mergeCell ref="F89:J89"/>
    <mergeCell ref="K89:T89"/>
    <mergeCell ref="F90:J90"/>
    <mergeCell ref="B4:T4"/>
    <mergeCell ref="B6:T6"/>
    <mergeCell ref="F85:J85"/>
    <mergeCell ref="K85:T85"/>
    <mergeCell ref="K80:T80"/>
    <mergeCell ref="I81:J81"/>
    <mergeCell ref="K81:T81"/>
    <mergeCell ref="I82:J82"/>
    <mergeCell ref="K82:T82"/>
    <mergeCell ref="B43:D43"/>
    <mergeCell ref="F43:T43"/>
    <mergeCell ref="A39:E39"/>
    <mergeCell ref="F39:T39"/>
    <mergeCell ref="B40:D40"/>
    <mergeCell ref="F40:T40"/>
    <mergeCell ref="B46:D46"/>
    <mergeCell ref="F46:T46"/>
    <mergeCell ref="H25:I25"/>
    <mergeCell ref="H35:N35"/>
    <mergeCell ref="A1:T2"/>
    <mergeCell ref="A27:E27"/>
    <mergeCell ref="F27:G27"/>
    <mergeCell ref="H27:I27"/>
    <mergeCell ref="J27:K27"/>
    <mergeCell ref="L27:M27"/>
    <mergeCell ref="N27:O27"/>
    <mergeCell ref="P27:T27"/>
    <mergeCell ref="J25:K25"/>
    <mergeCell ref="L25:M25"/>
    <mergeCell ref="N25:O25"/>
    <mergeCell ref="A26:E26"/>
    <mergeCell ref="F26:G26"/>
    <mergeCell ref="H26:I26"/>
    <mergeCell ref="J26:K26"/>
    <mergeCell ref="L26:M26"/>
    <mergeCell ref="N26:O26"/>
    <mergeCell ref="A23:E25"/>
    <mergeCell ref="F23:G24"/>
    <mergeCell ref="H23:O23"/>
    <mergeCell ref="P23:T25"/>
    <mergeCell ref="H24:I24"/>
    <mergeCell ref="J24:K24"/>
    <mergeCell ref="B9:F9"/>
    <mergeCell ref="H9:P9"/>
    <mergeCell ref="Q9:T9"/>
    <mergeCell ref="B10:F10"/>
    <mergeCell ref="H10:T10"/>
    <mergeCell ref="B11:F13"/>
    <mergeCell ref="H11:J11"/>
    <mergeCell ref="K11:T11"/>
    <mergeCell ref="H12:J12"/>
    <mergeCell ref="K12:T12"/>
    <mergeCell ref="H13:J13"/>
    <mergeCell ref="K13:T13"/>
    <mergeCell ref="B15:F15"/>
    <mergeCell ref="H15:T15"/>
    <mergeCell ref="B16:F18"/>
    <mergeCell ref="H16:J16"/>
    <mergeCell ref="K16:T16"/>
    <mergeCell ref="H17:J17"/>
    <mergeCell ref="K17:T17"/>
    <mergeCell ref="H18:J18"/>
    <mergeCell ref="N24:O24"/>
    <mergeCell ref="K18:T18"/>
    <mergeCell ref="B19:F19"/>
    <mergeCell ref="H19:T19"/>
    <mergeCell ref="B20:F20"/>
    <mergeCell ref="H20:T20"/>
    <mergeCell ref="B21:F21"/>
    <mergeCell ref="L24:M24"/>
    <mergeCell ref="O21:P21"/>
    <mergeCell ref="H21:M21"/>
    <mergeCell ref="K129:T129"/>
    <mergeCell ref="B35:F35"/>
    <mergeCell ref="B36:F36"/>
    <mergeCell ref="H36:N36"/>
    <mergeCell ref="A32:E32"/>
    <mergeCell ref="A29:E29"/>
    <mergeCell ref="F29:G29"/>
    <mergeCell ref="H29:I29"/>
    <mergeCell ref="J29:K29"/>
    <mergeCell ref="L29:M29"/>
    <mergeCell ref="N29:O29"/>
    <mergeCell ref="P29:T29"/>
    <mergeCell ref="B47:D47"/>
    <mergeCell ref="F47:T47"/>
    <mergeCell ref="A49:T49"/>
    <mergeCell ref="B44:D44"/>
    <mergeCell ref="F44:T44"/>
    <mergeCell ref="B45:D45"/>
    <mergeCell ref="F45:T45"/>
    <mergeCell ref="A30:E30"/>
    <mergeCell ref="F30:G30"/>
    <mergeCell ref="H30:I30"/>
    <mergeCell ref="B34:F34"/>
    <mergeCell ref="H34:N34"/>
    <mergeCell ref="B41:D41"/>
    <mergeCell ref="F41:T41"/>
    <mergeCell ref="B42:D42"/>
    <mergeCell ref="F42:T42"/>
    <mergeCell ref="F32:T32"/>
    <mergeCell ref="J30:K30"/>
    <mergeCell ref="P26:T26"/>
    <mergeCell ref="F25:G25"/>
    <mergeCell ref="A28:E28"/>
    <mergeCell ref="F28:G28"/>
    <mergeCell ref="H28:I28"/>
    <mergeCell ref="J28:K28"/>
    <mergeCell ref="L28:M28"/>
    <mergeCell ref="N28:O28"/>
    <mergeCell ref="P28:T28"/>
    <mergeCell ref="L30:M30"/>
    <mergeCell ref="N30:O30"/>
    <mergeCell ref="P30:T30"/>
  </mergeCells>
  <phoneticPr fontId="16"/>
  <dataValidations count="1">
    <dataValidation imeMode="fullAlpha" allowBlank="1" showInputMessage="1" showErrorMessage="1" sqref="H35 K91:T91" xr:uid="{00000000-0002-0000-1100-000000000000}"/>
  </dataValidations>
  <printOptions horizontalCentered="1"/>
  <pageMargins left="0.59055118110236227" right="0.59055118110236227" top="0.59055118110236227" bottom="0.39370078740157483" header="0.31496062992125984" footer="0.19685039370078741"/>
  <pageSetup paperSize="9" scale="99" fitToHeight="0" orientation="portrait" r:id="rId1"/>
  <headerFooter>
    <oddFooter>&amp;L【地域密着型通所介護】</oddFooter>
  </headerFooter>
  <rowBreaks count="3" manualBreakCount="3">
    <brk id="37" max="19" man="1"/>
    <brk id="76" max="19" man="1"/>
    <brk id="118"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9">
    <tabColor rgb="FF92D050"/>
    <pageSetUpPr fitToPage="1"/>
  </sheetPr>
  <dimension ref="A1:AO245"/>
  <sheetViews>
    <sheetView view="pageBreakPreview" zoomScaleNormal="100" zoomScaleSheetLayoutView="100" workbookViewId="0">
      <selection activeCell="J201" sqref="J201"/>
    </sheetView>
  </sheetViews>
  <sheetFormatPr defaultColWidth="9" defaultRowHeight="13.5"/>
  <cols>
    <col min="1" max="1" width="4.625" style="1" customWidth="1"/>
    <col min="2" max="3" width="4.625" style="37" customWidth="1"/>
    <col min="4" max="5" width="4.625" style="1" customWidth="1"/>
    <col min="6" max="6" width="10" style="1" bestFit="1" customWidth="1"/>
    <col min="7" max="20" width="4.625" style="1" customWidth="1"/>
    <col min="21" max="24" width="9" style="1" customWidth="1"/>
    <col min="25" max="16384" width="9" style="1"/>
  </cols>
  <sheetData>
    <row r="1" spans="1:23" ht="13.35" customHeight="1">
      <c r="T1" s="38"/>
    </row>
    <row r="2" spans="1:23" ht="15" customHeight="1">
      <c r="A2" s="2126" t="str">
        <f>IF(【マスター】!C7="","",【マスター】!C7)</f>
        <v>デイサービスさくら亭</v>
      </c>
      <c r="B2" s="2126"/>
      <c r="C2" s="2126"/>
      <c r="D2" s="2126"/>
      <c r="E2" s="2126"/>
      <c r="F2" s="2126"/>
      <c r="G2" s="2126"/>
      <c r="H2" s="2126"/>
      <c r="I2" s="2126"/>
      <c r="J2" s="2126"/>
      <c r="K2" s="2126"/>
      <c r="L2" s="2126"/>
      <c r="M2" s="2126"/>
      <c r="N2" s="2126"/>
      <c r="O2" s="2126"/>
      <c r="P2" s="2126"/>
      <c r="Q2" s="2126"/>
      <c r="R2" s="2126"/>
      <c r="S2" s="2126"/>
      <c r="T2" s="2126"/>
    </row>
    <row r="3" spans="1:23" ht="15" customHeight="1" thickBot="1">
      <c r="A3" s="2127"/>
      <c r="B3" s="2127"/>
      <c r="C3" s="2127"/>
      <c r="D3" s="2127"/>
      <c r="E3" s="2127"/>
      <c r="F3" s="2127"/>
      <c r="G3" s="2127"/>
      <c r="H3" s="2127"/>
      <c r="I3" s="2127"/>
      <c r="J3" s="2127"/>
      <c r="K3" s="2127"/>
      <c r="L3" s="2127"/>
      <c r="M3" s="2127"/>
      <c r="N3" s="2127"/>
      <c r="O3" s="2127"/>
      <c r="P3" s="2127"/>
      <c r="Q3" s="2127"/>
      <c r="R3" s="2127"/>
      <c r="S3" s="2127"/>
      <c r="T3" s="2127"/>
    </row>
    <row r="4" spans="1:23" ht="15" customHeight="1">
      <c r="A4" s="2128" t="s">
        <v>1360</v>
      </c>
      <c r="B4" s="2128"/>
      <c r="C4" s="2128"/>
      <c r="D4" s="2128"/>
      <c r="E4" s="2128"/>
      <c r="F4" s="2128"/>
      <c r="G4" s="2128"/>
      <c r="H4" s="2128"/>
      <c r="I4" s="2128"/>
      <c r="J4" s="2128"/>
      <c r="K4" s="2128"/>
      <c r="L4" s="2128"/>
      <c r="M4" s="2128"/>
      <c r="N4" s="2128"/>
      <c r="O4" s="2128"/>
      <c r="P4" s="2128"/>
      <c r="Q4" s="2128"/>
      <c r="R4" s="2128"/>
      <c r="S4" s="2128"/>
      <c r="T4" s="2128"/>
      <c r="W4" s="280"/>
    </row>
    <row r="5" spans="1:23" ht="15" customHeight="1">
      <c r="A5" s="2126"/>
      <c r="B5" s="2126"/>
      <c r="C5" s="2126"/>
      <c r="D5" s="2126"/>
      <c r="E5" s="2126"/>
      <c r="F5" s="2126"/>
      <c r="G5" s="2126"/>
      <c r="H5" s="2126"/>
      <c r="I5" s="2126"/>
      <c r="J5" s="2126"/>
      <c r="K5" s="2126"/>
      <c r="L5" s="2126"/>
      <c r="M5" s="2126"/>
      <c r="N5" s="2126"/>
      <c r="O5" s="2126"/>
      <c r="P5" s="2126"/>
      <c r="Q5" s="2126"/>
      <c r="R5" s="2126"/>
      <c r="S5" s="2126"/>
      <c r="T5" s="2126"/>
      <c r="W5" s="280"/>
    </row>
    <row r="6" spans="1:23" ht="15" customHeight="1">
      <c r="A6" s="480"/>
      <c r="B6" s="480"/>
      <c r="C6" s="480"/>
      <c r="D6" s="480"/>
      <c r="E6" s="480"/>
      <c r="F6" s="480"/>
      <c r="G6" s="480"/>
      <c r="H6" s="480"/>
      <c r="I6" s="480"/>
      <c r="J6" s="480"/>
      <c r="K6" s="480"/>
      <c r="L6" s="480"/>
      <c r="M6" s="480"/>
      <c r="N6" s="480"/>
      <c r="O6" s="480"/>
      <c r="P6" s="480"/>
      <c r="Q6" s="480"/>
      <c r="R6" s="480"/>
      <c r="S6" s="480"/>
      <c r="T6" s="480"/>
    </row>
    <row r="7" spans="1:23" s="31" customFormat="1" ht="15" customHeight="1">
      <c r="A7" s="31" t="s">
        <v>1319</v>
      </c>
      <c r="B7" s="32"/>
      <c r="C7" s="32"/>
    </row>
    <row r="8" spans="1:23" s="31" customFormat="1" ht="90" customHeight="1">
      <c r="A8" s="31" t="s">
        <v>723</v>
      </c>
      <c r="B8" s="32"/>
      <c r="C8" s="1013" t="str">
        <f>"　"&amp;【マスター】!C22&amp;"が開設する"&amp;【マスター】!C7&amp;"(以下「事業所」という。）が行う指定地域密着型通所介護の事業（以下「事業」という。）の適正な運営を確保するために人員及び管理運営に関する事項を定め、事業所毎に置くべき従業者（以下「地域密着型通所介護従業者」という。）が、要介護状態にある高齢者に対し、適正な指定地域密着型通所介護を提供することを目的とする。"</f>
        <v>　株式会社ケアサポートが開設するデイサービスさくら亭(以下「事業所」という。）が行う指定地域密着型通所介護の事業（以下「事業」という。）の適正な運営を確保するために人員及び管理運営に関する事項を定め、事業所毎に置くべき従業者（以下「地域密着型通所介護従業者」という。）が、要介護状態にある高齢者に対し、適正な指定地域密着型通所介護を提供することを目的とする。</v>
      </c>
      <c r="D8" s="1013"/>
      <c r="E8" s="1013"/>
      <c r="F8" s="1013"/>
      <c r="G8" s="1013"/>
      <c r="H8" s="1013"/>
      <c r="I8" s="1013"/>
      <c r="J8" s="1013"/>
      <c r="K8" s="1013"/>
      <c r="L8" s="1013"/>
      <c r="M8" s="1013"/>
      <c r="N8" s="1013"/>
      <c r="O8" s="1013"/>
      <c r="P8" s="1013"/>
      <c r="Q8" s="1013"/>
      <c r="R8" s="1013"/>
      <c r="S8" s="1013"/>
      <c r="T8" s="1013"/>
    </row>
    <row r="9" spans="1:23" s="31" customFormat="1" ht="15" customHeight="1">
      <c r="B9" s="32"/>
      <c r="C9" s="32"/>
    </row>
    <row r="10" spans="1:23" s="31" customFormat="1" ht="15" customHeight="1">
      <c r="A10" s="31" t="s">
        <v>1320</v>
      </c>
      <c r="B10" s="32"/>
      <c r="C10" s="32"/>
    </row>
    <row r="11" spans="1:23" s="31" customFormat="1" ht="75" customHeight="1">
      <c r="A11" s="31" t="s">
        <v>728</v>
      </c>
      <c r="B11" s="32"/>
      <c r="C11" s="1013" t="s">
        <v>1361</v>
      </c>
      <c r="D11" s="1013"/>
      <c r="E11" s="1013"/>
      <c r="F11" s="1013"/>
      <c r="G11" s="1013"/>
      <c r="H11" s="1013"/>
      <c r="I11" s="1013"/>
      <c r="J11" s="1013"/>
      <c r="K11" s="1013"/>
      <c r="L11" s="1013"/>
      <c r="M11" s="1013"/>
      <c r="N11" s="1013"/>
      <c r="O11" s="1013"/>
      <c r="P11" s="1013"/>
      <c r="Q11" s="1013"/>
      <c r="R11" s="1013"/>
      <c r="S11" s="1013"/>
      <c r="T11" s="1013"/>
    </row>
    <row r="12" spans="1:23" s="31" customFormat="1" ht="30" customHeight="1">
      <c r="B12" s="32" t="s">
        <v>725</v>
      </c>
      <c r="C12" s="1013" t="s">
        <v>1362</v>
      </c>
      <c r="D12" s="1013"/>
      <c r="E12" s="1013"/>
      <c r="F12" s="1013"/>
      <c r="G12" s="1013"/>
      <c r="H12" s="1013"/>
      <c r="I12" s="1013"/>
      <c r="J12" s="1013"/>
      <c r="K12" s="1013"/>
      <c r="L12" s="1013"/>
      <c r="M12" s="1013"/>
      <c r="N12" s="1013"/>
      <c r="O12" s="1013"/>
      <c r="P12" s="1013"/>
      <c r="Q12" s="1013"/>
      <c r="R12" s="1013"/>
      <c r="S12" s="1013"/>
      <c r="T12" s="1013"/>
    </row>
    <row r="13" spans="1:23" s="31" customFormat="1" ht="30" customHeight="1">
      <c r="B13" s="32" t="s">
        <v>741</v>
      </c>
      <c r="C13" s="1013" t="s">
        <v>1363</v>
      </c>
      <c r="D13" s="1013"/>
      <c r="E13" s="1013"/>
      <c r="F13" s="1013"/>
      <c r="G13" s="1013"/>
      <c r="H13" s="1013"/>
      <c r="I13" s="1013"/>
      <c r="J13" s="1013"/>
      <c r="K13" s="1013"/>
      <c r="L13" s="1013"/>
      <c r="M13" s="1013"/>
      <c r="N13" s="1013"/>
      <c r="O13" s="1013"/>
      <c r="P13" s="1013"/>
      <c r="Q13" s="1013"/>
      <c r="R13" s="1013"/>
      <c r="S13" s="1013"/>
      <c r="T13" s="1013"/>
    </row>
    <row r="14" spans="1:23" s="31" customFormat="1" ht="45" customHeight="1">
      <c r="B14" s="32" t="s">
        <v>743</v>
      </c>
      <c r="C14" s="1013" t="s">
        <v>1364</v>
      </c>
      <c r="D14" s="1013"/>
      <c r="E14" s="1013"/>
      <c r="F14" s="1013"/>
      <c r="G14" s="1013"/>
      <c r="H14" s="1013"/>
      <c r="I14" s="1013"/>
      <c r="J14" s="1013"/>
      <c r="K14" s="1013"/>
      <c r="L14" s="1013"/>
      <c r="M14" s="1013"/>
      <c r="N14" s="1013"/>
      <c r="O14" s="1013"/>
      <c r="P14" s="1013"/>
      <c r="Q14" s="1013"/>
      <c r="R14" s="1013"/>
      <c r="S14" s="1013"/>
      <c r="T14" s="1013"/>
      <c r="W14" s="196"/>
    </row>
    <row r="15" spans="1:23" s="31" customFormat="1" ht="15" customHeight="1">
      <c r="B15" s="32" t="s">
        <v>749</v>
      </c>
      <c r="C15" s="1013" t="s">
        <v>1365</v>
      </c>
      <c r="D15" s="1013"/>
      <c r="E15" s="1013"/>
      <c r="F15" s="1013"/>
      <c r="G15" s="1013"/>
      <c r="H15" s="1013"/>
      <c r="I15" s="1013"/>
      <c r="J15" s="1013"/>
      <c r="K15" s="1013"/>
      <c r="L15" s="1013"/>
      <c r="M15" s="1013"/>
      <c r="N15" s="1013"/>
      <c r="O15" s="1013"/>
      <c r="P15" s="1013"/>
      <c r="Q15" s="1013"/>
      <c r="R15" s="1013"/>
      <c r="S15" s="1013"/>
      <c r="T15" s="1013"/>
    </row>
    <row r="16" spans="1:23" s="31" customFormat="1" ht="15" customHeight="1">
      <c r="B16" s="32"/>
      <c r="C16" s="1013"/>
      <c r="D16" s="1013"/>
      <c r="E16" s="1013"/>
      <c r="F16" s="1013"/>
      <c r="G16" s="1013"/>
      <c r="H16" s="1013"/>
      <c r="I16" s="1013"/>
      <c r="J16" s="1013"/>
      <c r="K16" s="1013"/>
      <c r="L16" s="1013"/>
      <c r="M16" s="1013"/>
      <c r="N16" s="1013"/>
      <c r="O16" s="1013"/>
      <c r="P16" s="1013"/>
      <c r="Q16" s="1013"/>
      <c r="R16" s="1013"/>
      <c r="S16" s="1013"/>
      <c r="T16" s="1013"/>
    </row>
    <row r="17" spans="1:20" s="31" customFormat="1" ht="15" customHeight="1">
      <c r="B17" s="32"/>
      <c r="C17" s="1013"/>
      <c r="D17" s="1013"/>
      <c r="E17" s="1013"/>
      <c r="F17" s="1013"/>
      <c r="G17" s="1013"/>
      <c r="H17" s="1013"/>
      <c r="I17" s="1013"/>
      <c r="J17" s="1013"/>
      <c r="K17" s="1013"/>
      <c r="L17" s="1013"/>
      <c r="M17" s="1013"/>
      <c r="N17" s="1013"/>
      <c r="O17" s="1013"/>
      <c r="P17" s="1013"/>
      <c r="Q17" s="1013"/>
      <c r="R17" s="1013"/>
      <c r="S17" s="1013"/>
      <c r="T17" s="1013"/>
    </row>
    <row r="18" spans="1:20" s="31" customFormat="1" ht="15" customHeight="1">
      <c r="B18" s="32"/>
      <c r="C18" s="1013"/>
      <c r="D18" s="1013"/>
      <c r="E18" s="1013"/>
      <c r="F18" s="1013"/>
      <c r="G18" s="1013"/>
      <c r="H18" s="1013"/>
      <c r="I18" s="1013"/>
      <c r="J18" s="1013"/>
      <c r="K18" s="1013"/>
      <c r="L18" s="1013"/>
      <c r="M18" s="1013"/>
      <c r="N18" s="1013"/>
      <c r="O18" s="1013"/>
      <c r="P18" s="1013"/>
      <c r="Q18" s="1013"/>
      <c r="R18" s="1013"/>
      <c r="S18" s="1013"/>
      <c r="T18" s="1013"/>
    </row>
    <row r="19" spans="1:20" s="31" customFormat="1" ht="45" customHeight="1">
      <c r="B19" s="32" t="s">
        <v>751</v>
      </c>
      <c r="C19" s="1013" t="str">
        <f>DBCS("　前５項の他、"&amp;【マスター】!C19&amp;"に定める内容を遵守し、事業を実施するものとする。")</f>
        <v>　前５項の他、指定居宅サービスの事業の人員、設備及び運営に関する基準等を定める条例（平成２４年１２月２５日）に定める内容を遵守し、事業を実施するものとする。</v>
      </c>
      <c r="D19" s="1013"/>
      <c r="E19" s="1013"/>
      <c r="F19" s="1013"/>
      <c r="G19" s="1013"/>
      <c r="H19" s="1013"/>
      <c r="I19" s="1013"/>
      <c r="J19" s="1013"/>
      <c r="K19" s="1013"/>
      <c r="L19" s="1013"/>
      <c r="M19" s="1013"/>
      <c r="N19" s="1013"/>
      <c r="O19" s="1013"/>
      <c r="P19" s="1013"/>
      <c r="Q19" s="1013"/>
      <c r="R19" s="1013"/>
      <c r="S19" s="1013"/>
      <c r="T19" s="1013"/>
    </row>
    <row r="20" spans="1:20" s="31" customFormat="1" ht="15" customHeight="1">
      <c r="B20" s="32"/>
      <c r="C20" s="513"/>
      <c r="D20" s="512"/>
      <c r="E20" s="512"/>
      <c r="F20" s="512"/>
      <c r="G20" s="512"/>
      <c r="H20" s="512"/>
      <c r="I20" s="512"/>
      <c r="J20" s="512"/>
      <c r="K20" s="512"/>
      <c r="L20" s="512"/>
      <c r="M20" s="512"/>
      <c r="N20" s="512"/>
      <c r="O20" s="512"/>
      <c r="P20" s="512"/>
      <c r="Q20" s="512"/>
      <c r="R20" s="512"/>
      <c r="S20" s="512"/>
      <c r="T20" s="512"/>
    </row>
    <row r="21" spans="1:20" s="31" customFormat="1" ht="15" customHeight="1">
      <c r="A21" s="31" t="s">
        <v>1366</v>
      </c>
      <c r="B21" s="32"/>
      <c r="C21" s="32"/>
    </row>
    <row r="22" spans="1:20" s="31" customFormat="1" ht="15" customHeight="1">
      <c r="A22" s="31" t="s">
        <v>735</v>
      </c>
      <c r="B22" s="32"/>
      <c r="C22" s="1013" t="s">
        <v>1367</v>
      </c>
      <c r="D22" s="1013"/>
      <c r="E22" s="1013"/>
      <c r="F22" s="1013"/>
      <c r="G22" s="1013"/>
      <c r="H22" s="1013"/>
      <c r="I22" s="1013"/>
      <c r="J22" s="1013"/>
      <c r="K22" s="1013"/>
      <c r="L22" s="1013"/>
      <c r="M22" s="1013"/>
      <c r="N22" s="1013"/>
      <c r="O22" s="1013"/>
      <c r="P22" s="1013"/>
      <c r="Q22" s="1013"/>
      <c r="R22" s="1013"/>
      <c r="S22" s="1013"/>
      <c r="T22" s="1013"/>
    </row>
    <row r="23" spans="1:20" s="31" customFormat="1" ht="15" customHeight="1">
      <c r="B23" s="1233" t="s">
        <v>745</v>
      </c>
      <c r="C23" s="1233"/>
      <c r="D23" s="2125" t="s">
        <v>1368</v>
      </c>
      <c r="E23" s="2125"/>
      <c r="F23" s="2125" t="str">
        <f>IF(【マスター】!C7="","",【マスター】!C7)</f>
        <v>デイサービスさくら亭</v>
      </c>
      <c r="G23" s="2125"/>
      <c r="H23" s="2125"/>
      <c r="I23" s="2125"/>
      <c r="J23" s="2125"/>
      <c r="K23" s="2125"/>
      <c r="L23" s="2125"/>
      <c r="M23" s="2125"/>
      <c r="N23" s="2125"/>
      <c r="O23" s="2125"/>
      <c r="P23" s="2125"/>
      <c r="Q23" s="2125"/>
      <c r="R23" s="2125"/>
      <c r="S23" s="2125"/>
      <c r="T23" s="2125"/>
    </row>
    <row r="24" spans="1:20" s="31" customFormat="1" ht="15" customHeight="1">
      <c r="B24" s="1227" t="s">
        <v>747</v>
      </c>
      <c r="C24" s="1227"/>
      <c r="D24" s="2125" t="s">
        <v>1369</v>
      </c>
      <c r="E24" s="2125"/>
      <c r="F24" s="2125" t="str">
        <f>DBCS(【マスター】!F8&amp;【マスター】!C9)</f>
        <v>愛知県豊橋市東田中郷町１１番</v>
      </c>
      <c r="G24" s="2125"/>
      <c r="H24" s="2125"/>
      <c r="I24" s="2125"/>
      <c r="J24" s="2125"/>
      <c r="K24" s="2125"/>
      <c r="L24" s="2125"/>
      <c r="M24" s="2125"/>
      <c r="N24" s="2125"/>
      <c r="O24" s="2125"/>
      <c r="P24" s="2125"/>
      <c r="Q24" s="2125"/>
      <c r="R24" s="2125"/>
      <c r="S24" s="2125"/>
      <c r="T24" s="2125"/>
    </row>
    <row r="25" spans="1:20" s="31" customFormat="1" ht="15" customHeight="1">
      <c r="B25" s="32"/>
      <c r="C25" s="32"/>
    </row>
    <row r="26" spans="1:20" s="31" customFormat="1" ht="15" customHeight="1">
      <c r="A26" s="31" t="s">
        <v>1370</v>
      </c>
      <c r="B26" s="32"/>
      <c r="C26" s="32"/>
    </row>
    <row r="27" spans="1:20" s="31" customFormat="1" ht="15" customHeight="1">
      <c r="A27" s="31" t="s">
        <v>738</v>
      </c>
      <c r="B27" s="32"/>
      <c r="C27" s="1013" t="s">
        <v>1371</v>
      </c>
      <c r="D27" s="1013"/>
      <c r="E27" s="1013"/>
      <c r="F27" s="1013"/>
      <c r="G27" s="1013"/>
      <c r="H27" s="1013"/>
      <c r="I27" s="1013"/>
      <c r="J27" s="1013"/>
      <c r="K27" s="1013"/>
      <c r="L27" s="1013"/>
      <c r="M27" s="1013"/>
      <c r="N27" s="1013"/>
      <c r="O27" s="1013"/>
      <c r="P27" s="1013"/>
      <c r="Q27" s="1013"/>
      <c r="R27" s="1013"/>
      <c r="S27" s="1013"/>
      <c r="T27" s="1013"/>
    </row>
    <row r="28" spans="1:20" s="31" customFormat="1" ht="15" customHeight="1">
      <c r="B28" s="1233" t="s">
        <v>745</v>
      </c>
      <c r="C28" s="1233"/>
      <c r="D28" s="31" t="s">
        <v>159</v>
      </c>
      <c r="E28" s="33"/>
      <c r="H28" s="31" t="str">
        <f>IF(【マスター】!C37="","常勤１名","常勤１名（"&amp;【マスター】!C37&amp;"と兼務）")</f>
        <v>常勤１名（介護職員と兼務）</v>
      </c>
    </row>
    <row r="29" spans="1:20" s="31" customFormat="1" ht="45" customHeight="1">
      <c r="B29" s="163"/>
      <c r="C29" s="163"/>
      <c r="D29" s="1013" t="s">
        <v>1372</v>
      </c>
      <c r="E29" s="1013"/>
      <c r="F29" s="1013"/>
      <c r="G29" s="1013"/>
      <c r="H29" s="1013"/>
      <c r="I29" s="1013"/>
      <c r="J29" s="1013"/>
      <c r="K29" s="1013"/>
      <c r="L29" s="1013"/>
      <c r="M29" s="1013"/>
      <c r="N29" s="1013"/>
      <c r="O29" s="1013"/>
      <c r="P29" s="1013"/>
      <c r="Q29" s="1013"/>
      <c r="R29" s="1013"/>
      <c r="S29" s="1013"/>
      <c r="T29" s="1013"/>
    </row>
    <row r="30" spans="1:20" s="31" customFormat="1" ht="15" customHeight="1">
      <c r="B30" s="1227" t="s">
        <v>747</v>
      </c>
      <c r="C30" s="1227"/>
      <c r="D30" s="31" t="s">
        <v>1373</v>
      </c>
      <c r="H30" s="31" t="s">
        <v>1493</v>
      </c>
    </row>
    <row r="31" spans="1:20" s="31" customFormat="1" ht="60" customHeight="1">
      <c r="B31" s="162"/>
      <c r="C31" s="162"/>
      <c r="D31" s="1013" t="s">
        <v>1494</v>
      </c>
      <c r="E31" s="1013"/>
      <c r="F31" s="1013"/>
      <c r="G31" s="1013"/>
      <c r="H31" s="1013"/>
      <c r="I31" s="1013"/>
      <c r="J31" s="1013"/>
      <c r="K31" s="1013"/>
      <c r="L31" s="1013"/>
      <c r="M31" s="1013"/>
      <c r="N31" s="1013"/>
      <c r="O31" s="1013"/>
      <c r="P31" s="1013"/>
      <c r="Q31" s="1013"/>
      <c r="R31" s="1013"/>
      <c r="S31" s="1013"/>
      <c r="T31" s="1013"/>
    </row>
    <row r="32" spans="1:20" s="31" customFormat="1" ht="15" customHeight="1">
      <c r="B32" s="1227" t="s">
        <v>775</v>
      </c>
      <c r="C32" s="1227"/>
      <c r="D32" s="31" t="s">
        <v>1375</v>
      </c>
      <c r="H32" s="31" t="s">
        <v>1493</v>
      </c>
    </row>
    <row r="33" spans="1:24" s="31" customFormat="1" ht="30" customHeight="1">
      <c r="B33" s="162"/>
      <c r="C33" s="162"/>
      <c r="D33" s="1013" t="s">
        <v>1376</v>
      </c>
      <c r="E33" s="1013"/>
      <c r="F33" s="1013"/>
      <c r="G33" s="1013"/>
      <c r="H33" s="1013"/>
      <c r="I33" s="1013"/>
      <c r="J33" s="1013"/>
      <c r="K33" s="1013"/>
      <c r="L33" s="1013"/>
      <c r="M33" s="1013"/>
      <c r="N33" s="1013"/>
      <c r="O33" s="1013"/>
      <c r="P33" s="1013"/>
      <c r="Q33" s="1013"/>
      <c r="R33" s="1013"/>
      <c r="S33" s="1013"/>
      <c r="T33" s="1013"/>
    </row>
    <row r="34" spans="1:24" s="31" customFormat="1" ht="15" customHeight="1">
      <c r="B34" s="1227" t="s">
        <v>792</v>
      </c>
      <c r="C34" s="1227"/>
      <c r="D34" s="31" t="s">
        <v>1377</v>
      </c>
      <c r="H34" s="31" t="s">
        <v>1495</v>
      </c>
    </row>
    <row r="35" spans="1:24" s="31" customFormat="1" ht="30" customHeight="1">
      <c r="B35" s="162"/>
      <c r="C35" s="162"/>
      <c r="D35" s="1013" t="s">
        <v>1378</v>
      </c>
      <c r="E35" s="1013"/>
      <c r="F35" s="1013"/>
      <c r="G35" s="1013"/>
      <c r="H35" s="1013"/>
      <c r="I35" s="1013"/>
      <c r="J35" s="1013"/>
      <c r="K35" s="1013"/>
      <c r="L35" s="1013"/>
      <c r="M35" s="1013"/>
      <c r="N35" s="1013"/>
      <c r="O35" s="1013"/>
      <c r="P35" s="1013"/>
      <c r="Q35" s="1013"/>
      <c r="R35" s="1013"/>
      <c r="S35" s="1013"/>
      <c r="T35" s="1013"/>
    </row>
    <row r="36" spans="1:24" s="563" customFormat="1" ht="15" customHeight="1">
      <c r="B36" s="1014" t="str">
        <f>IF(【マスター】!C36&gt;0,"（５）"," ")</f>
        <v>（５）</v>
      </c>
      <c r="C36" s="1014"/>
      <c r="D36" s="31" t="str">
        <f>IF(【マスター】!C36&gt;0,"看護職員"," ")</f>
        <v>看護職員</v>
      </c>
      <c r="E36" s="31"/>
      <c r="F36" s="31"/>
      <c r="G36" s="31"/>
      <c r="H36" s="31" t="str">
        <f>IF(【マスター】!C36&gt;0,"１名以上"," ")</f>
        <v>１名以上</v>
      </c>
      <c r="I36" s="31"/>
      <c r="J36" s="31"/>
      <c r="K36" s="31"/>
      <c r="L36" s="31"/>
      <c r="M36" s="31"/>
      <c r="N36" s="31"/>
      <c r="O36" s="31"/>
      <c r="P36" s="31"/>
      <c r="Q36" s="31"/>
      <c r="R36" s="31"/>
      <c r="S36" s="31"/>
      <c r="T36" s="31"/>
      <c r="U36" s="565"/>
    </row>
    <row r="37" spans="1:24" s="563" customFormat="1" ht="15" customHeight="1">
      <c r="B37" s="1227"/>
      <c r="C37" s="1227"/>
      <c r="D37" s="1013" t="str">
        <f>IF(【マスター】!C36&gt;0,"　看護職員は、利用者の健康管理及び心身状態の把握、その他介護業務を行う。","")</f>
        <v>　看護職員は、利用者の健康管理及び心身状態の把握、その他介護業務を行う。</v>
      </c>
      <c r="E37" s="1013"/>
      <c r="F37" s="1013"/>
      <c r="G37" s="1013"/>
      <c r="H37" s="1013"/>
      <c r="I37" s="1013"/>
      <c r="J37" s="1013"/>
      <c r="K37" s="1013"/>
      <c r="L37" s="1013"/>
      <c r="M37" s="1013"/>
      <c r="N37" s="1013"/>
      <c r="O37" s="1013"/>
      <c r="P37" s="1013"/>
      <c r="Q37" s="1013"/>
      <c r="R37" s="1013"/>
      <c r="S37" s="1013"/>
      <c r="T37" s="1013"/>
    </row>
    <row r="38" spans="1:24" s="563" customFormat="1" ht="15" customHeight="1">
      <c r="B38" s="162"/>
      <c r="C38" s="162"/>
      <c r="D38" s="1013"/>
      <c r="E38" s="1013"/>
      <c r="F38" s="1013"/>
      <c r="G38" s="1013"/>
      <c r="H38" s="1013"/>
      <c r="I38" s="1013"/>
      <c r="J38" s="1013"/>
      <c r="K38" s="1013"/>
      <c r="L38" s="1013"/>
      <c r="M38" s="1013"/>
      <c r="N38" s="1013"/>
      <c r="O38" s="1013"/>
      <c r="P38" s="1013"/>
      <c r="Q38" s="1013"/>
      <c r="R38" s="1013"/>
      <c r="S38" s="1013"/>
      <c r="T38" s="1013"/>
    </row>
    <row r="39" spans="1:24" s="31" customFormat="1" ht="15" customHeight="1">
      <c r="B39" s="32"/>
      <c r="C39" s="32"/>
    </row>
    <row r="40" spans="1:24" s="31" customFormat="1" ht="15" customHeight="1">
      <c r="A40" s="31" t="s">
        <v>1379</v>
      </c>
      <c r="B40" s="32"/>
      <c r="C40" s="32"/>
    </row>
    <row r="41" spans="1:24" s="31" customFormat="1" ht="15" customHeight="1">
      <c r="A41" s="31" t="s">
        <v>754</v>
      </c>
      <c r="B41" s="32"/>
      <c r="C41" s="32" t="s">
        <v>1380</v>
      </c>
    </row>
    <row r="42" spans="1:24" s="31" customFormat="1" ht="15" customHeight="1">
      <c r="B42" s="1233" t="s">
        <v>745</v>
      </c>
      <c r="C42" s="1233"/>
      <c r="D42" s="31" t="s">
        <v>1381</v>
      </c>
      <c r="J42" s="50" t="str">
        <f>【マスター】!K16</f>
        <v>月曜日～日曜日（祝日を含む）</v>
      </c>
      <c r="K42" s="50"/>
      <c r="L42" s="50"/>
      <c r="M42" s="50"/>
      <c r="N42" s="49"/>
      <c r="O42" s="49"/>
      <c r="P42" s="49"/>
      <c r="Q42" s="49"/>
      <c r="R42" s="49"/>
      <c r="S42" s="49"/>
      <c r="T42" s="49"/>
    </row>
    <row r="43" spans="1:24" s="31" customFormat="1" ht="15" customHeight="1">
      <c r="B43" s="1227" t="s">
        <v>747</v>
      </c>
      <c r="C43" s="1227"/>
      <c r="D43" s="31" t="s">
        <v>1382</v>
      </c>
      <c r="J43" s="2125" t="str">
        <f>DBCS("　"&amp;【マスター】!C13&amp;【マスター】!D13&amp;【マスター】!E13)</f>
        <v>　６：３０～２０：３０</v>
      </c>
      <c r="K43" s="2125"/>
      <c r="L43" s="2125"/>
      <c r="M43" s="2125"/>
      <c r="N43" s="2125"/>
      <c r="O43" s="2125"/>
      <c r="P43" s="49"/>
      <c r="Q43" s="49"/>
      <c r="R43" s="49"/>
      <c r="S43" s="49"/>
      <c r="T43" s="49"/>
    </row>
    <row r="44" spans="1:24" s="31" customFormat="1" ht="15" customHeight="1">
      <c r="B44" s="1227" t="s">
        <v>775</v>
      </c>
      <c r="C44" s="1227"/>
      <c r="D44" s="31" t="s">
        <v>1383</v>
      </c>
      <c r="J44" s="49" t="str">
        <f>DBCS("　"&amp;【マスター】!I13&amp;【マスター】!J13&amp;【マスター】!K13)</f>
        <v>　９：３０～１７：３０</v>
      </c>
      <c r="K44" s="49"/>
      <c r="L44" s="49"/>
      <c r="M44" s="49"/>
      <c r="N44" s="49"/>
      <c r="O44" s="49"/>
      <c r="P44" s="49"/>
      <c r="Q44" s="49"/>
      <c r="R44" s="49"/>
      <c r="S44" s="49"/>
      <c r="T44" s="49"/>
    </row>
    <row r="45" spans="1:24" s="31" customFormat="1" ht="15" customHeight="1">
      <c r="B45" s="1227" t="s">
        <v>960</v>
      </c>
      <c r="C45" s="1227"/>
      <c r="D45" s="31" t="s">
        <v>1384</v>
      </c>
      <c r="J45" s="31" t="str">
        <f>DBCS("　"&amp;【マスター】!C14&amp;X45&amp;【マスター】!E14)</f>
        <v>　６：３０～９：３０及び１７：３０～２０：３０</v>
      </c>
      <c r="X45" s="31" t="str">
        <f>"～"&amp;【マスター】!I13&amp;"及び"&amp;【マスター】!K13&amp;"～"</f>
        <v>～9:30及び17:30～</v>
      </c>
    </row>
    <row r="46" spans="1:24" s="31" customFormat="1" ht="15" customHeight="1">
      <c r="B46" s="32"/>
      <c r="C46" s="32"/>
      <c r="J46" s="31" t="str">
        <f>IF(【マスター】!C74="有","　うち１時間は自費延長サービス（１００円）","")</f>
        <v/>
      </c>
    </row>
    <row r="47" spans="1:24" s="31" customFormat="1" ht="15" customHeight="1">
      <c r="A47" s="31" t="s">
        <v>1385</v>
      </c>
      <c r="B47" s="32"/>
      <c r="C47" s="32"/>
    </row>
    <row r="48" spans="1:24" s="31" customFormat="1" ht="15" customHeight="1">
      <c r="A48" s="31" t="s">
        <v>760</v>
      </c>
      <c r="B48" s="32"/>
      <c r="C48" s="31" t="s">
        <v>1386</v>
      </c>
    </row>
    <row r="49" spans="1:20" s="31" customFormat="1" ht="15" customHeight="1">
      <c r="B49" s="32"/>
      <c r="D49" s="31" t="s">
        <v>1387</v>
      </c>
      <c r="H49" s="31" t="str">
        <f>DBCS(【マスター】!C18&amp;【マスター】!D18)</f>
        <v>１８名</v>
      </c>
    </row>
    <row r="50" spans="1:20" s="31" customFormat="1" ht="15" customHeight="1">
      <c r="B50" s="32"/>
    </row>
    <row r="51" spans="1:20" s="31" customFormat="1" ht="15" customHeight="1">
      <c r="A51" s="31" t="s">
        <v>1388</v>
      </c>
      <c r="B51" s="32"/>
      <c r="C51" s="32"/>
    </row>
    <row r="52" spans="1:20" s="31" customFormat="1" ht="60" customHeight="1">
      <c r="A52" s="31" t="s">
        <v>764</v>
      </c>
      <c r="B52" s="32"/>
      <c r="C52" s="1013" t="s">
        <v>1389</v>
      </c>
      <c r="D52" s="1013"/>
      <c r="E52" s="1013"/>
      <c r="F52" s="1013"/>
      <c r="G52" s="1013"/>
      <c r="H52" s="1013"/>
      <c r="I52" s="1013"/>
      <c r="J52" s="1013"/>
      <c r="K52" s="1013"/>
      <c r="L52" s="1013"/>
      <c r="M52" s="1013"/>
      <c r="N52" s="1013"/>
      <c r="O52" s="1013"/>
      <c r="P52" s="1013"/>
      <c r="Q52" s="1013"/>
      <c r="R52" s="1013"/>
      <c r="S52" s="1013"/>
      <c r="T52" s="1013"/>
    </row>
    <row r="53" spans="1:20" s="31" customFormat="1" ht="15" customHeight="1">
      <c r="B53" s="1233" t="s">
        <v>745</v>
      </c>
      <c r="C53" s="1233"/>
      <c r="D53" s="49" t="s">
        <v>1390</v>
      </c>
      <c r="E53" s="512"/>
      <c r="F53" s="512"/>
      <c r="G53" s="512"/>
      <c r="H53" s="512"/>
      <c r="I53" s="512"/>
      <c r="J53" s="512"/>
      <c r="K53" s="512"/>
      <c r="L53" s="512"/>
      <c r="M53" s="512"/>
      <c r="N53" s="512"/>
      <c r="O53" s="512"/>
      <c r="P53" s="512"/>
      <c r="Q53" s="512"/>
      <c r="R53" s="512"/>
      <c r="S53" s="512"/>
      <c r="T53" s="512"/>
    </row>
    <row r="54" spans="1:20" s="31" customFormat="1" ht="15" customHeight="1">
      <c r="B54" s="32"/>
      <c r="C54" s="49"/>
      <c r="D54" s="49" t="s">
        <v>1391</v>
      </c>
      <c r="E54" s="49"/>
      <c r="F54" s="49"/>
      <c r="G54" s="49"/>
      <c r="H54" s="49"/>
      <c r="I54" s="49"/>
      <c r="J54" s="49"/>
      <c r="K54" s="49"/>
      <c r="L54" s="49"/>
      <c r="M54" s="49"/>
      <c r="N54" s="49"/>
      <c r="O54" s="49"/>
      <c r="P54" s="49"/>
      <c r="Q54" s="49"/>
      <c r="R54" s="49"/>
      <c r="S54" s="49"/>
      <c r="T54" s="49"/>
    </row>
    <row r="55" spans="1:20" s="31" customFormat="1" ht="15" customHeight="1">
      <c r="B55" s="32"/>
      <c r="C55" s="49"/>
      <c r="D55" s="49" t="s">
        <v>1392</v>
      </c>
      <c r="E55" s="49"/>
      <c r="F55" s="49"/>
      <c r="G55" s="49"/>
      <c r="H55" s="49"/>
      <c r="I55" s="49"/>
      <c r="J55" s="49"/>
      <c r="K55" s="49"/>
      <c r="L55" s="49"/>
      <c r="M55" s="49"/>
      <c r="N55" s="49"/>
      <c r="O55" s="49"/>
      <c r="P55" s="49"/>
      <c r="Q55" s="49"/>
      <c r="R55" s="49"/>
      <c r="S55" s="49"/>
      <c r="T55" s="49"/>
    </row>
    <row r="56" spans="1:20" s="31" customFormat="1" ht="15" customHeight="1">
      <c r="B56" s="1227" t="s">
        <v>747</v>
      </c>
      <c r="C56" s="1227"/>
      <c r="D56" s="49" t="s">
        <v>1393</v>
      </c>
      <c r="E56" s="49"/>
      <c r="F56" s="49"/>
      <c r="G56" s="49"/>
      <c r="H56" s="49"/>
      <c r="I56" s="49"/>
      <c r="J56" s="49"/>
      <c r="K56" s="49"/>
      <c r="L56" s="49"/>
      <c r="M56" s="49"/>
      <c r="N56" s="49"/>
      <c r="O56" s="49"/>
      <c r="P56" s="49"/>
      <c r="Q56" s="49"/>
      <c r="R56" s="49"/>
      <c r="S56" s="49"/>
      <c r="T56" s="49"/>
    </row>
    <row r="57" spans="1:20" s="31" customFormat="1" ht="30" customHeight="1">
      <c r="B57" s="32"/>
      <c r="C57" s="49"/>
      <c r="D57" s="1013" t="s">
        <v>1394</v>
      </c>
      <c r="E57" s="1013"/>
      <c r="F57" s="1013"/>
      <c r="G57" s="1013"/>
      <c r="H57" s="1013"/>
      <c r="I57" s="1013"/>
      <c r="J57" s="1013"/>
      <c r="K57" s="1013"/>
      <c r="L57" s="1013"/>
      <c r="M57" s="1013"/>
      <c r="N57" s="1013"/>
      <c r="O57" s="1013"/>
      <c r="P57" s="1013"/>
      <c r="Q57" s="1013"/>
      <c r="R57" s="1013"/>
      <c r="S57" s="1013"/>
      <c r="T57" s="1013"/>
    </row>
    <row r="58" spans="1:20" s="31" customFormat="1" ht="15" customHeight="1">
      <c r="B58" s="32"/>
      <c r="C58" s="49"/>
      <c r="D58" s="49" t="s">
        <v>1395</v>
      </c>
      <c r="E58" s="49"/>
      <c r="F58" s="49"/>
      <c r="G58" s="49"/>
      <c r="H58" s="49"/>
      <c r="I58" s="49"/>
      <c r="J58" s="49"/>
      <c r="K58" s="49"/>
      <c r="L58" s="49"/>
      <c r="M58" s="49"/>
      <c r="N58" s="49"/>
      <c r="O58" s="49"/>
      <c r="P58" s="49"/>
      <c r="Q58" s="49"/>
      <c r="R58" s="49"/>
      <c r="S58" s="49"/>
      <c r="T58" s="49"/>
    </row>
    <row r="59" spans="1:20" s="31" customFormat="1" ht="15" customHeight="1">
      <c r="B59" s="1227" t="s">
        <v>775</v>
      </c>
      <c r="C59" s="1227"/>
      <c r="D59" s="49" t="s">
        <v>1396</v>
      </c>
      <c r="E59" s="49"/>
      <c r="F59" s="49"/>
      <c r="G59" s="49"/>
      <c r="H59" s="49"/>
      <c r="I59" s="49"/>
      <c r="J59" s="49"/>
      <c r="K59" s="49"/>
      <c r="L59" s="49"/>
      <c r="M59" s="49"/>
      <c r="N59" s="49"/>
      <c r="O59" s="49"/>
      <c r="P59" s="49"/>
      <c r="Q59" s="49"/>
      <c r="R59" s="49"/>
      <c r="S59" s="49"/>
      <c r="T59" s="49"/>
    </row>
    <row r="60" spans="1:20" s="31" customFormat="1" ht="15" customHeight="1">
      <c r="B60" s="32"/>
      <c r="C60" s="49"/>
      <c r="D60" s="49" t="s">
        <v>1397</v>
      </c>
      <c r="E60" s="49"/>
      <c r="F60" s="49"/>
      <c r="G60" s="49"/>
      <c r="H60" s="49"/>
      <c r="I60" s="49"/>
      <c r="J60" s="49"/>
      <c r="K60" s="49"/>
      <c r="L60" s="49"/>
      <c r="M60" s="49"/>
      <c r="N60" s="49"/>
      <c r="O60" s="49"/>
      <c r="P60" s="49"/>
      <c r="Q60" s="49"/>
      <c r="R60" s="49"/>
      <c r="S60" s="49"/>
      <c r="T60" s="49"/>
    </row>
    <row r="61" spans="1:20" s="31" customFormat="1" ht="15" customHeight="1">
      <c r="B61" s="32"/>
      <c r="C61" s="49"/>
      <c r="D61" s="1013" t="s">
        <v>1398</v>
      </c>
      <c r="E61" s="1013"/>
      <c r="F61" s="1013"/>
      <c r="G61" s="1013"/>
      <c r="H61" s="1013"/>
      <c r="I61" s="1013"/>
      <c r="J61" s="1013"/>
      <c r="K61" s="1013"/>
      <c r="L61" s="1013"/>
      <c r="M61" s="1013"/>
      <c r="N61" s="1013"/>
      <c r="O61" s="1013"/>
      <c r="P61" s="1013"/>
      <c r="Q61" s="1013"/>
      <c r="R61" s="1013"/>
      <c r="S61" s="1013"/>
      <c r="T61" s="1013"/>
    </row>
    <row r="62" spans="1:20" s="31" customFormat="1" ht="15" customHeight="1">
      <c r="B62" s="1227" t="s">
        <v>792</v>
      </c>
      <c r="C62" s="1227"/>
      <c r="D62" s="49" t="s">
        <v>1399</v>
      </c>
      <c r="E62" s="49"/>
      <c r="F62" s="49"/>
      <c r="G62" s="49"/>
      <c r="H62" s="49"/>
      <c r="I62" s="49"/>
      <c r="J62" s="49"/>
      <c r="K62" s="49"/>
      <c r="L62" s="49"/>
      <c r="M62" s="49"/>
      <c r="N62" s="49"/>
      <c r="O62" s="49"/>
      <c r="P62" s="49"/>
      <c r="Q62" s="49"/>
      <c r="R62" s="49"/>
      <c r="S62" s="49"/>
      <c r="T62" s="49"/>
    </row>
    <row r="63" spans="1:20" s="31" customFormat="1" ht="30" customHeight="1">
      <c r="B63" s="162"/>
      <c r="C63" s="162"/>
      <c r="D63" s="1013" t="s">
        <v>1400</v>
      </c>
      <c r="E63" s="1013"/>
      <c r="F63" s="1013"/>
      <c r="G63" s="1013"/>
      <c r="H63" s="1013"/>
      <c r="I63" s="1013"/>
      <c r="J63" s="1013"/>
      <c r="K63" s="1013"/>
      <c r="L63" s="1013"/>
      <c r="M63" s="1013"/>
      <c r="N63" s="1013"/>
      <c r="O63" s="1013"/>
      <c r="P63" s="1013"/>
      <c r="Q63" s="1013"/>
      <c r="R63" s="1013"/>
      <c r="S63" s="1013"/>
      <c r="T63" s="1013"/>
    </row>
    <row r="64" spans="1:20" s="31" customFormat="1" ht="15" customHeight="1">
      <c r="B64" s="1227" t="s">
        <v>826</v>
      </c>
      <c r="C64" s="1227"/>
      <c r="D64" s="49" t="s">
        <v>1401</v>
      </c>
      <c r="E64" s="49"/>
      <c r="F64" s="49"/>
      <c r="G64" s="49"/>
      <c r="H64" s="49"/>
      <c r="I64" s="49"/>
      <c r="J64" s="49"/>
      <c r="K64" s="49"/>
      <c r="L64" s="49"/>
      <c r="M64" s="49"/>
      <c r="N64" s="49"/>
      <c r="O64" s="49"/>
      <c r="P64" s="49"/>
      <c r="Q64" s="49"/>
      <c r="R64" s="49"/>
      <c r="S64" s="49"/>
      <c r="T64" s="49"/>
    </row>
    <row r="65" spans="1:24" s="31" customFormat="1" ht="45" customHeight="1">
      <c r="B65" s="162"/>
      <c r="C65" s="162"/>
      <c r="D65" s="1013" t="s">
        <v>1402</v>
      </c>
      <c r="E65" s="1013"/>
      <c r="F65" s="1013"/>
      <c r="G65" s="1013"/>
      <c r="H65" s="1013"/>
      <c r="I65" s="1013"/>
      <c r="J65" s="1013"/>
      <c r="K65" s="1013"/>
      <c r="L65" s="1013"/>
      <c r="M65" s="1013"/>
      <c r="N65" s="1013"/>
      <c r="O65" s="1013"/>
      <c r="P65" s="1013"/>
      <c r="Q65" s="1013"/>
      <c r="R65" s="1013"/>
      <c r="S65" s="1013"/>
      <c r="T65" s="1013"/>
    </row>
    <row r="66" spans="1:24" s="31" customFormat="1" ht="30" customHeight="1">
      <c r="B66" s="162"/>
      <c r="C66" s="162"/>
      <c r="D66" s="1013" t="s">
        <v>1403</v>
      </c>
      <c r="E66" s="1013"/>
      <c r="F66" s="1013"/>
      <c r="G66" s="1013"/>
      <c r="H66" s="1013"/>
      <c r="I66" s="1013"/>
      <c r="J66" s="1013"/>
      <c r="K66" s="1013"/>
      <c r="L66" s="1013"/>
      <c r="M66" s="1013"/>
      <c r="N66" s="1013"/>
      <c r="O66" s="1013"/>
      <c r="P66" s="1013"/>
      <c r="Q66" s="1013"/>
      <c r="R66" s="1013"/>
      <c r="S66" s="1013"/>
      <c r="T66" s="1013"/>
    </row>
    <row r="67" spans="1:24" s="31" customFormat="1" ht="15" customHeight="1">
      <c r="B67" s="1227" t="s">
        <v>963</v>
      </c>
      <c r="C67" s="1227"/>
      <c r="D67" s="49" t="s">
        <v>1404</v>
      </c>
      <c r="E67" s="49"/>
      <c r="F67" s="49"/>
      <c r="G67" s="49"/>
      <c r="H67" s="49"/>
      <c r="I67" s="49"/>
      <c r="J67" s="49"/>
      <c r="K67" s="49"/>
      <c r="L67" s="49"/>
      <c r="M67" s="49"/>
      <c r="N67" s="49"/>
      <c r="O67" s="49"/>
      <c r="P67" s="49"/>
      <c r="Q67" s="49"/>
      <c r="R67" s="49"/>
      <c r="S67" s="49"/>
      <c r="T67" s="49"/>
    </row>
    <row r="68" spans="1:24" s="31" customFormat="1" ht="30" customHeight="1">
      <c r="B68" s="162"/>
      <c r="C68" s="162"/>
      <c r="D68" s="1013" t="s">
        <v>1405</v>
      </c>
      <c r="E68" s="1013"/>
      <c r="F68" s="1013"/>
      <c r="G68" s="1013"/>
      <c r="H68" s="1013"/>
      <c r="I68" s="1013"/>
      <c r="J68" s="1013"/>
      <c r="K68" s="1013"/>
      <c r="L68" s="1013"/>
      <c r="M68" s="1013"/>
      <c r="N68" s="1013"/>
      <c r="O68" s="1013"/>
      <c r="P68" s="1013"/>
      <c r="Q68" s="1013"/>
      <c r="R68" s="1013"/>
      <c r="S68" s="1013"/>
      <c r="T68" s="1013"/>
    </row>
    <row r="69" spans="1:24" s="31" customFormat="1" ht="15" customHeight="1">
      <c r="B69" s="162"/>
      <c r="C69" s="162"/>
      <c r="D69" s="49" t="s">
        <v>1406</v>
      </c>
      <c r="E69" s="49"/>
      <c r="F69" s="49"/>
      <c r="G69" s="49"/>
      <c r="H69" s="49"/>
      <c r="I69" s="49"/>
      <c r="J69" s="49"/>
      <c r="K69" s="49"/>
      <c r="L69" s="49"/>
      <c r="M69" s="49"/>
      <c r="N69" s="49"/>
      <c r="O69" s="49"/>
      <c r="P69" s="49"/>
      <c r="Q69" s="49"/>
      <c r="R69" s="49"/>
      <c r="S69" s="49"/>
      <c r="T69" s="49"/>
    </row>
    <row r="70" spans="1:24" s="31" customFormat="1" ht="15" customHeight="1">
      <c r="B70" s="1227" t="s">
        <v>965</v>
      </c>
      <c r="C70" s="1227"/>
      <c r="D70" s="49" t="s">
        <v>1407</v>
      </c>
      <c r="E70" s="49"/>
      <c r="F70" s="49"/>
      <c r="G70" s="49"/>
      <c r="H70" s="49"/>
      <c r="I70" s="49"/>
      <c r="J70" s="49"/>
      <c r="K70" s="49"/>
      <c r="L70" s="49"/>
      <c r="M70" s="49"/>
      <c r="N70" s="49"/>
      <c r="O70" s="49"/>
      <c r="P70" s="49"/>
      <c r="Q70" s="49"/>
      <c r="R70" s="49"/>
      <c r="S70" s="49"/>
      <c r="T70" s="49"/>
    </row>
    <row r="71" spans="1:24" s="31" customFormat="1" ht="30" customHeight="1">
      <c r="B71" s="32"/>
      <c r="C71" s="49"/>
      <c r="D71" s="1013" t="s">
        <v>1408</v>
      </c>
      <c r="E71" s="1013"/>
      <c r="F71" s="1013"/>
      <c r="G71" s="1013"/>
      <c r="H71" s="1013"/>
      <c r="I71" s="1013"/>
      <c r="J71" s="1013"/>
      <c r="K71" s="1013"/>
      <c r="L71" s="1013"/>
      <c r="M71" s="1013"/>
      <c r="N71" s="1013"/>
      <c r="O71" s="1013"/>
      <c r="P71" s="1013"/>
      <c r="Q71" s="1013"/>
      <c r="R71" s="1013"/>
      <c r="S71" s="1013"/>
      <c r="T71" s="1013"/>
    </row>
    <row r="72" spans="1:24" s="31" customFormat="1" ht="15" customHeight="1">
      <c r="B72" s="32"/>
      <c r="C72" s="32"/>
    </row>
    <row r="73" spans="1:24" s="31" customFormat="1" ht="15" customHeight="1">
      <c r="A73" s="31" t="s">
        <v>1409</v>
      </c>
      <c r="B73" s="32"/>
      <c r="C73" s="32"/>
    </row>
    <row r="74" spans="1:24" s="31" customFormat="1" ht="45" customHeight="1">
      <c r="A74" s="31" t="s">
        <v>767</v>
      </c>
      <c r="B74" s="32"/>
      <c r="C74" s="1013" t="s">
        <v>1410</v>
      </c>
      <c r="D74" s="1013"/>
      <c r="E74" s="1013"/>
      <c r="F74" s="1013"/>
      <c r="G74" s="1013"/>
      <c r="H74" s="1013"/>
      <c r="I74" s="1013"/>
      <c r="J74" s="1013"/>
      <c r="K74" s="1013"/>
      <c r="L74" s="1013"/>
      <c r="M74" s="1013"/>
      <c r="N74" s="1013"/>
      <c r="O74" s="1013"/>
      <c r="P74" s="1013"/>
      <c r="Q74" s="1013"/>
      <c r="R74" s="1013"/>
      <c r="S74" s="1013"/>
      <c r="T74" s="1013"/>
    </row>
    <row r="75" spans="1:24" s="31" customFormat="1" ht="30" customHeight="1">
      <c r="B75" s="32" t="s">
        <v>725</v>
      </c>
      <c r="C75" s="1013" t="s">
        <v>1411</v>
      </c>
      <c r="D75" s="1013"/>
      <c r="E75" s="1013"/>
      <c r="F75" s="1013"/>
      <c r="G75" s="1013"/>
      <c r="H75" s="1013"/>
      <c r="I75" s="1013"/>
      <c r="J75" s="1013"/>
      <c r="K75" s="1013"/>
      <c r="L75" s="1013"/>
      <c r="M75" s="1013"/>
      <c r="N75" s="1013"/>
      <c r="O75" s="1013"/>
      <c r="P75" s="1013"/>
      <c r="Q75" s="1013"/>
      <c r="R75" s="1013"/>
      <c r="S75" s="1013"/>
      <c r="T75" s="1013"/>
    </row>
    <row r="76" spans="1:24" s="31" customFormat="1" ht="60" customHeight="1">
      <c r="B76" s="32" t="s">
        <v>741</v>
      </c>
      <c r="C76" s="1013" t="s">
        <v>1412</v>
      </c>
      <c r="D76" s="1013"/>
      <c r="E76" s="1013"/>
      <c r="F76" s="1013"/>
      <c r="G76" s="1013"/>
      <c r="H76" s="1013"/>
      <c r="I76" s="1013"/>
      <c r="J76" s="1013"/>
      <c r="K76" s="1013"/>
      <c r="L76" s="1013"/>
      <c r="M76" s="1013"/>
      <c r="N76" s="1013"/>
      <c r="O76" s="1013"/>
      <c r="P76" s="1013"/>
      <c r="Q76" s="1013"/>
      <c r="R76" s="1013"/>
      <c r="S76" s="1013"/>
      <c r="T76" s="1013"/>
    </row>
    <row r="77" spans="1:24" s="31" customFormat="1" ht="15" customHeight="1">
      <c r="B77" s="32"/>
      <c r="C77" s="32"/>
    </row>
    <row r="78" spans="1:24" s="31" customFormat="1" ht="15" customHeight="1">
      <c r="A78" s="31" t="s">
        <v>1496</v>
      </c>
      <c r="B78" s="32"/>
      <c r="C78" s="32"/>
      <c r="X78" s="196"/>
    </row>
    <row r="79" spans="1:24" s="31" customFormat="1" ht="60" customHeight="1">
      <c r="A79" s="31" t="s">
        <v>771</v>
      </c>
      <c r="B79" s="32"/>
      <c r="C79" s="1093" t="s">
        <v>1497</v>
      </c>
      <c r="D79" s="1093"/>
      <c r="E79" s="1093"/>
      <c r="F79" s="1093"/>
      <c r="G79" s="1093"/>
      <c r="H79" s="1093"/>
      <c r="I79" s="1093"/>
      <c r="J79" s="1093"/>
      <c r="K79" s="1093"/>
      <c r="L79" s="1093"/>
      <c r="M79" s="1093"/>
      <c r="N79" s="1093"/>
      <c r="O79" s="1093"/>
      <c r="P79" s="1093"/>
      <c r="Q79" s="1093"/>
      <c r="R79" s="1093"/>
      <c r="S79" s="1093"/>
      <c r="T79" s="1093"/>
    </row>
    <row r="80" spans="1:24" s="31" customFormat="1" ht="30" customHeight="1">
      <c r="B80" s="32" t="s">
        <v>725</v>
      </c>
      <c r="C80" s="1013" t="s">
        <v>1415</v>
      </c>
      <c r="D80" s="1013"/>
      <c r="E80" s="1013"/>
      <c r="F80" s="1013"/>
      <c r="G80" s="1013"/>
      <c r="H80" s="1013"/>
      <c r="I80" s="1013"/>
      <c r="J80" s="1013"/>
      <c r="K80" s="1013"/>
      <c r="L80" s="1013"/>
      <c r="M80" s="1013"/>
      <c r="N80" s="1013"/>
      <c r="O80" s="1013"/>
      <c r="P80" s="1013"/>
      <c r="Q80" s="1013"/>
      <c r="R80" s="1013"/>
      <c r="S80" s="1013"/>
      <c r="T80" s="1013"/>
    </row>
    <row r="81" spans="1:24" s="31" customFormat="1" ht="30" customHeight="1">
      <c r="B81" s="32" t="s">
        <v>741</v>
      </c>
      <c r="C81" s="1013" t="s">
        <v>1416</v>
      </c>
      <c r="D81" s="1013"/>
      <c r="E81" s="1013"/>
      <c r="F81" s="1013"/>
      <c r="G81" s="1013"/>
      <c r="H81" s="1013"/>
      <c r="I81" s="1013"/>
      <c r="J81" s="1013"/>
      <c r="K81" s="1013"/>
      <c r="L81" s="1013"/>
      <c r="M81" s="1013"/>
      <c r="N81" s="1013"/>
      <c r="O81" s="1013"/>
      <c r="P81" s="1013"/>
      <c r="Q81" s="1013"/>
      <c r="R81" s="1013"/>
      <c r="S81" s="1013"/>
      <c r="T81" s="1013"/>
    </row>
    <row r="82" spans="1:24" s="31" customFormat="1" ht="15" customHeight="1">
      <c r="B82" s="32"/>
      <c r="C82" s="32"/>
    </row>
    <row r="83" spans="1:24" s="31" customFormat="1" ht="15" customHeight="1">
      <c r="A83" s="31" t="s">
        <v>1417</v>
      </c>
      <c r="B83" s="32"/>
      <c r="C83" s="32"/>
    </row>
    <row r="84" spans="1:24" s="31" customFormat="1" ht="50.1" customHeight="1">
      <c r="A84" s="31" t="s">
        <v>778</v>
      </c>
      <c r="B84" s="32"/>
      <c r="C84" s="2124" t="s">
        <v>1418</v>
      </c>
      <c r="D84" s="2124"/>
      <c r="E84" s="2124"/>
      <c r="F84" s="2124"/>
      <c r="G84" s="2124"/>
      <c r="H84" s="2124"/>
      <c r="I84" s="2124"/>
      <c r="J84" s="2124"/>
      <c r="K84" s="2124"/>
      <c r="L84" s="2124"/>
      <c r="M84" s="2124"/>
      <c r="N84" s="2124"/>
      <c r="O84" s="2124"/>
      <c r="P84" s="2124"/>
      <c r="Q84" s="2124"/>
      <c r="R84" s="2124"/>
      <c r="S84" s="2124"/>
      <c r="T84" s="2124"/>
      <c r="X84" s="196"/>
    </row>
    <row r="85" spans="1:24" s="31" customFormat="1" ht="30" customHeight="1">
      <c r="B85" s="32" t="s">
        <v>725</v>
      </c>
      <c r="C85" s="1013" t="s">
        <v>1498</v>
      </c>
      <c r="D85" s="1013"/>
      <c r="E85" s="1013"/>
      <c r="F85" s="1013"/>
      <c r="G85" s="1013"/>
      <c r="H85" s="1013"/>
      <c r="I85" s="1013"/>
      <c r="J85" s="1013"/>
      <c r="K85" s="1013"/>
      <c r="L85" s="1013"/>
      <c r="M85" s="1013"/>
      <c r="N85" s="1013"/>
      <c r="O85" s="1013"/>
      <c r="P85" s="1013"/>
      <c r="Q85" s="1013"/>
      <c r="R85" s="1013"/>
      <c r="S85" s="1013"/>
      <c r="T85" s="1013"/>
      <c r="X85" s="196"/>
    </row>
    <row r="86" spans="1:24" s="31" customFormat="1" ht="15" customHeight="1">
      <c r="B86" s="32"/>
      <c r="C86" s="512"/>
      <c r="D86" s="512"/>
      <c r="E86" s="512"/>
      <c r="F86" s="512"/>
      <c r="G86" s="512"/>
      <c r="H86" s="512"/>
      <c r="I86" s="512"/>
      <c r="J86" s="512"/>
      <c r="K86" s="512"/>
      <c r="L86" s="512"/>
      <c r="M86" s="512"/>
      <c r="N86" s="512"/>
      <c r="O86" s="512"/>
      <c r="P86" s="512"/>
      <c r="Q86" s="512"/>
      <c r="R86" s="512"/>
      <c r="S86" s="512"/>
      <c r="T86" s="512"/>
    </row>
    <row r="87" spans="1:24" s="31" customFormat="1" ht="15" customHeight="1">
      <c r="A87" s="31" t="s">
        <v>1420</v>
      </c>
      <c r="B87" s="32"/>
      <c r="C87" s="32"/>
    </row>
    <row r="88" spans="1:24" s="31" customFormat="1" ht="75" customHeight="1">
      <c r="A88" s="31" t="s">
        <v>781</v>
      </c>
      <c r="B88" s="32"/>
      <c r="C88" s="1013" t="s">
        <v>1421</v>
      </c>
      <c r="D88" s="1013"/>
      <c r="E88" s="1013"/>
      <c r="F88" s="1013"/>
      <c r="G88" s="1013"/>
      <c r="H88" s="1013"/>
      <c r="I88" s="1013"/>
      <c r="J88" s="1013"/>
      <c r="K88" s="1013"/>
      <c r="L88" s="1013"/>
      <c r="M88" s="1013"/>
      <c r="N88" s="1013"/>
      <c r="O88" s="1013"/>
      <c r="P88" s="1013"/>
      <c r="Q88" s="1013"/>
      <c r="R88" s="1013"/>
      <c r="S88" s="1013"/>
      <c r="T88" s="1013"/>
    </row>
    <row r="89" spans="1:24" s="31" customFormat="1" ht="15" customHeight="1">
      <c r="B89" s="32" t="s">
        <v>725</v>
      </c>
      <c r="C89" s="49" t="str">
        <f>DBCS("　食事の提供に要する費用については、１食あたり"&amp;【マスター】!K45&amp;"円を徴収する。")</f>
        <v>　食事の提供に要する費用については、１食あたり５７０円を徴収する。</v>
      </c>
      <c r="D89" s="512"/>
      <c r="E89" s="512"/>
      <c r="F89" s="512"/>
      <c r="G89" s="512"/>
      <c r="H89" s="512"/>
      <c r="I89" s="512"/>
      <c r="J89" s="512"/>
      <c r="K89" s="512"/>
      <c r="L89" s="512"/>
      <c r="M89" s="512"/>
      <c r="N89" s="512"/>
      <c r="O89" s="512"/>
      <c r="P89" s="512"/>
      <c r="Q89" s="512"/>
      <c r="R89" s="512"/>
      <c r="S89" s="512"/>
      <c r="T89" s="512"/>
    </row>
    <row r="90" spans="1:24" s="31" customFormat="1" ht="30" customHeight="1">
      <c r="B90" s="32"/>
      <c r="C90" s="1013" t="s">
        <v>1422</v>
      </c>
      <c r="D90" s="1013"/>
      <c r="E90" s="1013"/>
      <c r="F90" s="1013"/>
      <c r="G90" s="1013"/>
      <c r="H90" s="1013"/>
      <c r="I90" s="1013"/>
      <c r="J90" s="1013"/>
      <c r="K90" s="1013"/>
      <c r="L90" s="1013"/>
      <c r="M90" s="1013"/>
      <c r="N90" s="1013"/>
      <c r="O90" s="1013"/>
      <c r="P90" s="1013"/>
      <c r="Q90" s="1013"/>
      <c r="R90" s="1013"/>
      <c r="S90" s="1013"/>
      <c r="T90" s="1013"/>
    </row>
    <row r="91" spans="1:24" s="31" customFormat="1" ht="15" customHeight="1">
      <c r="B91" s="32"/>
      <c r="C91" s="49"/>
      <c r="E91" s="512"/>
      <c r="F91" s="512"/>
      <c r="G91" s="512"/>
      <c r="H91" s="1026" t="s">
        <v>1423</v>
      </c>
      <c r="I91" s="1026"/>
      <c r="J91" s="740" t="s">
        <v>1333</v>
      </c>
      <c r="L91" s="512"/>
      <c r="M91" s="741" t="str">
        <f>DBCS(【マスター】!K44)&amp;"円"</f>
        <v>５００円</v>
      </c>
      <c r="N91" s="512"/>
      <c r="O91" s="512"/>
      <c r="P91" s="512"/>
      <c r="Q91" s="512"/>
      <c r="R91" s="512"/>
      <c r="S91" s="512"/>
      <c r="T91" s="512"/>
    </row>
    <row r="92" spans="1:24" s="31" customFormat="1" ht="15" customHeight="1">
      <c r="B92" s="32"/>
      <c r="C92" s="49"/>
      <c r="D92" s="49"/>
      <c r="E92" s="512"/>
      <c r="F92" s="512"/>
      <c r="G92" s="512"/>
      <c r="H92" s="1026" t="s">
        <v>1425</v>
      </c>
      <c r="I92" s="1026"/>
      <c r="J92" s="740" t="s">
        <v>1333</v>
      </c>
      <c r="L92" s="512"/>
      <c r="M92" s="741" t="str">
        <f>DBCS(【マスター】!K46)&amp;"円"</f>
        <v>６３０円</v>
      </c>
      <c r="N92" s="512"/>
      <c r="O92" s="512"/>
      <c r="P92" s="512"/>
      <c r="Q92" s="512"/>
      <c r="R92" s="512"/>
      <c r="S92" s="512"/>
      <c r="T92" s="512"/>
    </row>
    <row r="93" spans="1:24" s="31" customFormat="1" ht="15" customHeight="1">
      <c r="B93" s="32" t="s">
        <v>1440</v>
      </c>
      <c r="C93" s="32" t="s">
        <v>1426</v>
      </c>
      <c r="D93" s="32"/>
      <c r="E93" s="32"/>
      <c r="F93" s="32"/>
      <c r="G93" s="32"/>
      <c r="H93" s="32"/>
      <c r="I93" s="512"/>
      <c r="J93" s="512"/>
      <c r="K93" s="512"/>
      <c r="L93" s="512"/>
      <c r="M93" s="512"/>
      <c r="N93" s="512"/>
      <c r="O93" s="512"/>
      <c r="P93" s="512"/>
      <c r="Q93" s="512"/>
      <c r="R93" s="512"/>
      <c r="S93" s="512"/>
      <c r="T93" s="512"/>
    </row>
    <row r="94" spans="1:24" s="31" customFormat="1" ht="15" customHeight="1">
      <c r="A94" s="231"/>
      <c r="B94" s="32"/>
      <c r="D94" s="32" t="s">
        <v>557</v>
      </c>
      <c r="F94" s="32"/>
      <c r="G94" s="32"/>
      <c r="J94" s="231" t="s">
        <v>1333</v>
      </c>
      <c r="M94" s="40" t="str">
        <f>DBCS(【マスター】!J47)&amp;"円"</f>
        <v>１００円</v>
      </c>
      <c r="O94" s="32"/>
      <c r="P94" s="32"/>
      <c r="Q94" s="32"/>
      <c r="R94" s="32"/>
      <c r="S94" s="32"/>
      <c r="V94" s="751" t="s">
        <v>1905</v>
      </c>
    </row>
    <row r="95" spans="1:24" s="31" customFormat="1" ht="15" customHeight="1">
      <c r="A95" s="231"/>
      <c r="B95" s="32"/>
      <c r="D95" s="32" t="s">
        <v>558</v>
      </c>
      <c r="F95" s="32"/>
      <c r="I95" s="231"/>
      <c r="J95" s="231" t="s">
        <v>1333</v>
      </c>
      <c r="M95" s="40" t="str">
        <f>DBCS(【マスター】!J48)&amp;"円"</f>
        <v>５０円</v>
      </c>
      <c r="V95" s="751" t="s">
        <v>1905</v>
      </c>
    </row>
    <row r="96" spans="1:24" s="31" customFormat="1" ht="45" customHeight="1">
      <c r="B96" s="32" t="s">
        <v>1499</v>
      </c>
      <c r="C96" s="1013" t="s">
        <v>1427</v>
      </c>
      <c r="D96" s="1013"/>
      <c r="E96" s="1013"/>
      <c r="F96" s="1013"/>
      <c r="G96" s="1013"/>
      <c r="H96" s="1013"/>
      <c r="I96" s="1013"/>
      <c r="J96" s="1013"/>
      <c r="K96" s="1013"/>
      <c r="L96" s="1013"/>
      <c r="M96" s="1013"/>
      <c r="N96" s="1013"/>
      <c r="O96" s="1013"/>
      <c r="P96" s="1013"/>
      <c r="Q96" s="1013"/>
      <c r="R96" s="1013"/>
      <c r="S96" s="1013"/>
      <c r="T96" s="1013"/>
    </row>
    <row r="97" spans="1:23" s="31" customFormat="1" ht="30" customHeight="1">
      <c r="B97" s="32" t="s">
        <v>1500</v>
      </c>
      <c r="C97" s="1013" t="s">
        <v>1501</v>
      </c>
      <c r="D97" s="1013"/>
      <c r="E97" s="1013"/>
      <c r="F97" s="1013"/>
      <c r="G97" s="1013"/>
      <c r="H97" s="1013"/>
      <c r="I97" s="1013"/>
      <c r="J97" s="1013"/>
      <c r="K97" s="1013"/>
      <c r="L97" s="1013"/>
      <c r="M97" s="1013"/>
      <c r="N97" s="1013"/>
      <c r="O97" s="1013"/>
      <c r="P97" s="1013"/>
      <c r="Q97" s="1013"/>
      <c r="R97" s="1013"/>
      <c r="S97" s="1013"/>
      <c r="T97" s="1013"/>
    </row>
    <row r="98" spans="1:23" s="31" customFormat="1" ht="45" customHeight="1">
      <c r="B98" s="32" t="s">
        <v>1502</v>
      </c>
      <c r="C98" s="1013" t="s">
        <v>1429</v>
      </c>
      <c r="D98" s="1013"/>
      <c r="E98" s="1013"/>
      <c r="F98" s="1013"/>
      <c r="G98" s="1013"/>
      <c r="H98" s="1013"/>
      <c r="I98" s="1013"/>
      <c r="J98" s="1013"/>
      <c r="K98" s="1013"/>
      <c r="L98" s="1013"/>
      <c r="M98" s="1013"/>
      <c r="N98" s="1013"/>
      <c r="O98" s="1013"/>
      <c r="P98" s="1013"/>
      <c r="Q98" s="1013"/>
      <c r="R98" s="1013"/>
      <c r="S98" s="1013"/>
      <c r="T98" s="1013"/>
    </row>
    <row r="99" spans="1:23" s="31" customFormat="1" ht="30" customHeight="1">
      <c r="B99" s="32" t="s">
        <v>1503</v>
      </c>
      <c r="C99" s="1013" t="s">
        <v>1430</v>
      </c>
      <c r="D99" s="1013"/>
      <c r="E99" s="1013"/>
      <c r="F99" s="1013"/>
      <c r="G99" s="1013"/>
      <c r="H99" s="1013"/>
      <c r="I99" s="1013"/>
      <c r="J99" s="1013"/>
      <c r="K99" s="1013"/>
      <c r="L99" s="1013"/>
      <c r="M99" s="1013"/>
      <c r="N99" s="1013"/>
      <c r="O99" s="1013"/>
      <c r="P99" s="1013"/>
      <c r="Q99" s="1013"/>
      <c r="R99" s="1013"/>
      <c r="S99" s="1013"/>
      <c r="T99" s="1013"/>
    </row>
    <row r="100" spans="1:23" s="31" customFormat="1" ht="45" customHeight="1">
      <c r="B100" s="32" t="s">
        <v>1504</v>
      </c>
      <c r="C100" s="1013" t="s">
        <v>1431</v>
      </c>
      <c r="D100" s="1013"/>
      <c r="E100" s="1013"/>
      <c r="F100" s="1013"/>
      <c r="G100" s="1013"/>
      <c r="H100" s="1013"/>
      <c r="I100" s="1013"/>
      <c r="J100" s="1013"/>
      <c r="K100" s="1013"/>
      <c r="L100" s="1013"/>
      <c r="M100" s="1013"/>
      <c r="N100" s="1013"/>
      <c r="O100" s="1013"/>
      <c r="P100" s="1013"/>
      <c r="Q100" s="1013"/>
      <c r="R100" s="1013"/>
      <c r="S100" s="1013"/>
      <c r="T100" s="1013"/>
    </row>
    <row r="101" spans="1:23" s="31" customFormat="1" ht="30" customHeight="1">
      <c r="B101" s="32" t="s">
        <v>1505</v>
      </c>
      <c r="C101" s="1013" t="s">
        <v>1432</v>
      </c>
      <c r="D101" s="1013"/>
      <c r="E101" s="1013"/>
      <c r="F101" s="1013"/>
      <c r="G101" s="1013"/>
      <c r="H101" s="1013"/>
      <c r="I101" s="1013"/>
      <c r="J101" s="1013"/>
      <c r="K101" s="1013"/>
      <c r="L101" s="1013"/>
      <c r="M101" s="1013"/>
      <c r="N101" s="1013"/>
      <c r="O101" s="1013"/>
      <c r="P101" s="1013"/>
      <c r="Q101" s="1013"/>
      <c r="R101" s="1013"/>
      <c r="S101" s="1013"/>
      <c r="T101" s="1013"/>
    </row>
    <row r="102" spans="1:23" s="31" customFormat="1" ht="15" customHeight="1">
      <c r="B102" s="32"/>
      <c r="C102" s="32"/>
    </row>
    <row r="103" spans="1:23" s="31" customFormat="1" ht="15" customHeight="1">
      <c r="A103" s="31" t="s">
        <v>1433</v>
      </c>
      <c r="B103" s="32"/>
      <c r="C103" s="32"/>
    </row>
    <row r="104" spans="1:23" s="31" customFormat="1" ht="15" customHeight="1">
      <c r="A104" s="31" t="s">
        <v>784</v>
      </c>
      <c r="B104" s="32"/>
      <c r="C104" s="1013" t="s">
        <v>1434</v>
      </c>
      <c r="D104" s="1013"/>
      <c r="E104" s="1013"/>
      <c r="F104" s="1013"/>
      <c r="G104" s="1013"/>
      <c r="H104" s="1013"/>
      <c r="I104" s="1013"/>
      <c r="J104" s="1013"/>
      <c r="K104" s="1013"/>
      <c r="L104" s="1013"/>
      <c r="M104" s="1013"/>
      <c r="N104" s="1013"/>
      <c r="O104" s="1013"/>
      <c r="P104" s="1013"/>
      <c r="Q104" s="1013"/>
      <c r="R104" s="1013"/>
      <c r="S104" s="1013"/>
      <c r="T104" s="1013"/>
    </row>
    <row r="105" spans="1:23" s="31" customFormat="1" ht="15" customHeight="1">
      <c r="B105" s="32"/>
      <c r="C105" s="85" t="s">
        <v>1435</v>
      </c>
      <c r="D105" s="1028" t="str">
        <f>""&amp;【マスター】!C17&amp;IF(【マスター】!E17=0," ","・")&amp;【マスター】!E17&amp;""&amp;IF(【マスター】!G17=0," ","・")&amp;【マスター】!G17&amp;""&amp;IF(【マスター】!I17=0," ","・")&amp;【マスター】!I17&amp;""&amp;IF(【マスター】!K17=0," ","・")&amp;【マスター】!K17&amp;""</f>
        <v xml:space="preserve">豊橋市・豊川市   </v>
      </c>
      <c r="E105" s="1028"/>
      <c r="F105" s="1028"/>
      <c r="G105" s="1028"/>
      <c r="H105" s="1028"/>
      <c r="I105" s="1028"/>
      <c r="J105" s="1028"/>
      <c r="K105" s="1028"/>
      <c r="L105" s="1028"/>
      <c r="M105" s="1028"/>
      <c r="N105" s="1028"/>
      <c r="O105" s="1028"/>
      <c r="P105" s="1028"/>
      <c r="Q105" s="1028"/>
      <c r="R105" s="1028"/>
      <c r="S105" s="1028"/>
      <c r="T105" s="512" t="s">
        <v>514</v>
      </c>
    </row>
    <row r="106" spans="1:23" s="31" customFormat="1" ht="15" customHeight="1">
      <c r="B106" s="32"/>
      <c r="C106" s="85"/>
      <c r="D106" s="545"/>
      <c r="E106" s="545"/>
      <c r="F106" s="545"/>
      <c r="G106" s="545"/>
      <c r="H106" s="545"/>
      <c r="I106" s="545"/>
      <c r="J106" s="545"/>
      <c r="K106" s="545"/>
      <c r="L106" s="545"/>
      <c r="M106" s="545"/>
      <c r="N106" s="545"/>
      <c r="O106" s="545"/>
      <c r="P106" s="545"/>
      <c r="Q106" s="545"/>
      <c r="R106" s="545"/>
      <c r="S106" s="545"/>
      <c r="T106" s="512"/>
    </row>
    <row r="107" spans="1:23" s="31" customFormat="1" ht="15" customHeight="1">
      <c r="A107" s="31" t="s">
        <v>1436</v>
      </c>
      <c r="B107" s="32"/>
      <c r="C107" s="32"/>
    </row>
    <row r="108" spans="1:23" s="31" customFormat="1" ht="45" customHeight="1">
      <c r="A108" s="31" t="s">
        <v>804</v>
      </c>
      <c r="B108" s="32"/>
      <c r="C108" s="1093" t="s">
        <v>1437</v>
      </c>
      <c r="D108" s="1093"/>
      <c r="E108" s="1093"/>
      <c r="F108" s="1093"/>
      <c r="G108" s="1093"/>
      <c r="H108" s="1093"/>
      <c r="I108" s="1093"/>
      <c r="J108" s="1093"/>
      <c r="K108" s="1093"/>
      <c r="L108" s="1093"/>
      <c r="M108" s="1093"/>
      <c r="N108" s="1093"/>
      <c r="O108" s="1093"/>
      <c r="P108" s="1093"/>
      <c r="Q108" s="1093"/>
      <c r="R108" s="1093"/>
      <c r="S108" s="1093"/>
      <c r="T108" s="1093"/>
    </row>
    <row r="109" spans="1:23" s="31" customFormat="1" ht="15" customHeight="1">
      <c r="B109" s="32"/>
      <c r="C109" s="32"/>
    </row>
    <row r="110" spans="1:23" s="31" customFormat="1" ht="15" customHeight="1">
      <c r="A110" s="31" t="s">
        <v>780</v>
      </c>
      <c r="B110" s="32"/>
      <c r="C110" s="32"/>
      <c r="W110" s="196"/>
    </row>
    <row r="111" spans="1:23" s="31" customFormat="1" ht="78.75" customHeight="1">
      <c r="A111" s="31" t="s">
        <v>810</v>
      </c>
      <c r="B111" s="32"/>
      <c r="C111" s="1093" t="s">
        <v>1438</v>
      </c>
      <c r="D111" s="1093"/>
      <c r="E111" s="1093"/>
      <c r="F111" s="1093"/>
      <c r="G111" s="1093"/>
      <c r="H111" s="1093"/>
      <c r="I111" s="1093"/>
      <c r="J111" s="1093"/>
      <c r="K111" s="1093"/>
      <c r="L111" s="1093"/>
      <c r="M111" s="1093"/>
      <c r="N111" s="1093"/>
      <c r="O111" s="1093"/>
      <c r="P111" s="1093"/>
      <c r="Q111" s="1093"/>
      <c r="R111" s="1093"/>
      <c r="S111" s="1093"/>
      <c r="T111" s="1093"/>
    </row>
    <row r="112" spans="1:23" s="31" customFormat="1" ht="30" customHeight="1">
      <c r="B112" s="32" t="s">
        <v>725</v>
      </c>
      <c r="C112" s="1093" t="s">
        <v>1439</v>
      </c>
      <c r="D112" s="1093"/>
      <c r="E112" s="1093"/>
      <c r="F112" s="1093"/>
      <c r="G112" s="1093"/>
      <c r="H112" s="1093"/>
      <c r="I112" s="1093"/>
      <c r="J112" s="1093"/>
      <c r="K112" s="1093"/>
      <c r="L112" s="1093"/>
      <c r="M112" s="1093"/>
      <c r="N112" s="1093"/>
      <c r="O112" s="1093"/>
      <c r="P112" s="1093"/>
      <c r="Q112" s="1093"/>
      <c r="R112" s="1093"/>
      <c r="S112" s="1093"/>
      <c r="T112" s="1093"/>
    </row>
    <row r="113" spans="1:20" s="31" customFormat="1" ht="45" customHeight="1">
      <c r="B113" s="32" t="s">
        <v>1440</v>
      </c>
      <c r="C113" s="1093" t="s">
        <v>1441</v>
      </c>
      <c r="D113" s="1093"/>
      <c r="E113" s="1093"/>
      <c r="F113" s="1093"/>
      <c r="G113" s="1093"/>
      <c r="H113" s="1093"/>
      <c r="I113" s="1093"/>
      <c r="J113" s="1093"/>
      <c r="K113" s="1093"/>
      <c r="L113" s="1093"/>
      <c r="M113" s="1093"/>
      <c r="N113" s="1093"/>
      <c r="O113" s="1093"/>
      <c r="P113" s="1093"/>
      <c r="Q113" s="1093"/>
      <c r="R113" s="1093"/>
      <c r="S113" s="1093"/>
      <c r="T113" s="1093"/>
    </row>
    <row r="114" spans="1:20" s="31" customFormat="1" ht="30" customHeight="1">
      <c r="B114" s="32" t="s">
        <v>743</v>
      </c>
      <c r="C114" s="1093" t="s">
        <v>1442</v>
      </c>
      <c r="D114" s="1093"/>
      <c r="E114" s="1093"/>
      <c r="F114" s="1093"/>
      <c r="G114" s="1093"/>
      <c r="H114" s="1093"/>
      <c r="I114" s="1093"/>
      <c r="J114" s="1093"/>
      <c r="K114" s="1093"/>
      <c r="L114" s="1093"/>
      <c r="M114" s="1093"/>
      <c r="N114" s="1093"/>
      <c r="O114" s="1093"/>
      <c r="P114" s="1093"/>
      <c r="Q114" s="1093"/>
      <c r="R114" s="1093"/>
      <c r="S114" s="1093"/>
      <c r="T114" s="1093"/>
    </row>
    <row r="115" spans="1:20" s="31" customFormat="1" ht="15" customHeight="1">
      <c r="B115" s="32"/>
      <c r="C115" s="513"/>
      <c r="D115" s="513"/>
      <c r="E115" s="513"/>
      <c r="F115" s="513"/>
      <c r="G115" s="513"/>
      <c r="H115" s="513"/>
      <c r="I115" s="513"/>
      <c r="J115" s="513"/>
      <c r="K115" s="513"/>
      <c r="L115" s="513"/>
      <c r="M115" s="513"/>
      <c r="N115" s="513"/>
      <c r="O115" s="513"/>
      <c r="P115" s="513"/>
      <c r="Q115" s="513"/>
      <c r="R115" s="513"/>
      <c r="S115" s="513"/>
      <c r="T115" s="513"/>
    </row>
    <row r="116" spans="1:20" s="31" customFormat="1" ht="15" customHeight="1">
      <c r="A116" s="31" t="s">
        <v>1443</v>
      </c>
      <c r="B116" s="32"/>
      <c r="C116" s="513"/>
      <c r="D116" s="513"/>
      <c r="E116" s="513"/>
      <c r="F116" s="513"/>
      <c r="G116" s="513"/>
      <c r="H116" s="513"/>
      <c r="I116" s="513"/>
      <c r="J116" s="513"/>
      <c r="K116" s="513"/>
      <c r="L116" s="513"/>
      <c r="M116" s="513"/>
      <c r="N116" s="513"/>
      <c r="O116" s="513"/>
      <c r="P116" s="513"/>
      <c r="Q116" s="513"/>
      <c r="R116" s="513"/>
      <c r="S116" s="513"/>
      <c r="T116" s="513"/>
    </row>
    <row r="117" spans="1:20" s="31" customFormat="1" ht="30" customHeight="1">
      <c r="A117" s="31" t="s">
        <v>815</v>
      </c>
      <c r="B117" s="32"/>
      <c r="C117" s="1093" t="s">
        <v>1444</v>
      </c>
      <c r="D117" s="1093"/>
      <c r="E117" s="1093"/>
      <c r="F117" s="1093"/>
      <c r="G117" s="1093"/>
      <c r="H117" s="1093"/>
      <c r="I117" s="1093"/>
      <c r="J117" s="1093"/>
      <c r="K117" s="1093"/>
      <c r="L117" s="1093"/>
      <c r="M117" s="1093"/>
      <c r="N117" s="1093"/>
      <c r="O117" s="1093"/>
      <c r="P117" s="1093"/>
      <c r="Q117" s="1093"/>
      <c r="R117" s="1093"/>
      <c r="S117" s="1093"/>
      <c r="T117" s="1093"/>
    </row>
    <row r="118" spans="1:20" s="31" customFormat="1" ht="15" customHeight="1">
      <c r="B118" s="32"/>
      <c r="C118" s="513"/>
      <c r="D118" s="502" t="s">
        <v>1445</v>
      </c>
      <c r="E118" s="502"/>
      <c r="F118" s="502"/>
      <c r="H118" s="513"/>
      <c r="I118" s="503" t="s">
        <v>1446</v>
      </c>
      <c r="J118" s="513"/>
      <c r="K118" s="513"/>
      <c r="L118" s="513"/>
      <c r="M118" s="513"/>
      <c r="N118" s="513"/>
      <c r="O118" s="513"/>
      <c r="P118" s="513"/>
      <c r="Q118" s="513"/>
      <c r="R118" s="513"/>
      <c r="S118" s="513"/>
      <c r="T118" s="513"/>
    </row>
    <row r="119" spans="1:20" s="31" customFormat="1" ht="15" customHeight="1">
      <c r="B119" s="32"/>
      <c r="C119" s="513"/>
      <c r="D119" s="502" t="s">
        <v>1447</v>
      </c>
      <c r="E119" s="502"/>
      <c r="F119" s="502"/>
      <c r="H119" s="513"/>
      <c r="I119" s="503" t="s">
        <v>1448</v>
      </c>
      <c r="J119" s="513"/>
      <c r="K119" s="513"/>
      <c r="L119" s="513"/>
      <c r="M119" s="513"/>
      <c r="N119" s="513"/>
      <c r="O119" s="513"/>
      <c r="P119" s="513"/>
      <c r="Q119" s="513"/>
      <c r="R119" s="513"/>
      <c r="S119" s="513"/>
      <c r="T119" s="513"/>
    </row>
    <row r="120" spans="1:20" s="31" customFormat="1" ht="15" customHeight="1">
      <c r="B120" s="32"/>
      <c r="C120" s="513"/>
      <c r="D120" s="502" t="s">
        <v>1449</v>
      </c>
      <c r="E120" s="502"/>
      <c r="F120" s="502"/>
      <c r="H120" s="513"/>
      <c r="I120" s="503" t="s">
        <v>1450</v>
      </c>
      <c r="J120" s="513"/>
      <c r="K120" s="513"/>
      <c r="L120" s="513"/>
      <c r="M120" s="513"/>
      <c r="N120" s="513"/>
      <c r="O120" s="513"/>
      <c r="P120" s="513"/>
      <c r="Q120" s="513"/>
      <c r="R120" s="513"/>
      <c r="S120" s="513"/>
      <c r="T120" s="513"/>
    </row>
    <row r="121" spans="1:20" s="31" customFormat="1" ht="15" customHeight="1">
      <c r="B121" s="32"/>
      <c r="C121" s="513"/>
      <c r="D121" s="502" t="s">
        <v>1451</v>
      </c>
      <c r="E121" s="502"/>
      <c r="F121" s="502"/>
      <c r="H121" s="513"/>
      <c r="I121" s="503" t="s">
        <v>1448</v>
      </c>
      <c r="J121" s="513"/>
      <c r="K121" s="513"/>
      <c r="L121" s="513"/>
      <c r="M121" s="513"/>
      <c r="N121" s="513"/>
      <c r="O121" s="513"/>
      <c r="P121" s="513"/>
      <c r="Q121" s="513"/>
      <c r="R121" s="513"/>
      <c r="S121" s="513"/>
      <c r="T121" s="513"/>
    </row>
    <row r="122" spans="1:20" s="31" customFormat="1" ht="15" customHeight="1">
      <c r="B122" s="32"/>
      <c r="C122" s="513"/>
      <c r="D122" s="502" t="s">
        <v>1452</v>
      </c>
      <c r="E122" s="502"/>
      <c r="F122" s="502"/>
      <c r="H122" s="513"/>
      <c r="I122" s="503" t="s">
        <v>1450</v>
      </c>
      <c r="J122" s="513"/>
      <c r="K122" s="513"/>
      <c r="L122" s="513"/>
      <c r="M122" s="513"/>
      <c r="N122" s="513"/>
      <c r="O122" s="513"/>
      <c r="P122" s="513"/>
      <c r="Q122" s="513"/>
      <c r="R122" s="513"/>
      <c r="S122" s="513"/>
      <c r="T122" s="513"/>
    </row>
    <row r="123" spans="1:20" s="31" customFormat="1" ht="15" customHeight="1">
      <c r="B123" s="32"/>
      <c r="C123" s="32"/>
    </row>
    <row r="124" spans="1:20" s="31" customFormat="1" ht="15" customHeight="1">
      <c r="A124" s="31" t="s">
        <v>1453</v>
      </c>
      <c r="B124" s="32"/>
      <c r="C124" s="32"/>
    </row>
    <row r="125" spans="1:20" s="31" customFormat="1" ht="30" customHeight="1">
      <c r="A125" s="31" t="s">
        <v>818</v>
      </c>
      <c r="B125" s="32"/>
      <c r="C125" s="1093" t="s">
        <v>1454</v>
      </c>
      <c r="D125" s="1093"/>
      <c r="E125" s="1093"/>
      <c r="F125" s="1093"/>
      <c r="G125" s="1093"/>
      <c r="H125" s="1093"/>
      <c r="I125" s="1093"/>
      <c r="J125" s="1093"/>
      <c r="K125" s="1093"/>
      <c r="L125" s="1093"/>
      <c r="M125" s="1093"/>
      <c r="N125" s="1093"/>
      <c r="O125" s="1093"/>
      <c r="P125" s="1093"/>
      <c r="Q125" s="1093"/>
      <c r="R125" s="1093"/>
      <c r="S125" s="1093"/>
      <c r="T125" s="1093"/>
    </row>
    <row r="126" spans="1:20" s="31" customFormat="1" ht="30" customHeight="1">
      <c r="B126" s="32" t="s">
        <v>725</v>
      </c>
      <c r="C126" s="1093" t="s">
        <v>1455</v>
      </c>
      <c r="D126" s="1093"/>
      <c r="E126" s="1093"/>
      <c r="F126" s="1093"/>
      <c r="G126" s="1093"/>
      <c r="H126" s="1093"/>
      <c r="I126" s="1093"/>
      <c r="J126" s="1093"/>
      <c r="K126" s="1093"/>
      <c r="L126" s="1093"/>
      <c r="M126" s="1093"/>
      <c r="N126" s="1093"/>
      <c r="O126" s="1093"/>
      <c r="P126" s="1093"/>
      <c r="Q126" s="1093"/>
      <c r="R126" s="1093"/>
      <c r="S126" s="1093"/>
      <c r="T126" s="1093"/>
    </row>
    <row r="127" spans="1:20" s="31" customFormat="1" ht="30" customHeight="1">
      <c r="B127" s="32" t="s">
        <v>1440</v>
      </c>
      <c r="C127" s="1093" t="s">
        <v>1456</v>
      </c>
      <c r="D127" s="1093"/>
      <c r="E127" s="1093"/>
      <c r="F127" s="1093"/>
      <c r="G127" s="1093"/>
      <c r="H127" s="1093"/>
      <c r="I127" s="1093"/>
      <c r="J127" s="1093"/>
      <c r="K127" s="1093"/>
      <c r="L127" s="1093"/>
      <c r="M127" s="1093"/>
      <c r="N127" s="1093"/>
      <c r="O127" s="1093"/>
      <c r="P127" s="1093"/>
      <c r="Q127" s="1093"/>
      <c r="R127" s="1093"/>
      <c r="S127" s="1093"/>
      <c r="T127" s="1093"/>
    </row>
    <row r="128" spans="1:20" s="31" customFormat="1" ht="15" customHeight="1">
      <c r="B128" s="32"/>
      <c r="C128" s="32"/>
    </row>
    <row r="129" spans="1:20" s="31" customFormat="1" ht="15" customHeight="1">
      <c r="A129" s="31" t="s">
        <v>1457</v>
      </c>
      <c r="B129" s="32"/>
      <c r="C129" s="32"/>
    </row>
    <row r="130" spans="1:20" s="31" customFormat="1" ht="30" customHeight="1">
      <c r="A130" s="31" t="s">
        <v>822</v>
      </c>
      <c r="B130" s="32"/>
      <c r="C130" s="1093" t="s">
        <v>1458</v>
      </c>
      <c r="D130" s="1093"/>
      <c r="E130" s="1093"/>
      <c r="F130" s="1093"/>
      <c r="G130" s="1093"/>
      <c r="H130" s="1093"/>
      <c r="I130" s="1093"/>
      <c r="J130" s="1093"/>
      <c r="K130" s="1093"/>
      <c r="L130" s="1093"/>
      <c r="M130" s="1093"/>
      <c r="N130" s="1093"/>
      <c r="O130" s="1093"/>
      <c r="P130" s="1093"/>
      <c r="Q130" s="1093"/>
      <c r="R130" s="1093"/>
      <c r="S130" s="1093"/>
      <c r="T130" s="1093"/>
    </row>
    <row r="131" spans="1:20" s="31" customFormat="1" ht="45" customHeight="1">
      <c r="B131" s="32" t="s">
        <v>725</v>
      </c>
      <c r="C131" s="1093" t="s">
        <v>1459</v>
      </c>
      <c r="D131" s="1093"/>
      <c r="E131" s="1093"/>
      <c r="F131" s="1093"/>
      <c r="G131" s="1093"/>
      <c r="H131" s="1093"/>
      <c r="I131" s="1093"/>
      <c r="J131" s="1093"/>
      <c r="K131" s="1093"/>
      <c r="L131" s="1093"/>
      <c r="M131" s="1093"/>
      <c r="N131" s="1093"/>
      <c r="O131" s="1093"/>
      <c r="P131" s="1093"/>
      <c r="Q131" s="1093"/>
      <c r="R131" s="1093"/>
      <c r="S131" s="1093"/>
      <c r="T131" s="1093"/>
    </row>
    <row r="132" spans="1:20" s="31" customFormat="1" ht="15" customHeight="1">
      <c r="B132" s="32"/>
      <c r="C132" s="32"/>
    </row>
    <row r="133" spans="1:20" s="31" customFormat="1" ht="15" customHeight="1">
      <c r="A133" s="31" t="s">
        <v>1460</v>
      </c>
      <c r="B133" s="32"/>
      <c r="C133" s="32"/>
    </row>
    <row r="134" spans="1:20" s="31" customFormat="1" ht="45" customHeight="1">
      <c r="A134" s="31" t="s">
        <v>834</v>
      </c>
      <c r="B134" s="32"/>
      <c r="C134" s="1093" t="s">
        <v>1461</v>
      </c>
      <c r="D134" s="1093"/>
      <c r="E134" s="1093"/>
      <c r="F134" s="1093"/>
      <c r="G134" s="1093"/>
      <c r="H134" s="1093"/>
      <c r="I134" s="1093"/>
      <c r="J134" s="1093"/>
      <c r="K134" s="1093"/>
      <c r="L134" s="1093"/>
      <c r="M134" s="1093"/>
      <c r="N134" s="1093"/>
      <c r="O134" s="1093"/>
      <c r="P134" s="1093"/>
      <c r="Q134" s="1093"/>
      <c r="R134" s="1093"/>
      <c r="S134" s="1093"/>
      <c r="T134" s="1093"/>
    </row>
    <row r="135" spans="1:20" s="31" customFormat="1" ht="60" customHeight="1">
      <c r="B135" s="32" t="s">
        <v>725</v>
      </c>
      <c r="C135" s="1093" t="s">
        <v>1711</v>
      </c>
      <c r="D135" s="1093"/>
      <c r="E135" s="1093"/>
      <c r="F135" s="1093"/>
      <c r="G135" s="1093"/>
      <c r="H135" s="1093"/>
      <c r="I135" s="1093"/>
      <c r="J135" s="1093"/>
      <c r="K135" s="1093"/>
      <c r="L135" s="1093"/>
      <c r="M135" s="1093"/>
      <c r="N135" s="1093"/>
      <c r="O135" s="1093"/>
      <c r="P135" s="1093"/>
      <c r="Q135" s="1093"/>
      <c r="R135" s="1093"/>
      <c r="S135" s="1093"/>
      <c r="T135" s="1093"/>
    </row>
    <row r="136" spans="1:20" s="31" customFormat="1" ht="60" customHeight="1">
      <c r="B136" s="32" t="s">
        <v>741</v>
      </c>
      <c r="C136" s="1093" t="s">
        <v>1462</v>
      </c>
      <c r="D136" s="1093"/>
      <c r="E136" s="1093"/>
      <c r="F136" s="1093"/>
      <c r="G136" s="1093"/>
      <c r="H136" s="1093"/>
      <c r="I136" s="1093"/>
      <c r="J136" s="1093"/>
      <c r="K136" s="1093"/>
      <c r="L136" s="1093"/>
      <c r="M136" s="1093"/>
      <c r="N136" s="1093"/>
      <c r="O136" s="1093"/>
      <c r="P136" s="1093"/>
      <c r="Q136" s="1093"/>
      <c r="R136" s="1093"/>
      <c r="S136" s="1093"/>
      <c r="T136" s="1093"/>
    </row>
    <row r="137" spans="1:20" s="31" customFormat="1" ht="15" customHeight="1">
      <c r="B137" s="32"/>
      <c r="C137" s="513"/>
      <c r="D137" s="513"/>
      <c r="E137" s="513"/>
      <c r="F137" s="513"/>
      <c r="G137" s="513"/>
      <c r="H137" s="513"/>
      <c r="I137" s="513"/>
      <c r="J137" s="513"/>
      <c r="K137" s="513"/>
      <c r="L137" s="513"/>
      <c r="M137" s="513"/>
      <c r="N137" s="513"/>
      <c r="O137" s="513"/>
      <c r="P137" s="513"/>
      <c r="Q137" s="513"/>
      <c r="R137" s="513"/>
      <c r="S137" s="513"/>
      <c r="T137" s="513"/>
    </row>
    <row r="138" spans="1:20" s="31" customFormat="1" ht="15" customHeight="1">
      <c r="A138" s="31" t="s">
        <v>1463</v>
      </c>
      <c r="B138" s="32"/>
      <c r="C138" s="32"/>
    </row>
    <row r="139" spans="1:20" s="31" customFormat="1" ht="45" customHeight="1">
      <c r="A139" s="31" t="s">
        <v>841</v>
      </c>
      <c r="B139" s="32"/>
      <c r="C139" s="1093" t="s">
        <v>1464</v>
      </c>
      <c r="D139" s="1093"/>
      <c r="E139" s="1093"/>
      <c r="F139" s="1093"/>
      <c r="G139" s="1093"/>
      <c r="H139" s="1093"/>
      <c r="I139" s="1093"/>
      <c r="J139" s="1093"/>
      <c r="K139" s="1093"/>
      <c r="L139" s="1093"/>
      <c r="M139" s="1093"/>
      <c r="N139" s="1093"/>
      <c r="O139" s="1093"/>
      <c r="P139" s="1093"/>
      <c r="Q139" s="1093"/>
      <c r="R139" s="1093"/>
      <c r="S139" s="1093"/>
      <c r="T139" s="1093"/>
    </row>
    <row r="140" spans="1:20" s="31" customFormat="1" ht="45" customHeight="1">
      <c r="B140" s="32" t="s">
        <v>725</v>
      </c>
      <c r="C140" s="1093" t="s">
        <v>1465</v>
      </c>
      <c r="D140" s="1093"/>
      <c r="E140" s="1093"/>
      <c r="F140" s="1093"/>
      <c r="G140" s="1093"/>
      <c r="H140" s="1093"/>
      <c r="I140" s="1093"/>
      <c r="J140" s="1093"/>
      <c r="K140" s="1093"/>
      <c r="L140" s="1093"/>
      <c r="M140" s="1093"/>
      <c r="N140" s="1093"/>
      <c r="O140" s="1093"/>
      <c r="P140" s="1093"/>
      <c r="Q140" s="1093"/>
      <c r="R140" s="1093"/>
      <c r="S140" s="1093"/>
      <c r="T140" s="1093"/>
    </row>
    <row r="141" spans="1:20" s="31" customFormat="1" ht="15" customHeight="1">
      <c r="B141" s="32"/>
      <c r="C141" s="32"/>
    </row>
    <row r="142" spans="1:20" s="31" customFormat="1" ht="15" customHeight="1">
      <c r="A142" s="31" t="s">
        <v>1466</v>
      </c>
      <c r="B142" s="32"/>
      <c r="C142" s="32"/>
    </row>
    <row r="143" spans="1:20" s="31" customFormat="1" ht="15" customHeight="1">
      <c r="A143" s="31" t="s">
        <v>845</v>
      </c>
      <c r="B143" s="32"/>
      <c r="C143" s="1093" t="s">
        <v>1467</v>
      </c>
      <c r="D143" s="1093"/>
      <c r="E143" s="1093"/>
      <c r="F143" s="1093"/>
      <c r="G143" s="1093"/>
      <c r="H143" s="1093"/>
      <c r="I143" s="1093"/>
      <c r="J143" s="1093"/>
      <c r="K143" s="1093"/>
      <c r="L143" s="1093"/>
      <c r="M143" s="1093"/>
      <c r="N143" s="1093"/>
      <c r="O143" s="1093"/>
      <c r="P143" s="1093"/>
      <c r="Q143" s="1093"/>
      <c r="R143" s="1093"/>
      <c r="S143" s="1093"/>
      <c r="T143" s="1093"/>
    </row>
    <row r="144" spans="1:20" s="31" customFormat="1" ht="15" customHeight="1">
      <c r="B144" s="32"/>
      <c r="C144" s="1093"/>
      <c r="D144" s="1093"/>
      <c r="E144" s="1093"/>
      <c r="F144" s="1093"/>
      <c r="G144" s="1093"/>
      <c r="H144" s="1093"/>
      <c r="I144" s="1093"/>
      <c r="J144" s="1093"/>
      <c r="K144" s="1093"/>
      <c r="L144" s="1093"/>
      <c r="M144" s="1093"/>
      <c r="N144" s="1093"/>
      <c r="O144" s="1093"/>
      <c r="P144" s="1093"/>
      <c r="Q144" s="1093"/>
      <c r="R144" s="1093"/>
      <c r="S144" s="1093"/>
      <c r="T144" s="1093"/>
    </row>
    <row r="145" spans="1:41" s="31" customFormat="1" ht="15" customHeight="1">
      <c r="B145" s="1233" t="s">
        <v>745</v>
      </c>
      <c r="C145" s="1233"/>
      <c r="D145" s="31" t="s">
        <v>1468</v>
      </c>
    </row>
    <row r="146" spans="1:41" s="31" customFormat="1" ht="15" customHeight="1">
      <c r="B146" s="1227" t="s">
        <v>747</v>
      </c>
      <c r="C146" s="1227"/>
      <c r="D146" s="31" t="s">
        <v>1469</v>
      </c>
    </row>
    <row r="147" spans="1:41" s="31" customFormat="1" ht="15" customHeight="1">
      <c r="B147" s="1227" t="s">
        <v>775</v>
      </c>
      <c r="C147" s="1227"/>
      <c r="D147" s="31" t="s">
        <v>1470</v>
      </c>
    </row>
    <row r="148" spans="1:41" s="31" customFormat="1" ht="45" customHeight="1">
      <c r="B148" s="32" t="s">
        <v>725</v>
      </c>
      <c r="C148" s="1093" t="s">
        <v>1471</v>
      </c>
      <c r="D148" s="1093"/>
      <c r="E148" s="1093"/>
      <c r="F148" s="1093"/>
      <c r="G148" s="1093"/>
      <c r="H148" s="1093"/>
      <c r="I148" s="1093"/>
      <c r="J148" s="1093"/>
      <c r="K148" s="1093"/>
      <c r="L148" s="1093"/>
      <c r="M148" s="1093"/>
      <c r="N148" s="1093"/>
      <c r="O148" s="1093"/>
      <c r="P148" s="1093"/>
      <c r="Q148" s="1093"/>
      <c r="R148" s="1093"/>
      <c r="S148" s="1093"/>
      <c r="T148" s="1093"/>
    </row>
    <row r="149" spans="1:41" s="31" customFormat="1" ht="15" customHeight="1">
      <c r="B149" s="32"/>
      <c r="C149" s="32"/>
    </row>
    <row r="150" spans="1:41" s="31" customFormat="1" ht="15" customHeight="1">
      <c r="A150" s="31" t="s">
        <v>1472</v>
      </c>
      <c r="B150" s="32"/>
      <c r="C150" s="32"/>
    </row>
    <row r="151" spans="1:41" s="31" customFormat="1" ht="45" customHeight="1">
      <c r="A151" s="31" t="s">
        <v>848</v>
      </c>
      <c r="B151" s="32"/>
      <c r="C151" s="1093" t="s">
        <v>1506</v>
      </c>
      <c r="D151" s="1093"/>
      <c r="E151" s="1093"/>
      <c r="F151" s="1093"/>
      <c r="G151" s="1093"/>
      <c r="H151" s="1093"/>
      <c r="I151" s="1093"/>
      <c r="J151" s="1093"/>
      <c r="K151" s="1093"/>
      <c r="L151" s="1093"/>
      <c r="M151" s="1093"/>
      <c r="N151" s="1093"/>
      <c r="O151" s="1093"/>
      <c r="P151" s="1093"/>
      <c r="Q151" s="1093"/>
      <c r="R151" s="1093"/>
      <c r="S151" s="1093"/>
      <c r="T151" s="1093"/>
      <c r="X151" s="196"/>
    </row>
    <row r="152" spans="1:41" s="31" customFormat="1" ht="60" customHeight="1">
      <c r="B152" s="32" t="s">
        <v>725</v>
      </c>
      <c r="C152" s="1093" t="s">
        <v>1474</v>
      </c>
      <c r="D152" s="1093"/>
      <c r="E152" s="1093"/>
      <c r="F152" s="1093"/>
      <c r="G152" s="1093"/>
      <c r="H152" s="1093"/>
      <c r="I152" s="1093"/>
      <c r="J152" s="1093"/>
      <c r="K152" s="1093"/>
      <c r="L152" s="1093"/>
      <c r="M152" s="1093"/>
      <c r="N152" s="1093"/>
      <c r="O152" s="1093"/>
      <c r="P152" s="1093"/>
      <c r="Q152" s="1093"/>
      <c r="R152" s="1093"/>
      <c r="S152" s="1093"/>
      <c r="T152" s="1093"/>
    </row>
    <row r="153" spans="1:41" s="31" customFormat="1" ht="15" customHeight="1">
      <c r="B153" s="32"/>
      <c r="C153" s="513"/>
      <c r="D153" s="513"/>
      <c r="E153" s="513"/>
      <c r="F153" s="513"/>
      <c r="G153" s="513"/>
      <c r="H153" s="513"/>
      <c r="I153" s="513"/>
      <c r="J153" s="513"/>
      <c r="K153" s="513"/>
      <c r="L153" s="513"/>
      <c r="M153" s="513"/>
      <c r="N153" s="513"/>
      <c r="O153" s="513"/>
      <c r="P153" s="513"/>
      <c r="Q153" s="513"/>
      <c r="R153" s="513"/>
      <c r="S153" s="513"/>
      <c r="T153" s="513"/>
    </row>
    <row r="154" spans="1:41" s="31" customFormat="1" ht="15" customHeight="1">
      <c r="A154" s="32" t="s">
        <v>1764</v>
      </c>
      <c r="B154" s="661"/>
      <c r="C154" s="661"/>
      <c r="D154" s="661"/>
      <c r="E154" s="661"/>
      <c r="F154" s="662"/>
      <c r="G154" s="662"/>
      <c r="H154" s="662"/>
      <c r="I154" s="662"/>
      <c r="J154" s="662"/>
      <c r="K154" s="662"/>
      <c r="L154" s="662"/>
      <c r="M154" s="662"/>
      <c r="N154" s="662"/>
      <c r="O154" s="662"/>
      <c r="P154" s="662"/>
      <c r="Q154" s="662"/>
      <c r="R154" s="662"/>
      <c r="S154" s="662"/>
      <c r="T154" s="73"/>
      <c r="U154" s="196"/>
      <c r="W154" s="196"/>
      <c r="X154" s="512"/>
      <c r="Y154" s="512"/>
    </row>
    <row r="155" spans="1:41" s="31" customFormat="1" ht="15" customHeight="1">
      <c r="A155" s="31" t="s">
        <v>851</v>
      </c>
      <c r="B155" s="32"/>
      <c r="C155" s="1018" t="s">
        <v>1794</v>
      </c>
      <c r="D155" s="1018"/>
      <c r="E155" s="1018"/>
      <c r="F155" s="1018"/>
      <c r="G155" s="1018"/>
      <c r="H155" s="1018"/>
      <c r="I155" s="1018"/>
      <c r="J155" s="1018"/>
      <c r="K155" s="1018"/>
      <c r="L155" s="1018"/>
      <c r="M155" s="1018"/>
      <c r="N155" s="1018"/>
      <c r="O155" s="1018"/>
      <c r="P155" s="1018"/>
      <c r="Q155" s="1018"/>
      <c r="R155" s="1018"/>
      <c r="S155" s="1018"/>
      <c r="T155" s="1018"/>
      <c r="V155" s="196"/>
      <c r="W155" s="33"/>
      <c r="X155" s="33"/>
      <c r="Y155" s="33"/>
      <c r="Z155" s="33"/>
      <c r="AA155" s="33"/>
      <c r="AB155" s="33"/>
      <c r="AC155" s="33"/>
      <c r="AD155" s="33"/>
      <c r="AE155" s="33"/>
      <c r="AF155" s="33"/>
      <c r="AG155" s="33"/>
      <c r="AH155" s="33"/>
      <c r="AI155" s="33"/>
      <c r="AJ155" s="33"/>
      <c r="AK155" s="33"/>
      <c r="AL155" s="33"/>
      <c r="AM155" s="33"/>
      <c r="AN155" s="33"/>
    </row>
    <row r="156" spans="1:41" s="31" customFormat="1" ht="15" customHeight="1">
      <c r="C156" s="1018"/>
      <c r="D156" s="1018"/>
      <c r="E156" s="1018"/>
      <c r="F156" s="1018"/>
      <c r="G156" s="1018"/>
      <c r="H156" s="1018"/>
      <c r="I156" s="1018"/>
      <c r="J156" s="1018"/>
      <c r="K156" s="1018"/>
      <c r="L156" s="1018"/>
      <c r="M156" s="1018"/>
      <c r="N156" s="1018"/>
      <c r="O156" s="1018"/>
      <c r="P156" s="1018"/>
      <c r="Q156" s="1018"/>
      <c r="R156" s="1018"/>
      <c r="S156" s="1018"/>
      <c r="T156" s="1018"/>
      <c r="W156" s="196"/>
    </row>
    <row r="157" spans="1:41" s="31" customFormat="1" ht="15" customHeight="1">
      <c r="A157" s="663"/>
      <c r="B157" s="717"/>
      <c r="C157" s="1018" t="s">
        <v>1835</v>
      </c>
      <c r="D157" s="1018"/>
      <c r="E157" s="1018"/>
      <c r="F157" s="1018"/>
      <c r="G157" s="1018"/>
      <c r="H157" s="1018"/>
      <c r="I157" s="1018"/>
      <c r="J157" s="1018"/>
      <c r="K157" s="1018"/>
      <c r="L157" s="1018"/>
      <c r="M157" s="1018"/>
      <c r="N157" s="1018"/>
      <c r="O157" s="1018"/>
      <c r="P157" s="1018"/>
      <c r="Q157" s="1018"/>
      <c r="R157" s="1018"/>
      <c r="S157" s="1018"/>
      <c r="T157" s="1018"/>
      <c r="V157" s="196"/>
      <c r="W157" s="33"/>
      <c r="X157" s="33"/>
      <c r="Y157" s="33"/>
      <c r="Z157" s="33"/>
      <c r="AA157" s="33"/>
      <c r="AB157" s="33"/>
      <c r="AC157" s="33"/>
      <c r="AD157" s="33"/>
      <c r="AE157" s="33"/>
      <c r="AF157" s="33"/>
      <c r="AG157" s="33"/>
      <c r="AH157" s="33"/>
      <c r="AI157" s="33"/>
      <c r="AJ157" s="33"/>
      <c r="AK157" s="33"/>
      <c r="AL157" s="33"/>
      <c r="AM157" s="33"/>
      <c r="AN157" s="33"/>
      <c r="AO157" s="33"/>
    </row>
    <row r="158" spans="1:41" s="31" customFormat="1" ht="15" customHeight="1">
      <c r="A158" s="663"/>
      <c r="B158" s="717"/>
      <c r="C158" s="1018"/>
      <c r="D158" s="1018"/>
      <c r="E158" s="1018"/>
      <c r="F158" s="1018"/>
      <c r="G158" s="1018"/>
      <c r="H158" s="1018"/>
      <c r="I158" s="1018"/>
      <c r="J158" s="1018"/>
      <c r="K158" s="1018"/>
      <c r="L158" s="1018"/>
      <c r="M158" s="1018"/>
      <c r="N158" s="1018"/>
      <c r="O158" s="1018"/>
      <c r="P158" s="1018"/>
      <c r="Q158" s="1018"/>
      <c r="R158" s="1018"/>
      <c r="S158" s="1018"/>
      <c r="T158" s="1018"/>
      <c r="V158" s="196"/>
      <c r="W158" s="33"/>
      <c r="X158" s="33"/>
      <c r="Y158" s="33"/>
      <c r="Z158" s="33"/>
      <c r="AA158" s="33"/>
      <c r="AB158" s="33"/>
      <c r="AC158" s="33"/>
      <c r="AD158" s="33"/>
      <c r="AE158" s="33"/>
      <c r="AF158" s="33"/>
      <c r="AG158" s="33"/>
      <c r="AH158" s="33"/>
      <c r="AI158" s="33"/>
      <c r="AJ158" s="33"/>
      <c r="AK158" s="33"/>
      <c r="AL158" s="33"/>
      <c r="AM158" s="33"/>
      <c r="AN158" s="33"/>
      <c r="AO158" s="33"/>
    </row>
    <row r="159" spans="1:41" s="31" customFormat="1" ht="15" customHeight="1">
      <c r="A159" s="663"/>
      <c r="C159" s="718" t="s">
        <v>1771</v>
      </c>
      <c r="D159" s="718"/>
      <c r="E159" s="718"/>
      <c r="F159" s="718"/>
      <c r="G159" s="718"/>
      <c r="H159" s="718"/>
      <c r="I159" s="718"/>
      <c r="J159" s="718"/>
      <c r="K159" s="718"/>
      <c r="L159" s="718"/>
      <c r="M159" s="718"/>
      <c r="N159" s="718"/>
      <c r="O159" s="718"/>
      <c r="P159" s="718"/>
      <c r="Q159" s="718"/>
      <c r="R159" s="718"/>
      <c r="S159" s="718"/>
      <c r="T159" s="713"/>
      <c r="V159" s="196"/>
      <c r="W159" s="33"/>
      <c r="X159" s="33"/>
      <c r="Y159" s="33"/>
      <c r="Z159" s="33"/>
      <c r="AA159" s="33"/>
      <c r="AB159" s="33"/>
      <c r="AC159" s="33"/>
      <c r="AD159" s="33"/>
      <c r="AE159" s="33"/>
      <c r="AF159" s="33"/>
      <c r="AG159" s="33"/>
      <c r="AH159" s="33"/>
      <c r="AI159" s="33"/>
      <c r="AJ159" s="33"/>
      <c r="AK159" s="33"/>
      <c r="AL159" s="33"/>
      <c r="AM159" s="33"/>
      <c r="AN159" s="33"/>
      <c r="AO159" s="33"/>
    </row>
    <row r="160" spans="1:41" s="31" customFormat="1" ht="15" customHeight="1">
      <c r="A160" s="663"/>
      <c r="B160" s="719"/>
      <c r="C160" s="1018" t="s">
        <v>1772</v>
      </c>
      <c r="D160" s="1018"/>
      <c r="E160" s="1018"/>
      <c r="F160" s="1018"/>
      <c r="G160" s="1018"/>
      <c r="H160" s="1018"/>
      <c r="I160" s="1018"/>
      <c r="J160" s="1018"/>
      <c r="K160" s="1018"/>
      <c r="L160" s="1018"/>
      <c r="M160" s="1018"/>
      <c r="N160" s="1018"/>
      <c r="O160" s="1018"/>
      <c r="P160" s="1018"/>
      <c r="Q160" s="1018"/>
      <c r="R160" s="1018"/>
      <c r="S160" s="1018"/>
      <c r="T160" s="1018"/>
      <c r="V160" s="196"/>
      <c r="W160" s="33"/>
      <c r="X160" s="33"/>
      <c r="Y160" s="33"/>
      <c r="Z160" s="33"/>
      <c r="AA160" s="33"/>
      <c r="AB160" s="33"/>
      <c r="AC160" s="33"/>
      <c r="AD160" s="33"/>
      <c r="AE160" s="33"/>
      <c r="AF160" s="33"/>
      <c r="AG160" s="33"/>
      <c r="AH160" s="33"/>
      <c r="AI160" s="33"/>
      <c r="AJ160" s="33"/>
      <c r="AK160" s="33"/>
      <c r="AL160" s="33"/>
      <c r="AM160" s="33"/>
      <c r="AN160" s="33"/>
      <c r="AO160" s="33"/>
    </row>
    <row r="161" spans="1:41" s="31" customFormat="1" ht="15" customHeight="1">
      <c r="A161" s="663"/>
      <c r="B161" s="719"/>
      <c r="C161" s="1018"/>
      <c r="D161" s="1018"/>
      <c r="E161" s="1018"/>
      <c r="F161" s="1018"/>
      <c r="G161" s="1018"/>
      <c r="H161" s="1018"/>
      <c r="I161" s="1018"/>
      <c r="J161" s="1018"/>
      <c r="K161" s="1018"/>
      <c r="L161" s="1018"/>
      <c r="M161" s="1018"/>
      <c r="N161" s="1018"/>
      <c r="O161" s="1018"/>
      <c r="P161" s="1018"/>
      <c r="Q161" s="1018"/>
      <c r="R161" s="1018"/>
      <c r="S161" s="1018"/>
      <c r="T161" s="1018"/>
      <c r="V161" s="196"/>
      <c r="W161" s="33"/>
      <c r="X161" s="33"/>
      <c r="Y161" s="33"/>
      <c r="Z161" s="33"/>
      <c r="AA161" s="33"/>
      <c r="AB161" s="33"/>
      <c r="AC161" s="33"/>
      <c r="AD161" s="33"/>
      <c r="AE161" s="33"/>
      <c r="AF161" s="33"/>
      <c r="AG161" s="33"/>
      <c r="AH161" s="33"/>
      <c r="AI161" s="33"/>
      <c r="AJ161" s="33"/>
      <c r="AK161" s="33"/>
      <c r="AL161" s="33"/>
      <c r="AM161" s="33"/>
      <c r="AN161" s="33"/>
      <c r="AO161" s="33"/>
    </row>
    <row r="162" spans="1:41" s="31" customFormat="1" ht="15" customHeight="1">
      <c r="A162" s="663"/>
      <c r="B162" s="719"/>
      <c r="C162" s="1018" t="s">
        <v>1830</v>
      </c>
      <c r="D162" s="1019"/>
      <c r="E162" s="1019"/>
      <c r="F162" s="1019"/>
      <c r="G162" s="1019"/>
      <c r="H162" s="1019"/>
      <c r="I162" s="1019"/>
      <c r="J162" s="1019"/>
      <c r="K162" s="1019"/>
      <c r="L162" s="1019"/>
      <c r="M162" s="1019"/>
      <c r="N162" s="1019"/>
      <c r="O162" s="1019"/>
      <c r="P162" s="1019"/>
      <c r="Q162" s="1019"/>
      <c r="R162" s="1019"/>
      <c r="S162" s="1019"/>
      <c r="T162" s="1019"/>
      <c r="V162" s="196"/>
      <c r="W162" s="33"/>
      <c r="X162" s="33"/>
      <c r="Y162" s="33"/>
      <c r="Z162" s="33"/>
      <c r="AA162" s="33"/>
      <c r="AB162" s="33"/>
      <c r="AC162" s="33"/>
      <c r="AD162" s="33"/>
      <c r="AE162" s="33"/>
      <c r="AF162" s="33"/>
      <c r="AG162" s="33"/>
      <c r="AH162" s="33"/>
      <c r="AI162" s="33"/>
      <c r="AJ162" s="33"/>
      <c r="AK162" s="33"/>
      <c r="AL162" s="33"/>
      <c r="AM162" s="33"/>
      <c r="AN162" s="33"/>
      <c r="AO162" s="33"/>
    </row>
    <row r="163" spans="1:41" s="31" customFormat="1" ht="15" customHeight="1">
      <c r="A163" s="663"/>
      <c r="B163" s="719"/>
      <c r="C163" s="1019"/>
      <c r="D163" s="1019"/>
      <c r="E163" s="1019"/>
      <c r="F163" s="1019"/>
      <c r="G163" s="1019"/>
      <c r="H163" s="1019"/>
      <c r="I163" s="1019"/>
      <c r="J163" s="1019"/>
      <c r="K163" s="1019"/>
      <c r="L163" s="1019"/>
      <c r="M163" s="1019"/>
      <c r="N163" s="1019"/>
      <c r="O163" s="1019"/>
      <c r="P163" s="1019"/>
      <c r="Q163" s="1019"/>
      <c r="R163" s="1019"/>
      <c r="S163" s="1019"/>
      <c r="T163" s="1019"/>
      <c r="V163" s="196"/>
      <c r="W163" s="33"/>
      <c r="X163" s="33"/>
      <c r="Y163" s="33"/>
      <c r="Z163" s="33"/>
      <c r="AA163" s="33"/>
      <c r="AB163" s="33"/>
      <c r="AC163" s="33"/>
      <c r="AD163" s="33"/>
      <c r="AE163" s="33"/>
      <c r="AF163" s="33"/>
      <c r="AG163" s="33"/>
      <c r="AH163" s="33"/>
      <c r="AI163" s="33"/>
      <c r="AJ163" s="33"/>
      <c r="AK163" s="33"/>
      <c r="AL163" s="33"/>
      <c r="AM163" s="33"/>
      <c r="AN163" s="33"/>
      <c r="AO163" s="33"/>
    </row>
    <row r="164" spans="1:41" s="31" customFormat="1" ht="15" customHeight="1">
      <c r="A164" s="665"/>
      <c r="B164" s="718"/>
      <c r="C164" s="1018" t="s">
        <v>1789</v>
      </c>
      <c r="D164" s="1018"/>
      <c r="E164" s="1018"/>
      <c r="F164" s="1018"/>
      <c r="G164" s="1018"/>
      <c r="H164" s="1018"/>
      <c r="I164" s="1018"/>
      <c r="J164" s="1018"/>
      <c r="K164" s="1018"/>
      <c r="L164" s="1018"/>
      <c r="M164" s="1018"/>
      <c r="N164" s="1018"/>
      <c r="O164" s="1018"/>
      <c r="P164" s="1018"/>
      <c r="Q164" s="1018"/>
      <c r="R164" s="1018"/>
      <c r="S164" s="1018"/>
      <c r="T164" s="1018"/>
      <c r="V164" s="196"/>
      <c r="W164" s="33"/>
      <c r="X164" s="33"/>
      <c r="Y164" s="33"/>
      <c r="Z164" s="33"/>
      <c r="AA164" s="33"/>
      <c r="AB164" s="33"/>
      <c r="AC164" s="33"/>
      <c r="AD164" s="33"/>
      <c r="AE164" s="33"/>
      <c r="AF164" s="33"/>
      <c r="AG164" s="33"/>
      <c r="AH164" s="33"/>
      <c r="AI164" s="33"/>
      <c r="AJ164" s="33"/>
      <c r="AK164" s="33"/>
      <c r="AL164" s="33"/>
      <c r="AM164" s="33"/>
      <c r="AN164" s="33"/>
      <c r="AO164" s="33"/>
    </row>
    <row r="165" spans="1:41" s="31" customFormat="1" ht="15" customHeight="1">
      <c r="A165" s="665"/>
      <c r="B165" s="718"/>
      <c r="C165" s="1018"/>
      <c r="D165" s="1018"/>
      <c r="E165" s="1018"/>
      <c r="F165" s="1018"/>
      <c r="G165" s="1018"/>
      <c r="H165" s="1018"/>
      <c r="I165" s="1018"/>
      <c r="J165" s="1018"/>
      <c r="K165" s="1018"/>
      <c r="L165" s="1018"/>
      <c r="M165" s="1018"/>
      <c r="N165" s="1018"/>
      <c r="O165" s="1018"/>
      <c r="P165" s="1018"/>
      <c r="Q165" s="1018"/>
      <c r="R165" s="1018"/>
      <c r="S165" s="1018"/>
      <c r="T165" s="1018"/>
      <c r="V165" s="196"/>
      <c r="W165" s="33"/>
      <c r="X165" s="33"/>
      <c r="Y165" s="33"/>
      <c r="Z165" s="33"/>
      <c r="AA165" s="33"/>
      <c r="AB165" s="33"/>
      <c r="AC165" s="33"/>
      <c r="AD165" s="33"/>
      <c r="AE165" s="33"/>
      <c r="AF165" s="33"/>
      <c r="AG165" s="33"/>
      <c r="AH165" s="33"/>
      <c r="AI165" s="33"/>
      <c r="AJ165" s="33"/>
      <c r="AK165" s="33"/>
      <c r="AL165" s="33"/>
      <c r="AM165" s="33"/>
      <c r="AN165" s="33"/>
      <c r="AO165" s="33"/>
    </row>
    <row r="166" spans="1:41" s="31" customFormat="1" ht="15" customHeight="1">
      <c r="A166" s="32"/>
      <c r="B166" s="664" t="s">
        <v>1902</v>
      </c>
      <c r="C166" s="1020" t="s">
        <v>1836</v>
      </c>
      <c r="D166" s="1020"/>
      <c r="E166" s="1020"/>
      <c r="F166" s="1020"/>
      <c r="G166" s="1020"/>
      <c r="H166" s="1020"/>
      <c r="I166" s="1020"/>
      <c r="J166" s="1020"/>
      <c r="K166" s="1020"/>
      <c r="L166" s="1020"/>
      <c r="M166" s="1020"/>
      <c r="N166" s="1020"/>
      <c r="O166" s="1020"/>
      <c r="P166" s="1020"/>
      <c r="Q166" s="1020"/>
      <c r="R166" s="1020"/>
      <c r="S166" s="1020"/>
      <c r="T166" s="1020"/>
      <c r="W166" s="196"/>
      <c r="X166" s="196"/>
      <c r="Y166" s="512"/>
      <c r="Z166" s="512"/>
    </row>
    <row r="167" spans="1:41" s="31" customFormat="1" ht="15" customHeight="1">
      <c r="A167" s="32"/>
      <c r="B167" s="664"/>
      <c r="C167" s="1020"/>
      <c r="D167" s="1020"/>
      <c r="E167" s="1020"/>
      <c r="F167" s="1020"/>
      <c r="G167" s="1020"/>
      <c r="H167" s="1020"/>
      <c r="I167" s="1020"/>
      <c r="J167" s="1020"/>
      <c r="K167" s="1020"/>
      <c r="L167" s="1020"/>
      <c r="M167" s="1020"/>
      <c r="N167" s="1020"/>
      <c r="O167" s="1020"/>
      <c r="P167" s="1020"/>
      <c r="Q167" s="1020"/>
      <c r="R167" s="1020"/>
      <c r="S167" s="1020"/>
      <c r="T167" s="1020"/>
      <c r="W167" s="196"/>
      <c r="X167" s="196"/>
      <c r="Y167" s="512"/>
      <c r="Z167" s="512"/>
    </row>
    <row r="168" spans="1:41" s="31" customFormat="1" ht="15" customHeight="1">
      <c r="A168" s="32"/>
      <c r="B168" s="664" t="s">
        <v>741</v>
      </c>
      <c r="C168" s="1020" t="s">
        <v>1790</v>
      </c>
      <c r="D168" s="1020"/>
      <c r="E168" s="1020"/>
      <c r="F168" s="1020"/>
      <c r="G168" s="1020"/>
      <c r="H168" s="1020"/>
      <c r="I168" s="1020"/>
      <c r="J168" s="1020"/>
      <c r="K168" s="1020"/>
      <c r="L168" s="1020"/>
      <c r="M168" s="1020"/>
      <c r="N168" s="1020"/>
      <c r="O168" s="1020"/>
      <c r="P168" s="1020"/>
      <c r="Q168" s="1020"/>
      <c r="R168" s="1020"/>
      <c r="S168" s="1020"/>
      <c r="T168" s="1020"/>
      <c r="W168" s="196"/>
      <c r="X168" s="196"/>
      <c r="Y168" s="512"/>
      <c r="Z168" s="512"/>
    </row>
    <row r="169" spans="1:41" s="31" customFormat="1" ht="15" customHeight="1">
      <c r="A169" s="32"/>
      <c r="B169" s="664"/>
      <c r="C169" s="1020"/>
      <c r="D169" s="1020"/>
      <c r="E169" s="1020"/>
      <c r="F169" s="1020"/>
      <c r="G169" s="1020"/>
      <c r="H169" s="1020"/>
      <c r="I169" s="1020"/>
      <c r="J169" s="1020"/>
      <c r="K169" s="1020"/>
      <c r="L169" s="1020"/>
      <c r="M169" s="1020"/>
      <c r="N169" s="1020"/>
      <c r="O169" s="1020"/>
      <c r="P169" s="1020"/>
      <c r="Q169" s="1020"/>
      <c r="R169" s="1020"/>
      <c r="S169" s="1020"/>
      <c r="T169" s="1020"/>
      <c r="W169" s="196"/>
      <c r="X169" s="196"/>
      <c r="Y169" s="512"/>
      <c r="Z169" s="512"/>
    </row>
    <row r="170" spans="1:41" s="31" customFormat="1" ht="15" customHeight="1">
      <c r="A170" s="32"/>
      <c r="B170" s="664"/>
      <c r="C170" s="1020"/>
      <c r="D170" s="1020"/>
      <c r="E170" s="1020"/>
      <c r="F170" s="1020"/>
      <c r="G170" s="1020"/>
      <c r="H170" s="1020"/>
      <c r="I170" s="1020"/>
      <c r="J170" s="1020"/>
      <c r="K170" s="1020"/>
      <c r="L170" s="1020"/>
      <c r="M170" s="1020"/>
      <c r="N170" s="1020"/>
      <c r="O170" s="1020"/>
      <c r="P170" s="1020"/>
      <c r="Q170" s="1020"/>
      <c r="R170" s="1020"/>
      <c r="S170" s="1020"/>
      <c r="T170" s="1020"/>
      <c r="W170" s="196"/>
      <c r="X170" s="196"/>
      <c r="Y170" s="512"/>
      <c r="Z170" s="512"/>
    </row>
    <row r="171" spans="1:41" s="31" customFormat="1" ht="15" customHeight="1">
      <c r="A171" s="665"/>
      <c r="B171" s="664" t="s">
        <v>743</v>
      </c>
      <c r="C171" s="1018" t="s">
        <v>1791</v>
      </c>
      <c r="D171" s="1018"/>
      <c r="E171" s="1018"/>
      <c r="F171" s="1018"/>
      <c r="G171" s="1018"/>
      <c r="H171" s="1018"/>
      <c r="I171" s="1018"/>
      <c r="J171" s="1018"/>
      <c r="K171" s="1018"/>
      <c r="L171" s="1018"/>
      <c r="M171" s="1018"/>
      <c r="N171" s="1018"/>
      <c r="O171" s="1018"/>
      <c r="P171" s="1018"/>
      <c r="Q171" s="1018"/>
      <c r="R171" s="1018"/>
      <c r="S171" s="1018"/>
      <c r="T171" s="1018"/>
      <c r="V171" s="196"/>
      <c r="W171" s="33"/>
      <c r="X171" s="33"/>
      <c r="Y171" s="33"/>
      <c r="Z171" s="33"/>
      <c r="AA171" s="33"/>
      <c r="AB171" s="33"/>
      <c r="AC171" s="33"/>
      <c r="AD171" s="33"/>
      <c r="AE171" s="33"/>
      <c r="AF171" s="33"/>
      <c r="AG171" s="33"/>
      <c r="AH171" s="33"/>
      <c r="AI171" s="33"/>
      <c r="AJ171" s="33"/>
      <c r="AK171" s="33"/>
      <c r="AL171" s="33"/>
      <c r="AM171" s="33"/>
      <c r="AN171" s="33"/>
      <c r="AO171" s="33"/>
    </row>
    <row r="172" spans="1:41" s="31" customFormat="1" ht="15" customHeight="1">
      <c r="A172" s="665"/>
      <c r="B172" s="718"/>
      <c r="C172" s="1018"/>
      <c r="D172" s="1018"/>
      <c r="E172" s="1018"/>
      <c r="F172" s="1018"/>
      <c r="G172" s="1018"/>
      <c r="H172" s="1018"/>
      <c r="I172" s="1018"/>
      <c r="J172" s="1018"/>
      <c r="K172" s="1018"/>
      <c r="L172" s="1018"/>
      <c r="M172" s="1018"/>
      <c r="N172" s="1018"/>
      <c r="O172" s="1018"/>
      <c r="P172" s="1018"/>
      <c r="Q172" s="1018"/>
      <c r="R172" s="1018"/>
      <c r="S172" s="1018"/>
      <c r="T172" s="1018"/>
      <c r="V172" s="196"/>
      <c r="W172" s="33"/>
      <c r="X172" s="33"/>
      <c r="Y172" s="33"/>
      <c r="Z172" s="33"/>
      <c r="AA172" s="33"/>
      <c r="AB172" s="33"/>
      <c r="AC172" s="33"/>
      <c r="AD172" s="33"/>
      <c r="AE172" s="33"/>
      <c r="AF172" s="33"/>
      <c r="AG172" s="33"/>
      <c r="AH172" s="33"/>
      <c r="AI172" s="33"/>
      <c r="AJ172" s="33"/>
      <c r="AK172" s="33"/>
      <c r="AL172" s="33"/>
      <c r="AM172" s="33"/>
      <c r="AN172" s="33"/>
      <c r="AO172" s="33"/>
    </row>
    <row r="173" spans="1:41" s="31" customFormat="1" ht="15" customHeight="1">
      <c r="B173" s="32"/>
      <c r="C173" s="32"/>
    </row>
    <row r="174" spans="1:41" s="31" customFormat="1" ht="15" customHeight="1">
      <c r="A174" s="31" t="s">
        <v>1475</v>
      </c>
      <c r="B174" s="32"/>
      <c r="C174" s="32"/>
    </row>
    <row r="175" spans="1:41" s="31" customFormat="1" ht="60" customHeight="1">
      <c r="A175" s="31" t="s">
        <v>1605</v>
      </c>
      <c r="B175" s="32"/>
      <c r="C175" s="1093" t="s">
        <v>1714</v>
      </c>
      <c r="D175" s="1093"/>
      <c r="E175" s="1093"/>
      <c r="F175" s="1093"/>
      <c r="G175" s="1093"/>
      <c r="H175" s="1093"/>
      <c r="I175" s="1093"/>
      <c r="J175" s="1093"/>
      <c r="K175" s="1093"/>
      <c r="L175" s="1093"/>
      <c r="M175" s="1093"/>
      <c r="N175" s="1093"/>
      <c r="O175" s="1093"/>
      <c r="P175" s="1093"/>
      <c r="Q175" s="1093"/>
      <c r="R175" s="1093"/>
      <c r="S175" s="1093"/>
      <c r="T175" s="1093"/>
    </row>
    <row r="176" spans="1:41" s="31" customFormat="1" ht="15" customHeight="1">
      <c r="B176" s="32" t="s">
        <v>725</v>
      </c>
      <c r="C176" s="32" t="s">
        <v>1476</v>
      </c>
    </row>
    <row r="177" spans="1:24" s="31" customFormat="1" ht="15" customHeight="1">
      <c r="B177" s="32"/>
      <c r="C177" s="32"/>
    </row>
    <row r="178" spans="1:24" s="31" customFormat="1" ht="15" customHeight="1">
      <c r="A178" s="31" t="s">
        <v>1477</v>
      </c>
      <c r="B178" s="32"/>
      <c r="C178" s="32"/>
    </row>
    <row r="179" spans="1:24" s="31" customFormat="1" ht="15" customHeight="1">
      <c r="A179" s="31" t="s">
        <v>1792</v>
      </c>
      <c r="B179" s="32"/>
      <c r="C179" s="1013" t="s">
        <v>1478</v>
      </c>
      <c r="D179" s="1013"/>
      <c r="E179" s="1013"/>
      <c r="F179" s="1013"/>
      <c r="G179" s="1013"/>
      <c r="H179" s="1013"/>
      <c r="I179" s="1013"/>
      <c r="J179" s="1013"/>
      <c r="K179" s="1013"/>
      <c r="L179" s="1013"/>
      <c r="M179" s="1013"/>
      <c r="N179" s="1013"/>
      <c r="O179" s="1013"/>
      <c r="P179" s="1013"/>
      <c r="Q179" s="1013"/>
      <c r="R179" s="1013"/>
      <c r="S179" s="1013"/>
      <c r="T179" s="1013"/>
    </row>
    <row r="180" spans="1:24" s="31" customFormat="1" ht="15" customHeight="1">
      <c r="B180" s="32"/>
      <c r="C180" s="1013"/>
      <c r="D180" s="1013"/>
      <c r="E180" s="1013"/>
      <c r="F180" s="1013"/>
      <c r="G180" s="1013"/>
      <c r="H180" s="1013"/>
      <c r="I180" s="1013"/>
      <c r="J180" s="1013"/>
      <c r="K180" s="1013"/>
      <c r="L180" s="1013"/>
      <c r="M180" s="1013"/>
      <c r="N180" s="1013"/>
      <c r="O180" s="1013"/>
      <c r="P180" s="1013"/>
      <c r="Q180" s="1013"/>
      <c r="R180" s="1013"/>
      <c r="S180" s="1013"/>
      <c r="T180" s="1013"/>
      <c r="X180" s="33"/>
    </row>
    <row r="181" spans="1:24" s="31" customFormat="1" ht="15" customHeight="1">
      <c r="B181" s="32"/>
      <c r="C181" s="1013"/>
      <c r="D181" s="1013"/>
      <c r="E181" s="1013"/>
      <c r="F181" s="1013"/>
      <c r="G181" s="1013"/>
      <c r="H181" s="1013"/>
      <c r="I181" s="1013"/>
      <c r="J181" s="1013"/>
      <c r="K181" s="1013"/>
      <c r="L181" s="1013"/>
      <c r="M181" s="1013"/>
      <c r="N181" s="1013"/>
      <c r="O181" s="1013"/>
      <c r="P181" s="1013"/>
      <c r="Q181" s="1013"/>
      <c r="R181" s="1013"/>
      <c r="S181" s="1013"/>
      <c r="T181" s="1013"/>
      <c r="X181" s="33"/>
    </row>
    <row r="182" spans="1:24" s="31" customFormat="1" ht="15" customHeight="1">
      <c r="B182" s="32"/>
      <c r="C182" s="1013"/>
      <c r="D182" s="1013"/>
      <c r="E182" s="1013"/>
      <c r="F182" s="1013"/>
      <c r="G182" s="1013"/>
      <c r="H182" s="1013"/>
      <c r="I182" s="1013"/>
      <c r="J182" s="1013"/>
      <c r="K182" s="1013"/>
      <c r="L182" s="1013"/>
      <c r="M182" s="1013"/>
      <c r="N182" s="1013"/>
      <c r="O182" s="1013"/>
      <c r="P182" s="1013"/>
      <c r="Q182" s="1013"/>
      <c r="R182" s="1013"/>
      <c r="S182" s="1013"/>
      <c r="T182" s="1013"/>
      <c r="X182" s="33"/>
    </row>
    <row r="183" spans="1:24" s="31" customFormat="1" ht="15" customHeight="1">
      <c r="B183" s="32"/>
      <c r="C183" s="512"/>
      <c r="D183" s="512"/>
      <c r="E183" s="512"/>
      <c r="F183" s="512"/>
      <c r="G183" s="512"/>
      <c r="H183" s="512"/>
      <c r="I183" s="512"/>
      <c r="J183" s="512"/>
      <c r="K183" s="512"/>
      <c r="L183" s="512"/>
      <c r="M183" s="512"/>
      <c r="N183" s="512"/>
      <c r="O183" s="512"/>
      <c r="P183" s="512"/>
      <c r="Q183" s="512"/>
      <c r="R183" s="512"/>
      <c r="S183" s="512"/>
      <c r="T183" s="512"/>
    </row>
    <row r="184" spans="1:24" s="31" customFormat="1" ht="15" customHeight="1">
      <c r="A184" s="31" t="s">
        <v>1356</v>
      </c>
      <c r="B184" s="32"/>
      <c r="C184" s="32"/>
    </row>
    <row r="185" spans="1:24" s="31" customFormat="1" ht="30" customHeight="1">
      <c r="A185" s="31" t="s">
        <v>1703</v>
      </c>
      <c r="B185" s="32"/>
      <c r="C185" s="1093" t="s">
        <v>1480</v>
      </c>
      <c r="D185" s="1093"/>
      <c r="E185" s="1093"/>
      <c r="F185" s="1093"/>
      <c r="G185" s="1093"/>
      <c r="H185" s="1093"/>
      <c r="I185" s="1093"/>
      <c r="J185" s="1093"/>
      <c r="K185" s="1093"/>
      <c r="L185" s="1093"/>
      <c r="M185" s="1093"/>
      <c r="N185" s="1093"/>
      <c r="O185" s="1093"/>
      <c r="P185" s="1093"/>
      <c r="Q185" s="1093"/>
      <c r="R185" s="1093"/>
      <c r="S185" s="1093"/>
      <c r="T185" s="1093"/>
    </row>
    <row r="186" spans="1:24" s="31" customFormat="1" ht="15" customHeight="1">
      <c r="B186" s="1233" t="s">
        <v>745</v>
      </c>
      <c r="C186" s="1233"/>
      <c r="D186" s="31" t="s">
        <v>1481</v>
      </c>
      <c r="H186" s="31" t="s">
        <v>1482</v>
      </c>
    </row>
    <row r="187" spans="1:24" s="31" customFormat="1" ht="15" customHeight="1">
      <c r="B187" s="1227" t="s">
        <v>747</v>
      </c>
      <c r="C187" s="1227"/>
      <c r="D187" s="31" t="s">
        <v>1483</v>
      </c>
      <c r="H187" s="31" t="s">
        <v>1484</v>
      </c>
    </row>
    <row r="188" spans="1:24" s="31" customFormat="1" ht="15" customHeight="1">
      <c r="B188" s="1227" t="s">
        <v>775</v>
      </c>
      <c r="C188" s="1227"/>
      <c r="D188" s="31" t="s">
        <v>1485</v>
      </c>
      <c r="H188" s="31" t="s">
        <v>1486</v>
      </c>
    </row>
    <row r="189" spans="1:24" s="31" customFormat="1" ht="60" customHeight="1">
      <c r="B189" s="32" t="s">
        <v>725</v>
      </c>
      <c r="C189" s="1093" t="s">
        <v>1487</v>
      </c>
      <c r="D189" s="1093"/>
      <c r="E189" s="1093"/>
      <c r="F189" s="1093"/>
      <c r="G189" s="1093"/>
      <c r="H189" s="1093"/>
      <c r="I189" s="1093"/>
      <c r="J189" s="1093"/>
      <c r="K189" s="1093"/>
      <c r="L189" s="1093"/>
      <c r="M189" s="1093"/>
      <c r="N189" s="1093"/>
      <c r="O189" s="1093"/>
      <c r="P189" s="1093"/>
      <c r="Q189" s="1093"/>
      <c r="R189" s="1093"/>
      <c r="S189" s="1093"/>
      <c r="T189" s="1093"/>
    </row>
    <row r="190" spans="1:24" s="31" customFormat="1" ht="30" customHeight="1">
      <c r="B190" s="32" t="s">
        <v>741</v>
      </c>
      <c r="C190" s="1093" t="s">
        <v>1488</v>
      </c>
      <c r="D190" s="1093"/>
      <c r="E190" s="1093"/>
      <c r="F190" s="1093"/>
      <c r="G190" s="1093"/>
      <c r="H190" s="1093"/>
      <c r="I190" s="1093"/>
      <c r="J190" s="1093"/>
      <c r="K190" s="1093"/>
      <c r="L190" s="1093"/>
      <c r="M190" s="1093"/>
      <c r="N190" s="1093"/>
      <c r="O190" s="1093"/>
      <c r="P190" s="1093"/>
      <c r="Q190" s="1093"/>
      <c r="R190" s="1093"/>
      <c r="S190" s="1093"/>
      <c r="T190" s="1093"/>
    </row>
    <row r="191" spans="1:24" s="31" customFormat="1" ht="30" customHeight="1">
      <c r="B191" s="32" t="s">
        <v>743</v>
      </c>
      <c r="C191" s="1013" t="str">
        <f>"　この規程の定める事項の他、運営に関する重要事項は、"&amp;【マスター】!C22&amp;"と事業所の管理者との協議に基づき定めるものとする。"</f>
        <v>　この規程の定める事項の他、運営に関する重要事項は、株式会社ケアサポートと事業所の管理者との協議に基づき定めるものとする。</v>
      </c>
      <c r="D191" s="1013"/>
      <c r="E191" s="1013"/>
      <c r="F191" s="1013"/>
      <c r="G191" s="1013"/>
      <c r="H191" s="1013"/>
      <c r="I191" s="1013"/>
      <c r="J191" s="1013"/>
      <c r="K191" s="1013"/>
      <c r="L191" s="1013"/>
      <c r="M191" s="1013"/>
      <c r="N191" s="1013"/>
      <c r="O191" s="1013"/>
      <c r="P191" s="1013"/>
      <c r="Q191" s="1013"/>
      <c r="R191" s="1013"/>
      <c r="S191" s="1013"/>
      <c r="T191" s="1013"/>
    </row>
    <row r="192" spans="1:24" s="31" customFormat="1" ht="15" customHeight="1">
      <c r="B192" s="32"/>
      <c r="C192" s="512"/>
      <c r="D192" s="512"/>
      <c r="E192" s="512"/>
      <c r="F192" s="512"/>
      <c r="G192" s="512"/>
      <c r="H192" s="512"/>
      <c r="I192" s="512"/>
      <c r="J192" s="512"/>
      <c r="K192" s="512"/>
      <c r="L192" s="512"/>
      <c r="M192" s="512"/>
      <c r="N192" s="512"/>
      <c r="O192" s="512"/>
      <c r="P192" s="512"/>
      <c r="Q192" s="512"/>
      <c r="R192" s="512"/>
      <c r="S192" s="512"/>
      <c r="T192" s="512"/>
    </row>
    <row r="193" spans="1:21" s="31" customFormat="1" ht="15" customHeight="1">
      <c r="A193" s="31" t="s">
        <v>1700</v>
      </c>
      <c r="B193" s="32"/>
      <c r="C193" s="32"/>
      <c r="U193" s="196"/>
    </row>
    <row r="194" spans="1:21" s="31" customFormat="1" ht="50.1" customHeight="1">
      <c r="A194" s="31" t="s">
        <v>1765</v>
      </c>
      <c r="B194" s="32"/>
      <c r="C194" s="1093" t="s">
        <v>1701</v>
      </c>
      <c r="D194" s="1093"/>
      <c r="E194" s="1093"/>
      <c r="F194" s="1093"/>
      <c r="G194" s="1093"/>
      <c r="H194" s="1093"/>
      <c r="I194" s="1093"/>
      <c r="J194" s="1093"/>
      <c r="K194" s="1093"/>
      <c r="L194" s="1093"/>
      <c r="M194" s="1093"/>
      <c r="N194" s="1093"/>
      <c r="O194" s="1093"/>
      <c r="P194" s="1093"/>
      <c r="Q194" s="1093"/>
      <c r="R194" s="1093"/>
      <c r="S194" s="1093"/>
      <c r="T194" s="1093"/>
    </row>
    <row r="195" spans="1:21" s="31" customFormat="1" ht="49.35" customHeight="1">
      <c r="B195" s="32" t="s">
        <v>725</v>
      </c>
      <c r="C195" s="1093" t="s">
        <v>1878</v>
      </c>
      <c r="D195" s="2123"/>
      <c r="E195" s="2123"/>
      <c r="F195" s="2123"/>
      <c r="G195" s="2123"/>
      <c r="H195" s="2123"/>
      <c r="I195" s="2123"/>
      <c r="J195" s="2123"/>
      <c r="K195" s="2123"/>
      <c r="L195" s="2123"/>
      <c r="M195" s="2123"/>
      <c r="N195" s="2123"/>
      <c r="O195" s="2123"/>
      <c r="P195" s="2123"/>
      <c r="Q195" s="2123"/>
      <c r="R195" s="2123"/>
      <c r="S195" s="2123"/>
      <c r="T195" s="2123"/>
    </row>
    <row r="196" spans="1:21" s="31" customFormat="1" ht="15" customHeight="1">
      <c r="B196" s="32" t="s">
        <v>741</v>
      </c>
      <c r="C196" s="2123" t="s">
        <v>1702</v>
      </c>
      <c r="D196" s="2123"/>
      <c r="E196" s="2123"/>
      <c r="F196" s="2123"/>
      <c r="G196" s="2123"/>
      <c r="H196" s="2123"/>
      <c r="I196" s="2123"/>
      <c r="J196" s="2123"/>
      <c r="K196" s="2123"/>
      <c r="L196" s="2123"/>
      <c r="M196" s="2123"/>
      <c r="N196" s="2123"/>
      <c r="O196" s="2123"/>
      <c r="P196" s="2123"/>
      <c r="Q196" s="2123"/>
      <c r="R196" s="2123"/>
      <c r="S196" s="2123"/>
      <c r="T196" s="2123"/>
    </row>
    <row r="197" spans="1:21" s="31" customFormat="1" ht="15" customHeight="1">
      <c r="B197" s="32" t="s">
        <v>743</v>
      </c>
      <c r="C197" s="1013" t="s">
        <v>1704</v>
      </c>
      <c r="D197" s="1013"/>
      <c r="E197" s="1013"/>
      <c r="F197" s="1013"/>
      <c r="G197" s="1013"/>
      <c r="H197" s="1013"/>
      <c r="I197" s="1013"/>
      <c r="J197" s="1013"/>
      <c r="K197" s="1013"/>
      <c r="L197" s="1013"/>
      <c r="M197" s="1013"/>
      <c r="N197" s="1013"/>
      <c r="O197" s="1013"/>
      <c r="P197" s="1013"/>
      <c r="Q197" s="1013"/>
      <c r="R197" s="1013"/>
      <c r="S197" s="1013"/>
      <c r="T197" s="1013"/>
    </row>
    <row r="198" spans="1:21" s="31" customFormat="1" ht="15" customHeight="1">
      <c r="B198" s="32"/>
      <c r="C198" s="1013"/>
      <c r="D198" s="1013"/>
      <c r="E198" s="1013"/>
      <c r="F198" s="1013"/>
      <c r="G198" s="1013"/>
      <c r="H198" s="1013"/>
      <c r="I198" s="1013"/>
      <c r="J198" s="1013"/>
      <c r="K198" s="1013"/>
      <c r="L198" s="1013"/>
      <c r="M198" s="1013"/>
      <c r="N198" s="1013"/>
      <c r="O198" s="1013"/>
      <c r="P198" s="1013"/>
      <c r="Q198" s="1013"/>
      <c r="R198" s="1013"/>
      <c r="S198" s="1013"/>
      <c r="T198" s="1013"/>
    </row>
    <row r="199" spans="1:21" s="31" customFormat="1" ht="15" customHeight="1">
      <c r="B199" s="32"/>
      <c r="C199" s="32"/>
    </row>
    <row r="200" spans="1:21" s="31" customFormat="1" ht="15" customHeight="1">
      <c r="A200" s="31" t="s">
        <v>1490</v>
      </c>
      <c r="B200" s="32"/>
      <c r="C200" s="32"/>
    </row>
    <row r="201" spans="1:21" s="31" customFormat="1" ht="15" customHeight="1">
      <c r="A201" s="3"/>
      <c r="B201" s="31" t="s">
        <v>1491</v>
      </c>
      <c r="C201" s="32"/>
      <c r="E201" s="165" t="str">
        <f>DBCS(【マスター】!D103)</f>
        <v>令和</v>
      </c>
      <c r="F201" s="166" t="str">
        <f>DBCS(【マスター】!E103)</f>
        <v>１</v>
      </c>
      <c r="G201" s="165" t="str">
        <f>DBCS(【マスター】!F103)</f>
        <v>年</v>
      </c>
      <c r="H201" s="166" t="str">
        <f>DBCS(【マスター】!G103)</f>
        <v>６</v>
      </c>
      <c r="I201" s="165" t="str">
        <f>DBCS(【マスター】!H103)</f>
        <v>月</v>
      </c>
      <c r="J201" s="166" t="str">
        <f>DBCS(【マスター】!I103)</f>
        <v>１</v>
      </c>
      <c r="K201" s="165" t="str">
        <f>DBCS(【マスター】!J103)</f>
        <v>日</v>
      </c>
      <c r="L201" s="31" t="s">
        <v>1492</v>
      </c>
      <c r="P201" s="3"/>
      <c r="Q201" s="3"/>
      <c r="R201" s="3"/>
      <c r="S201" s="3"/>
      <c r="T201" s="3"/>
    </row>
    <row r="202" spans="1:21" s="31" customFormat="1" ht="15" customHeight="1">
      <c r="A202" s="3"/>
      <c r="B202" s="83"/>
      <c r="C202" s="83"/>
      <c r="D202" s="3"/>
      <c r="E202" s="165" t="str">
        <f>DBCS(【マスター】!D105)</f>
        <v>令和</v>
      </c>
      <c r="F202" s="166" t="str">
        <f>DBCS(IF(【マスター】!D105="","",【マスター】!E105))</f>
        <v>１</v>
      </c>
      <c r="G202" s="165" t="str">
        <f>DBCS(IF(【マスター】!$D$105="","",【マスター】!F105))</f>
        <v>年</v>
      </c>
      <c r="H202" s="166" t="str">
        <f>DBCS(IF(【マスター】!$D$105="","",【マスター】!G105))</f>
        <v>８</v>
      </c>
      <c r="I202" s="165" t="str">
        <f>DBCS(IF(【マスター】!$D$105="","",【マスター】!H105))</f>
        <v>月</v>
      </c>
      <c r="J202" s="166" t="str">
        <f>DBCS(IF(【マスター】!$D$105="","",【マスター】!I105))</f>
        <v>１</v>
      </c>
      <c r="K202" s="165" t="str">
        <f>DBCS(IF(【マスター】!$D$105="","",【マスター】!J105))</f>
        <v>日</v>
      </c>
      <c r="L202" s="31" t="str">
        <f>IF(【マスター】!D105=0,"","改訂")</f>
        <v>改訂</v>
      </c>
      <c r="P202" s="3"/>
      <c r="Q202" s="3"/>
      <c r="R202" s="3"/>
      <c r="S202" s="3"/>
      <c r="T202" s="3"/>
    </row>
    <row r="203" spans="1:21" s="31" customFormat="1" ht="15" customHeight="1">
      <c r="A203" s="3"/>
      <c r="B203" s="83"/>
      <c r="C203" s="83"/>
      <c r="D203" s="3"/>
      <c r="E203" s="165" t="str">
        <f>DBCS(【マスター】!D106)</f>
        <v>令和</v>
      </c>
      <c r="F203" s="166" t="str">
        <f>DBCS(IF(【マスター】!D106="","",【マスター】!E106))</f>
        <v>２</v>
      </c>
      <c r="G203" s="165" t="str">
        <f>DBCS(IF(【マスター】!$D$105="","",【マスター】!F106))</f>
        <v>年</v>
      </c>
      <c r="H203" s="166" t="str">
        <f>DBCS(IF(【マスター】!$D$105="","",【マスター】!G106))</f>
        <v>１</v>
      </c>
      <c r="I203" s="165" t="str">
        <f>DBCS(IF(【マスター】!$D$105="","",【マスター】!H106))</f>
        <v>月</v>
      </c>
      <c r="J203" s="166" t="str">
        <f>DBCS(IF(【マスター】!$D$105="","",【マスター】!I106))</f>
        <v>１</v>
      </c>
      <c r="K203" s="165" t="str">
        <f>DBCS(IF(【マスター】!$D$105="","",【マスター】!J106))</f>
        <v>日</v>
      </c>
      <c r="L203" s="31" t="str">
        <f>IF(【マスター】!D106=0,"","改訂")</f>
        <v>改訂</v>
      </c>
      <c r="P203" s="3"/>
      <c r="Q203" s="3"/>
      <c r="R203" s="3"/>
      <c r="S203" s="3"/>
      <c r="T203" s="3"/>
    </row>
    <row r="204" spans="1:21" s="31" customFormat="1" ht="15" customHeight="1">
      <c r="A204" s="3"/>
      <c r="B204" s="83"/>
      <c r="C204" s="83"/>
      <c r="D204" s="3"/>
      <c r="E204" s="165" t="str">
        <f>DBCS(【マスター】!D107)</f>
        <v>令和</v>
      </c>
      <c r="F204" s="166" t="str">
        <f>DBCS(IF(【マスター】!D107="","",【マスター】!E107))</f>
        <v>２</v>
      </c>
      <c r="G204" s="165" t="str">
        <f>DBCS(IF(【マスター】!$D$105="","",【マスター】!F107))</f>
        <v>年</v>
      </c>
      <c r="H204" s="166" t="str">
        <f>DBCS(IF(【マスター】!$D$105="","",【マスター】!G107))</f>
        <v>３</v>
      </c>
      <c r="I204" s="165" t="str">
        <f>DBCS(IF(【マスター】!$D$105="","",【マスター】!H107))</f>
        <v>月</v>
      </c>
      <c r="J204" s="166" t="str">
        <f>DBCS(IF(【マスター】!$D$105="","",【マスター】!I107))</f>
        <v>１</v>
      </c>
      <c r="K204" s="165" t="str">
        <f>DBCS(IF(【マスター】!$D$105="","",【マスター】!J107))</f>
        <v>日</v>
      </c>
      <c r="L204" s="31" t="str">
        <f>IF(【マスター】!D107=0,"","改訂")</f>
        <v>改訂</v>
      </c>
      <c r="M204" s="3"/>
      <c r="N204" s="3"/>
      <c r="O204" s="3"/>
      <c r="P204" s="3"/>
      <c r="Q204" s="3"/>
      <c r="R204" s="3"/>
      <c r="S204" s="3"/>
      <c r="T204" s="3"/>
    </row>
    <row r="205" spans="1:21" s="31" customFormat="1" ht="15" customHeight="1">
      <c r="A205" s="3"/>
      <c r="B205" s="83"/>
      <c r="C205" s="83"/>
      <c r="D205" s="3"/>
      <c r="E205" s="165" t="str">
        <f>DBCS(【マスター】!D108)</f>
        <v>令和</v>
      </c>
      <c r="F205" s="166" t="str">
        <f>DBCS(IF(【マスター】!D108="","",【マスター】!E108))</f>
        <v>２</v>
      </c>
      <c r="G205" s="165" t="str">
        <f>DBCS(IF(【マスター】!$D$105="","",【マスター】!F108))</f>
        <v>年</v>
      </c>
      <c r="H205" s="166" t="str">
        <f>DBCS(IF(【マスター】!$D$105="","",【マスター】!G108))</f>
        <v>８</v>
      </c>
      <c r="I205" s="165" t="str">
        <f>DBCS(IF(【マスター】!$D$105="","",【マスター】!H108))</f>
        <v>月</v>
      </c>
      <c r="J205" s="166" t="str">
        <f>DBCS(IF(【マスター】!$D$105="","",【マスター】!I108))</f>
        <v>１</v>
      </c>
      <c r="K205" s="165" t="str">
        <f>DBCS(IF(【マスター】!$D$105="","",【マスター】!J108))</f>
        <v>日</v>
      </c>
      <c r="L205" s="31" t="str">
        <f>IF(【マスター】!D108=0,"","改訂")</f>
        <v>改訂</v>
      </c>
      <c r="M205" s="3"/>
      <c r="N205" s="3"/>
      <c r="O205" s="3"/>
      <c r="P205" s="3"/>
      <c r="Q205" s="3"/>
      <c r="R205" s="3"/>
      <c r="S205" s="3"/>
      <c r="T205" s="3"/>
    </row>
    <row r="206" spans="1:21" s="31" customFormat="1" ht="15" customHeight="1">
      <c r="A206" s="3"/>
      <c r="B206" s="83"/>
      <c r="C206" s="83"/>
      <c r="D206" s="3"/>
      <c r="E206" s="165" t="str">
        <f>DBCS(【マスター】!D109)</f>
        <v>令和</v>
      </c>
      <c r="F206" s="166" t="str">
        <f>DBCS(IF(【マスター】!D109="","",【マスター】!E109))</f>
        <v>２</v>
      </c>
      <c r="G206" s="165" t="str">
        <f>DBCS(IF(【マスター】!$D$105="","",【マスター】!F109))</f>
        <v>年</v>
      </c>
      <c r="H206" s="166" t="str">
        <f>DBCS(IF(【マスター】!$D$105="","",【マスター】!G109))</f>
        <v>１０</v>
      </c>
      <c r="I206" s="165" t="str">
        <f>DBCS(IF(【マスター】!$D$105="","",【マスター】!H109))</f>
        <v>月</v>
      </c>
      <c r="J206" s="166" t="str">
        <f>DBCS(IF(【マスター】!$D$105="","",【マスター】!I109))</f>
        <v>１</v>
      </c>
      <c r="K206" s="165" t="str">
        <f>DBCS(IF(【マスター】!$D$105="","",【マスター】!J109))</f>
        <v>日</v>
      </c>
      <c r="L206" s="31" t="str">
        <f>IF(【マスター】!D109=0,"","改訂")</f>
        <v>改訂</v>
      </c>
      <c r="M206" s="3"/>
      <c r="N206" s="3"/>
      <c r="O206" s="3"/>
      <c r="P206" s="3"/>
      <c r="Q206" s="3"/>
      <c r="R206" s="3"/>
      <c r="S206" s="3"/>
      <c r="T206" s="3"/>
    </row>
    <row r="207" spans="1:21" s="31" customFormat="1" ht="15" customHeight="1">
      <c r="A207" s="3"/>
      <c r="B207" s="83"/>
      <c r="C207" s="83"/>
      <c r="D207" s="3"/>
      <c r="E207" s="165" t="str">
        <f>DBCS(【マスター】!D110)</f>
        <v>令和</v>
      </c>
      <c r="F207" s="166" t="str">
        <f>DBCS(IF(【マスター】!D110="","",【マスター】!E110))</f>
        <v>４</v>
      </c>
      <c r="G207" s="165" t="str">
        <f>DBCS(IF(【マスター】!$D$105="","",【マスター】!F110))</f>
        <v>年</v>
      </c>
      <c r="H207" s="166" t="str">
        <f>DBCS(IF(【マスター】!$D$105="","",【マスター】!G110))</f>
        <v>８</v>
      </c>
      <c r="I207" s="165" t="str">
        <f>DBCS(IF(【マスター】!$D$105="","",【マスター】!H110))</f>
        <v>月</v>
      </c>
      <c r="J207" s="166" t="str">
        <f>DBCS(IF(【マスター】!$D$105="","",【マスター】!I110))</f>
        <v>１</v>
      </c>
      <c r="K207" s="165" t="str">
        <f>DBCS(IF(【マスター】!$D$105="","",【マスター】!J110))</f>
        <v>日</v>
      </c>
      <c r="L207" s="31" t="str">
        <f>IF(【マスター】!D110=0,"","改訂")</f>
        <v>改訂</v>
      </c>
      <c r="M207" s="3"/>
      <c r="N207" s="3"/>
      <c r="O207" s="3"/>
      <c r="P207" s="3"/>
      <c r="Q207" s="3"/>
      <c r="R207" s="3"/>
      <c r="S207" s="3"/>
      <c r="T207" s="3"/>
    </row>
    <row r="208" spans="1:21" s="31" customFormat="1" ht="15" customHeight="1">
      <c r="A208" s="3"/>
      <c r="B208" s="83"/>
      <c r="C208" s="83"/>
      <c r="D208" s="3"/>
      <c r="E208" s="165" t="str">
        <f>DBCS(【マスター】!D111)</f>
        <v>令和</v>
      </c>
      <c r="F208" s="166" t="str">
        <f>DBCS(IF(【マスター】!D111="","",【マスター】!E111))</f>
        <v>４</v>
      </c>
      <c r="G208" s="165" t="str">
        <f>DBCS(IF(【マスター】!$D$105="","",【マスター】!F111))</f>
        <v>年</v>
      </c>
      <c r="H208" s="166" t="str">
        <f>DBCS(IF(【マスター】!$D$105="","",【マスター】!G111))</f>
        <v>１０</v>
      </c>
      <c r="I208" s="165" t="str">
        <f>DBCS(IF(【マスター】!$D$105="","",【マスター】!H111))</f>
        <v>月</v>
      </c>
      <c r="J208" s="166" t="str">
        <f>DBCS(IF(【マスター】!$D$105="","",【マスター】!I111))</f>
        <v>１</v>
      </c>
      <c r="K208" s="165" t="str">
        <f>DBCS(IF(【マスター】!$D$105="","",【マスター】!J111))</f>
        <v>日</v>
      </c>
      <c r="L208" s="31" t="str">
        <f>IF(【マスター】!D111=0,"","改訂")</f>
        <v>改訂</v>
      </c>
      <c r="M208" s="3"/>
      <c r="N208" s="3"/>
      <c r="O208" s="3"/>
      <c r="P208" s="3"/>
      <c r="Q208" s="3"/>
      <c r="R208" s="3"/>
      <c r="S208" s="3"/>
      <c r="T208" s="3"/>
    </row>
    <row r="209" spans="1:20" s="31" customFormat="1" ht="15" customHeight="1">
      <c r="A209" s="3"/>
      <c r="B209" s="83"/>
      <c r="C209" s="83"/>
      <c r="D209" s="3"/>
      <c r="E209" s="165" t="str">
        <f>DBCS(【マスター】!D112)</f>
        <v>令和</v>
      </c>
      <c r="F209" s="166" t="str">
        <f>DBCS(IF(【マスター】!D112="","",【マスター】!E112))</f>
        <v>５</v>
      </c>
      <c r="G209" s="165" t="str">
        <f>DBCS(IF(【マスター】!$D$105="","",【マスター】!F112))</f>
        <v>年</v>
      </c>
      <c r="H209" s="166" t="str">
        <f>DBCS(IF(【マスター】!$D$105="","",【マスター】!G112))</f>
        <v>４</v>
      </c>
      <c r="I209" s="165" t="str">
        <f>DBCS(IF(【マスター】!$D$105="","",【マスター】!H112))</f>
        <v>月</v>
      </c>
      <c r="J209" s="166" t="str">
        <f>DBCS(IF(【マスター】!$D$105="","",【マスター】!I112))</f>
        <v>１</v>
      </c>
      <c r="K209" s="165" t="str">
        <f>DBCS(IF(【マスター】!$D$105="","",【マスター】!J112))</f>
        <v>日</v>
      </c>
      <c r="L209" s="31" t="str">
        <f>IF(【マスター】!D112=0,"","改訂")</f>
        <v>改訂</v>
      </c>
      <c r="M209" s="3"/>
      <c r="N209" s="3"/>
      <c r="O209" s="3"/>
      <c r="P209" s="3"/>
      <c r="Q209" s="3"/>
      <c r="R209" s="3"/>
      <c r="S209" s="3"/>
      <c r="T209" s="3"/>
    </row>
    <row r="210" spans="1:20" s="31" customFormat="1" ht="15" customHeight="1">
      <c r="A210" s="3"/>
      <c r="B210" s="83"/>
      <c r="C210" s="83"/>
      <c r="D210" s="3"/>
      <c r="E210" s="165" t="str">
        <f>DBCS(【マスター】!D113)</f>
        <v>令和</v>
      </c>
      <c r="F210" s="166" t="str">
        <f>DBCS(IF(【マスター】!D113="","",【マスター】!E113))</f>
        <v>６</v>
      </c>
      <c r="G210" s="165" t="str">
        <f>DBCS(IF(【マスター】!$D$105="","",【マスター】!F113))</f>
        <v>年</v>
      </c>
      <c r="H210" s="166" t="str">
        <f>DBCS(IF(【マスター】!$D$105="","",【マスター】!G113))</f>
        <v>４</v>
      </c>
      <c r="I210" s="165" t="str">
        <f>DBCS(IF(【マスター】!$D$105="","",【マスター】!H113))</f>
        <v>月</v>
      </c>
      <c r="J210" s="166" t="str">
        <f>DBCS(IF(【マスター】!$D$105="","",【マスター】!I113))</f>
        <v>１</v>
      </c>
      <c r="K210" s="165" t="str">
        <f>DBCS(IF(【マスター】!$D$105="","",【マスター】!J113))</f>
        <v>日</v>
      </c>
      <c r="L210" s="31" t="str">
        <f>IF(【マスター】!D113=0,"","改訂")</f>
        <v>改訂</v>
      </c>
      <c r="M210" s="3"/>
      <c r="N210" s="3"/>
      <c r="O210" s="3"/>
      <c r="P210" s="3"/>
      <c r="Q210" s="3"/>
      <c r="R210" s="3"/>
      <c r="S210" s="3"/>
      <c r="T210" s="3"/>
    </row>
    <row r="211" spans="1:20" s="31" customFormat="1" ht="15" customHeight="1">
      <c r="A211" s="3"/>
      <c r="B211" s="83"/>
      <c r="C211" s="83"/>
      <c r="D211" s="3"/>
      <c r="E211" s="165" t="str">
        <f>DBCS(【マスター】!D114)</f>
        <v>令和</v>
      </c>
      <c r="F211" s="166" t="str">
        <f>DBCS(IF(【マスター】!D114="","",【マスター】!E114))</f>
        <v>６</v>
      </c>
      <c r="G211" s="165" t="str">
        <f>DBCS(IF(【マスター】!$D$105="","",【マスター】!F114))</f>
        <v>年</v>
      </c>
      <c r="H211" s="166" t="e">
        <f>DBCS(IF(【マスター】!$D$105="","",【マスター】!#REF!))</f>
        <v>#REF!</v>
      </c>
      <c r="I211" s="165" t="str">
        <f>DBCS(IF(【マスター】!$D$105="","",【マスター】!H114))</f>
        <v>月</v>
      </c>
      <c r="J211" s="166" t="str">
        <f>DBCS(IF(【マスター】!$D$105="","",【マスター】!I114))</f>
        <v>１</v>
      </c>
      <c r="K211" s="165" t="str">
        <f>DBCS(IF(【マスター】!$D$105="","",【マスター】!J114))</f>
        <v>日</v>
      </c>
      <c r="L211" s="31" t="str">
        <f>IF(【マスター】!D114=0,"","改訂")</f>
        <v>改訂</v>
      </c>
      <c r="M211" s="3"/>
      <c r="N211" s="3"/>
      <c r="O211" s="3"/>
      <c r="P211" s="3"/>
      <c r="Q211" s="3"/>
      <c r="R211" s="3"/>
      <c r="S211" s="3"/>
      <c r="T211" s="3"/>
    </row>
    <row r="212" spans="1:20" s="31" customFormat="1" ht="15" customHeight="1">
      <c r="A212" s="3"/>
      <c r="B212" s="83"/>
      <c r="C212" s="83"/>
      <c r="D212" s="3"/>
      <c r="E212" s="165" t="str">
        <f>DBCS(【マスター】!D115)</f>
        <v>令和</v>
      </c>
      <c r="F212" s="166" t="str">
        <f>DBCS(IF(【マスター】!D115="","",【マスター】!E115))</f>
        <v>７</v>
      </c>
      <c r="G212" s="165" t="str">
        <f>DBCS(IF(【マスター】!$D$105="","",【マスター】!F115))</f>
        <v>年</v>
      </c>
      <c r="H212" s="166" t="str">
        <f>DBCS(IF(【マスター】!$D$105="","",【マスター】!G114))</f>
        <v>６</v>
      </c>
      <c r="I212" s="165" t="str">
        <f>DBCS(IF(【マスター】!$D$105="","",【マスター】!H115))</f>
        <v>月</v>
      </c>
      <c r="J212" s="166" t="str">
        <f>DBCS(IF(【マスター】!$D$105="","",【マスター】!I115))</f>
        <v>１</v>
      </c>
      <c r="K212" s="165" t="str">
        <f>DBCS(IF(【マスター】!$D$105="","",【マスター】!J115))</f>
        <v>日</v>
      </c>
      <c r="L212" s="31" t="str">
        <f>IF(【マスター】!D115=0,"","改訂")</f>
        <v>改訂</v>
      </c>
      <c r="M212" s="3"/>
      <c r="N212" s="3"/>
      <c r="O212" s="3"/>
      <c r="P212" s="3"/>
      <c r="Q212" s="3"/>
      <c r="R212" s="3"/>
      <c r="S212" s="3"/>
      <c r="T212" s="3"/>
    </row>
    <row r="213" spans="1:20" s="31" customFormat="1" ht="15" customHeight="1">
      <c r="A213" s="3"/>
      <c r="B213" s="83"/>
      <c r="C213" s="83"/>
      <c r="D213" s="3"/>
      <c r="E213" s="165" t="str">
        <f>DBCS(【マスター】!D116)</f>
        <v/>
      </c>
      <c r="F213" s="166" t="str">
        <f>DBCS(IF(【マスター】!D116="","",【マスター】!E116))</f>
        <v/>
      </c>
      <c r="G213" s="165" t="str">
        <f>DBCS(IF(【マスター】!$D$105="","",【マスター】!F116))</f>
        <v>年</v>
      </c>
      <c r="H213" s="166" t="str">
        <f>DBCS(IF(【マスター】!$D$105="","",【マスター】!G116))</f>
        <v/>
      </c>
      <c r="I213" s="165" t="str">
        <f>DBCS(IF(【マスター】!$D$105="","",【マスター】!H116))</f>
        <v>月</v>
      </c>
      <c r="J213" s="166" t="str">
        <f>DBCS(IF(【マスター】!$D$105="","",【マスター】!I116))</f>
        <v>１</v>
      </c>
      <c r="K213" s="165" t="str">
        <f>DBCS(IF(【マスター】!$D$105="","",【マスター】!J116))</f>
        <v>日</v>
      </c>
      <c r="L213" s="31" t="str">
        <f>IF(【マスター】!D116=0,"","改訂")</f>
        <v/>
      </c>
      <c r="M213" s="3"/>
      <c r="N213" s="3"/>
      <c r="O213" s="3"/>
      <c r="P213" s="3"/>
      <c r="Q213" s="3"/>
      <c r="R213" s="3"/>
      <c r="S213" s="3"/>
      <c r="T213" s="3"/>
    </row>
    <row r="214" spans="1:20" s="31" customFormat="1" ht="15" customHeight="1">
      <c r="A214" s="3"/>
      <c r="B214" s="83"/>
      <c r="C214" s="83"/>
      <c r="D214" s="3"/>
      <c r="E214" s="165" t="str">
        <f>DBCS(【マスター】!D117)</f>
        <v/>
      </c>
      <c r="F214" s="166" t="str">
        <f>DBCS(IF(【マスター】!D117="","",【マスター】!E117))</f>
        <v/>
      </c>
      <c r="G214" s="165" t="str">
        <f>DBCS(IF(【マスター】!$D$105="","",【マスター】!F117))</f>
        <v>年</v>
      </c>
      <c r="H214" s="166" t="str">
        <f>DBCS(IF(【マスター】!$D$105="","",【マスター】!G117))</f>
        <v/>
      </c>
      <c r="I214" s="165" t="str">
        <f>DBCS(IF(【マスター】!$D$105="","",【マスター】!H117))</f>
        <v>月</v>
      </c>
      <c r="J214" s="166" t="str">
        <f>DBCS(IF(【マスター】!$D$105="","",【マスター】!I117))</f>
        <v>１</v>
      </c>
      <c r="K214" s="165" t="str">
        <f>DBCS(IF(【マスター】!$D$105="","",【マスター】!J117))</f>
        <v>日</v>
      </c>
      <c r="L214" s="31" t="str">
        <f>IF(【マスター】!D117=0,"","改訂")</f>
        <v/>
      </c>
      <c r="M214" s="3"/>
      <c r="N214" s="3"/>
      <c r="O214" s="3"/>
      <c r="P214" s="3"/>
      <c r="Q214" s="3"/>
      <c r="R214" s="3"/>
      <c r="S214" s="3"/>
      <c r="T214" s="3"/>
    </row>
    <row r="215" spans="1:20" s="31" customFormat="1" ht="15" customHeight="1">
      <c r="A215" s="3"/>
      <c r="B215" s="83"/>
      <c r="C215" s="83"/>
      <c r="D215" s="3"/>
      <c r="E215" s="165" t="str">
        <f>DBCS(【マスター】!D118)</f>
        <v/>
      </c>
      <c r="F215" s="166" t="str">
        <f>DBCS(IF(【マスター】!D118="","",【マスター】!E118))</f>
        <v/>
      </c>
      <c r="G215" s="165" t="str">
        <f>DBCS(IF(【マスター】!$D$105="","",【マスター】!F118))</f>
        <v>年</v>
      </c>
      <c r="H215" s="166" t="str">
        <f>DBCS(IF(【マスター】!$D$105="","",【マスター】!G118))</f>
        <v/>
      </c>
      <c r="I215" s="165" t="str">
        <f>DBCS(IF(【マスター】!$D$105="","",【マスター】!H118))</f>
        <v>月</v>
      </c>
      <c r="J215" s="166" t="str">
        <f>DBCS(IF(【マスター】!$D$105="","",【マスター】!I118))</f>
        <v>１</v>
      </c>
      <c r="K215" s="165" t="str">
        <f>DBCS(IF(【マスター】!$D$105="","",【マスター】!J118))</f>
        <v>日</v>
      </c>
      <c r="L215" s="31" t="str">
        <f>IF(【マスター】!D118=0,"","改訂")</f>
        <v/>
      </c>
      <c r="M215" s="3"/>
      <c r="N215" s="3"/>
      <c r="O215" s="3"/>
      <c r="P215" s="3"/>
      <c r="Q215" s="3"/>
      <c r="R215" s="3"/>
      <c r="S215" s="3"/>
      <c r="T215" s="3"/>
    </row>
    <row r="216" spans="1:20" s="31" customFormat="1" ht="15" customHeight="1">
      <c r="A216" s="3"/>
      <c r="B216" s="83"/>
      <c r="C216" s="83"/>
      <c r="D216" s="3"/>
      <c r="E216" s="165" t="str">
        <f>DBCS(【マスター】!D119)</f>
        <v/>
      </c>
      <c r="F216" s="166" t="str">
        <f>DBCS(IF(【マスター】!D119="","",【マスター】!E119))</f>
        <v/>
      </c>
      <c r="G216" s="165" t="str">
        <f>DBCS(IF(【マスター】!$D$105="","",【マスター】!F119))</f>
        <v>年</v>
      </c>
      <c r="H216" s="166" t="str">
        <f>DBCS(IF(【マスター】!$D$105="","",【マスター】!G119))</f>
        <v/>
      </c>
      <c r="I216" s="165" t="str">
        <f>DBCS(IF(【マスター】!$D$105="","",【マスター】!H119))</f>
        <v>月</v>
      </c>
      <c r="J216" s="166" t="str">
        <f>DBCS(IF(【マスター】!$D$105="","",【マスター】!I119))</f>
        <v>１</v>
      </c>
      <c r="K216" s="165" t="str">
        <f>DBCS(IF(【マスター】!$D$105="","",【マスター】!J119))</f>
        <v>日</v>
      </c>
      <c r="L216" s="31" t="str">
        <f>IF(【マスター】!D119=0,"","改訂")</f>
        <v/>
      </c>
      <c r="M216" s="3"/>
      <c r="N216" s="3"/>
      <c r="O216" s="3"/>
      <c r="P216" s="3"/>
      <c r="Q216" s="3"/>
      <c r="R216" s="3"/>
      <c r="S216" s="3"/>
      <c r="T216" s="3"/>
    </row>
    <row r="217" spans="1:20" s="31" customFormat="1" ht="15" customHeight="1">
      <c r="A217" s="3"/>
      <c r="B217" s="83"/>
      <c r="C217" s="83"/>
      <c r="D217" s="3"/>
      <c r="E217" s="165" t="str">
        <f>DBCS(【マスター】!D120)</f>
        <v/>
      </c>
      <c r="F217" s="166" t="str">
        <f>DBCS(IF(【マスター】!D120="","",【マスター】!E120))</f>
        <v/>
      </c>
      <c r="G217" s="165" t="str">
        <f>DBCS(IF(【マスター】!$D$105="","",【マスター】!F120))</f>
        <v>年</v>
      </c>
      <c r="H217" s="166" t="str">
        <f>DBCS(IF(【マスター】!$D$105="","",【マスター】!G120))</f>
        <v/>
      </c>
      <c r="I217" s="165" t="str">
        <f>DBCS(IF(【マスター】!$D$105="","",【マスター】!H120))</f>
        <v>月</v>
      </c>
      <c r="J217" s="166" t="str">
        <f>DBCS(IF(【マスター】!$D$105="","",【マスター】!I120))</f>
        <v>１</v>
      </c>
      <c r="K217" s="165" t="str">
        <f>DBCS(IF(【マスター】!$D$105="","",【マスター】!J120))</f>
        <v>日</v>
      </c>
      <c r="L217" s="31" t="str">
        <f>IF(【マスター】!D120=0,"","改訂")</f>
        <v/>
      </c>
      <c r="M217" s="3"/>
      <c r="N217" s="3"/>
      <c r="O217" s="3"/>
      <c r="P217" s="3"/>
      <c r="Q217" s="3"/>
      <c r="R217" s="3"/>
      <c r="S217" s="3"/>
      <c r="T217" s="3"/>
    </row>
    <row r="218" spans="1:20" s="31" customFormat="1" ht="15" customHeight="1">
      <c r="A218" s="3"/>
      <c r="B218" s="83"/>
      <c r="C218" s="83"/>
      <c r="D218" s="3"/>
      <c r="E218" s="165" t="str">
        <f>DBCS(【マスター】!D121)</f>
        <v/>
      </c>
      <c r="F218" s="166" t="str">
        <f>DBCS(IF(【マスター】!D121="","",【マスター】!E121))</f>
        <v/>
      </c>
      <c r="G218" s="165" t="str">
        <f>DBCS(IF(【マスター】!$D$105="","",【マスター】!F121))</f>
        <v>年</v>
      </c>
      <c r="H218" s="166" t="str">
        <f>DBCS(IF(【マスター】!$D$105="","",【マスター】!G121))</f>
        <v/>
      </c>
      <c r="I218" s="165" t="str">
        <f>DBCS(IF(【マスター】!$D$105="","",【マスター】!H121))</f>
        <v>月</v>
      </c>
      <c r="J218" s="166" t="str">
        <f>DBCS(IF(【マスター】!$D$105="","",【マスター】!I121))</f>
        <v>１</v>
      </c>
      <c r="K218" s="165" t="str">
        <f>DBCS(IF(【マスター】!$D$105="","",【マスター】!J121))</f>
        <v>日</v>
      </c>
      <c r="L218" s="31" t="str">
        <f>IF(【マスター】!D121=0,"","改訂")</f>
        <v/>
      </c>
      <c r="M218" s="3"/>
      <c r="N218" s="3"/>
      <c r="O218" s="3"/>
      <c r="P218" s="3"/>
      <c r="Q218" s="3"/>
      <c r="R218" s="3"/>
      <c r="S218" s="3"/>
      <c r="T218" s="3"/>
    </row>
    <row r="219" spans="1:20" s="31" customFormat="1" ht="15" customHeight="1">
      <c r="A219" s="3"/>
      <c r="B219" s="83"/>
      <c r="C219" s="83"/>
      <c r="D219" s="3"/>
      <c r="E219" s="165" t="str">
        <f>DBCS(【マスター】!D122)</f>
        <v/>
      </c>
      <c r="F219" s="166" t="str">
        <f>DBCS(IF(【マスター】!D122="","",【マスター】!E122))</f>
        <v/>
      </c>
      <c r="G219" s="165" t="str">
        <f>DBCS(IF(【マスター】!$D$105="","",【マスター】!F122))</f>
        <v>年</v>
      </c>
      <c r="H219" s="166" t="str">
        <f>DBCS(IF(【マスター】!$D$105="","",【マスター】!G122))</f>
        <v/>
      </c>
      <c r="I219" s="165" t="str">
        <f>DBCS(IF(【マスター】!$D$105="","",【マスター】!H122))</f>
        <v>月</v>
      </c>
      <c r="J219" s="166" t="str">
        <f>DBCS(IF(【マスター】!$D$105="","",【マスター】!I122))</f>
        <v/>
      </c>
      <c r="K219" s="165" t="str">
        <f>DBCS(IF(【マスター】!$D$105="","",【マスター】!J122))</f>
        <v>日</v>
      </c>
      <c r="L219" s="31" t="str">
        <f>IF(【マスター】!D122=0,"","改訂")</f>
        <v/>
      </c>
      <c r="M219" s="3"/>
      <c r="N219" s="3"/>
      <c r="O219" s="3"/>
      <c r="P219" s="3"/>
      <c r="Q219" s="3"/>
      <c r="R219" s="3"/>
      <c r="S219" s="3"/>
      <c r="T219" s="3"/>
    </row>
    <row r="220" spans="1:20" s="31" customFormat="1" ht="15" customHeight="1">
      <c r="A220" s="3"/>
      <c r="B220" s="83"/>
      <c r="C220" s="83"/>
      <c r="D220" s="3"/>
      <c r="E220" s="165" t="str">
        <f>DBCS(【マスター】!D123)</f>
        <v/>
      </c>
      <c r="F220" s="166" t="str">
        <f>DBCS(IF(【マスター】!D123="","",【マスター】!E123))</f>
        <v/>
      </c>
      <c r="G220" s="165" t="str">
        <f>DBCS(IF(【マスター】!$D$105="","",【マスター】!F123))</f>
        <v>年</v>
      </c>
      <c r="H220" s="166" t="str">
        <f>DBCS(IF(【マスター】!$D$105="","",【マスター】!G123))</f>
        <v/>
      </c>
      <c r="I220" s="165" t="str">
        <f>DBCS(IF(【マスター】!$D$105="","",【マスター】!H123))</f>
        <v>月</v>
      </c>
      <c r="J220" s="166" t="str">
        <f>DBCS(IF(【マスター】!$D$105="","",【マスター】!I123))</f>
        <v/>
      </c>
      <c r="K220" s="165" t="str">
        <f>DBCS(IF(【マスター】!$D$105="","",【マスター】!J123))</f>
        <v>日</v>
      </c>
      <c r="L220" s="31" t="str">
        <f>IF(【マスター】!D123=0,"","改訂")</f>
        <v/>
      </c>
      <c r="M220" s="3"/>
      <c r="N220" s="3"/>
      <c r="O220" s="3"/>
      <c r="P220" s="3"/>
      <c r="Q220" s="3"/>
      <c r="R220" s="3"/>
      <c r="S220" s="3"/>
      <c r="T220" s="3"/>
    </row>
    <row r="221" spans="1:20" s="31" customFormat="1" ht="15" customHeight="1">
      <c r="A221" s="3"/>
      <c r="B221" s="83"/>
      <c r="C221" s="83"/>
      <c r="D221" s="3"/>
      <c r="E221" s="165" t="str">
        <f>DBCS(【マスター】!D124)</f>
        <v/>
      </c>
      <c r="F221" s="166" t="str">
        <f>DBCS(IF(【マスター】!D124="","",【マスター】!E124))</f>
        <v/>
      </c>
      <c r="G221" s="165" t="str">
        <f>DBCS(IF(【マスター】!$D$105="","",【マスター】!F124))</f>
        <v>年</v>
      </c>
      <c r="H221" s="166" t="str">
        <f>DBCS(IF(【マスター】!$D$105="","",【マスター】!G124))</f>
        <v/>
      </c>
      <c r="I221" s="165" t="str">
        <f>DBCS(IF(【マスター】!$D$105="","",【マスター】!H124))</f>
        <v>月</v>
      </c>
      <c r="J221" s="166" t="str">
        <f>DBCS(IF(【マスター】!$D$105="","",【マスター】!I124))</f>
        <v/>
      </c>
      <c r="K221" s="165" t="str">
        <f>DBCS(IF(【マスター】!$D$105="","",【マスター】!J124))</f>
        <v>日</v>
      </c>
      <c r="L221" s="31" t="str">
        <f>IF(【マスター】!D124=0,"","改訂")</f>
        <v/>
      </c>
      <c r="M221" s="3"/>
      <c r="N221" s="3"/>
      <c r="O221" s="3"/>
      <c r="P221" s="3"/>
      <c r="Q221" s="3"/>
      <c r="R221" s="3"/>
      <c r="S221" s="3"/>
      <c r="T221" s="3"/>
    </row>
    <row r="222" spans="1:20" s="31" customFormat="1" ht="15" customHeight="1">
      <c r="A222" s="3"/>
      <c r="B222" s="83"/>
      <c r="C222" s="83"/>
      <c r="D222" s="3"/>
      <c r="E222" s="165" t="str">
        <f>DBCS(【マスター】!D125)</f>
        <v/>
      </c>
      <c r="F222" s="166" t="str">
        <f>DBCS(IF(【マスター】!D125="","",【マスター】!E125))</f>
        <v/>
      </c>
      <c r="G222" s="165" t="str">
        <f>DBCS(IF(【マスター】!$D$105="","",【マスター】!F125))</f>
        <v>年</v>
      </c>
      <c r="H222" s="166" t="str">
        <f>DBCS(IF(【マスター】!$D$105="","",【マスター】!G125))</f>
        <v/>
      </c>
      <c r="I222" s="165" t="str">
        <f>DBCS(IF(【マスター】!$D$105="","",【マスター】!H125))</f>
        <v>月</v>
      </c>
      <c r="J222" s="166" t="str">
        <f>DBCS(IF(【マスター】!$D$105="","",【マスター】!I125))</f>
        <v/>
      </c>
      <c r="K222" s="165" t="str">
        <f>DBCS(IF(【マスター】!$D$105="","",【マスター】!J125))</f>
        <v>日</v>
      </c>
      <c r="L222" s="31" t="str">
        <f>IF(【マスター】!D125=0,"","改訂")</f>
        <v/>
      </c>
      <c r="M222" s="3"/>
      <c r="N222" s="3"/>
      <c r="O222" s="3"/>
      <c r="P222" s="3"/>
      <c r="Q222" s="3"/>
      <c r="R222" s="3"/>
      <c r="S222" s="3"/>
      <c r="T222" s="3"/>
    </row>
    <row r="223" spans="1:20" s="31" customFormat="1" ht="15" customHeight="1">
      <c r="A223" s="3"/>
      <c r="B223" s="83"/>
      <c r="C223" s="83"/>
      <c r="D223" s="3"/>
      <c r="E223" s="165" t="str">
        <f>DBCS(【マスター】!D126)</f>
        <v/>
      </c>
      <c r="F223" s="166" t="str">
        <f>DBCS(IF(【マスター】!D126="","",【マスター】!E126))</f>
        <v/>
      </c>
      <c r="G223" s="165" t="str">
        <f>DBCS(IF(【マスター】!$D$105="","",【マスター】!F126))</f>
        <v>年</v>
      </c>
      <c r="H223" s="166" t="str">
        <f>DBCS(IF(【マスター】!$D$105="","",【マスター】!G126))</f>
        <v/>
      </c>
      <c r="I223" s="165" t="str">
        <f>DBCS(IF(【マスター】!$D$105="","",【マスター】!H126))</f>
        <v>月</v>
      </c>
      <c r="J223" s="166" t="str">
        <f>DBCS(IF(【マスター】!$D$105="","",【マスター】!I126))</f>
        <v/>
      </c>
      <c r="K223" s="165" t="str">
        <f>DBCS(IF(【マスター】!$D$105="","",【マスター】!J126))</f>
        <v>日</v>
      </c>
      <c r="L223" s="31" t="str">
        <f>IF(【マスター】!D126=0,"","改訂")</f>
        <v/>
      </c>
      <c r="M223" s="3"/>
      <c r="N223" s="3"/>
      <c r="O223" s="3"/>
      <c r="P223" s="3"/>
      <c r="Q223" s="3"/>
      <c r="R223" s="3"/>
      <c r="S223" s="3"/>
      <c r="T223" s="3"/>
    </row>
    <row r="224" spans="1:20" s="31" customFormat="1" ht="15" customHeight="1">
      <c r="A224" s="3"/>
      <c r="B224" s="83"/>
      <c r="C224" s="83"/>
      <c r="D224" s="3"/>
      <c r="E224" s="165" t="str">
        <f>DBCS(【マスター】!D127)</f>
        <v/>
      </c>
      <c r="F224" s="166" t="str">
        <f>DBCS(IF(【マスター】!D127="","",【マスター】!E127))</f>
        <v/>
      </c>
      <c r="G224" s="165" t="str">
        <f>DBCS(IF(【マスター】!$D$105="","",【マスター】!F127))</f>
        <v>年</v>
      </c>
      <c r="H224" s="166" t="str">
        <f>DBCS(IF(【マスター】!$D$105="","",【マスター】!G127))</f>
        <v/>
      </c>
      <c r="I224" s="165" t="str">
        <f>DBCS(IF(【マスター】!$D$105="","",【マスター】!H127))</f>
        <v>月</v>
      </c>
      <c r="J224" s="166" t="str">
        <f>DBCS(IF(【マスター】!$D$105="","",【マスター】!I127))</f>
        <v/>
      </c>
      <c r="K224" s="165" t="str">
        <f>DBCS(IF(【マスター】!$D$105="","",【マスター】!J127))</f>
        <v>日</v>
      </c>
      <c r="L224" s="31" t="str">
        <f>IF(【マスター】!D127=0,"","改訂")</f>
        <v/>
      </c>
      <c r="M224" s="3"/>
      <c r="N224" s="3"/>
      <c r="O224" s="3"/>
      <c r="P224" s="3"/>
      <c r="Q224" s="3"/>
      <c r="R224" s="3"/>
      <c r="S224" s="3"/>
      <c r="T224" s="3"/>
    </row>
    <row r="225" spans="1:20" s="31" customFormat="1" ht="15" customHeight="1">
      <c r="A225" s="3"/>
      <c r="B225" s="83"/>
      <c r="C225" s="83"/>
      <c r="D225" s="3"/>
      <c r="E225" s="165" t="str">
        <f>DBCS(【マスター】!D128)</f>
        <v/>
      </c>
      <c r="F225" s="166" t="str">
        <f>DBCS(IF(【マスター】!D128="","",【マスター】!E128))</f>
        <v/>
      </c>
      <c r="G225" s="165" t="str">
        <f>DBCS(IF(【マスター】!$D$105="","",【マスター】!F128))</f>
        <v>年</v>
      </c>
      <c r="H225" s="166" t="str">
        <f>DBCS(IF(【マスター】!$D$105="","",【マスター】!G128))</f>
        <v/>
      </c>
      <c r="I225" s="165" t="str">
        <f>DBCS(IF(【マスター】!$D$105="","",【マスター】!H128))</f>
        <v>月</v>
      </c>
      <c r="J225" s="166" t="str">
        <f>DBCS(IF(【マスター】!$D$105="","",【マスター】!I128))</f>
        <v/>
      </c>
      <c r="K225" s="165" t="str">
        <f>DBCS(IF(【マスター】!$D$105="","",【マスター】!J128))</f>
        <v>日</v>
      </c>
      <c r="L225" s="31" t="str">
        <f>IF(【マスター】!D128=0,"","改訂")</f>
        <v/>
      </c>
      <c r="M225" s="3"/>
      <c r="N225" s="3"/>
      <c r="O225" s="3"/>
      <c r="P225" s="3"/>
      <c r="Q225" s="3"/>
      <c r="R225" s="3"/>
      <c r="S225" s="3"/>
      <c r="T225" s="3"/>
    </row>
    <row r="226" spans="1:20" s="31" customFormat="1" ht="15" customHeight="1">
      <c r="A226" s="3"/>
      <c r="B226" s="83"/>
      <c r="C226" s="83"/>
      <c r="D226" s="3"/>
      <c r="E226" s="165" t="str">
        <f>DBCS(【マスター】!D129)</f>
        <v/>
      </c>
      <c r="F226" s="166" t="str">
        <f>DBCS(IF(【マスター】!D129="","",【マスター】!E129))</f>
        <v/>
      </c>
      <c r="G226" s="165" t="str">
        <f>DBCS(IF(【マスター】!$D$105="","",【マスター】!F129))</f>
        <v>年</v>
      </c>
      <c r="H226" s="166" t="str">
        <f>DBCS(IF(【マスター】!$D$105="","",【マスター】!G129))</f>
        <v/>
      </c>
      <c r="I226" s="165" t="str">
        <f>DBCS(IF(【マスター】!$D$105="","",【マスター】!H129))</f>
        <v>月</v>
      </c>
      <c r="J226" s="166" t="str">
        <f>DBCS(IF(【マスター】!$D$105="","",【マスター】!I129))</f>
        <v/>
      </c>
      <c r="K226" s="165" t="str">
        <f>DBCS(IF(【マスター】!$D$105="","",【マスター】!J129))</f>
        <v>日</v>
      </c>
      <c r="L226" s="31" t="str">
        <f>IF(【マスター】!D129=0,"","改訂")</f>
        <v/>
      </c>
      <c r="M226" s="3"/>
      <c r="N226" s="3"/>
      <c r="O226" s="3"/>
      <c r="P226" s="3"/>
      <c r="Q226" s="3"/>
      <c r="R226" s="3"/>
      <c r="S226" s="3"/>
      <c r="T226" s="3"/>
    </row>
    <row r="227" spans="1:20" s="31" customFormat="1" ht="15" customHeight="1">
      <c r="A227" s="3"/>
      <c r="B227" s="83"/>
      <c r="C227" s="83"/>
      <c r="D227" s="3"/>
      <c r="E227" s="165" t="str">
        <f>DBCS(【マスター】!D130)</f>
        <v/>
      </c>
      <c r="F227" s="166" t="str">
        <f>DBCS(IF(【マスター】!D130="","",【マスター】!E130))</f>
        <v/>
      </c>
      <c r="G227" s="165" t="str">
        <f>DBCS(IF(【マスター】!$D$105="","",【マスター】!F130))</f>
        <v>年</v>
      </c>
      <c r="H227" s="166" t="str">
        <f>DBCS(IF(【マスター】!$D$105="","",【マスター】!G130))</f>
        <v/>
      </c>
      <c r="I227" s="165" t="str">
        <f>DBCS(IF(【マスター】!$D$105="","",【マスター】!H130))</f>
        <v>月</v>
      </c>
      <c r="J227" s="166" t="str">
        <f>DBCS(IF(【マスター】!$D$105="","",【マスター】!I130))</f>
        <v/>
      </c>
      <c r="K227" s="165" t="str">
        <f>DBCS(IF(【マスター】!$D$105="","",【マスター】!J130))</f>
        <v>日</v>
      </c>
      <c r="L227" s="31" t="str">
        <f>IF(【マスター】!D130=0,"","改訂")</f>
        <v/>
      </c>
      <c r="M227" s="3"/>
      <c r="N227" s="3"/>
      <c r="O227" s="3"/>
      <c r="P227" s="3"/>
      <c r="Q227" s="3"/>
      <c r="R227" s="3"/>
      <c r="S227" s="3"/>
      <c r="T227" s="3"/>
    </row>
    <row r="228" spans="1:20" s="31" customFormat="1" ht="15" customHeight="1">
      <c r="A228" s="3"/>
      <c r="B228" s="83"/>
      <c r="C228" s="83"/>
      <c r="D228" s="3"/>
      <c r="E228" s="165" t="str">
        <f>DBCS(【マスター】!D131)</f>
        <v/>
      </c>
      <c r="F228" s="166" t="str">
        <f>DBCS(IF(【マスター】!D131="","",【マスター】!E131))</f>
        <v/>
      </c>
      <c r="G228" s="165" t="str">
        <f>DBCS(IF(【マスター】!$D$105="","",【マスター】!F131))</f>
        <v>年</v>
      </c>
      <c r="H228" s="166" t="str">
        <f>DBCS(IF(【マスター】!$D$105="","",【マスター】!G131))</f>
        <v/>
      </c>
      <c r="I228" s="165" t="str">
        <f>DBCS(IF(【マスター】!$D$105="","",【マスター】!H131))</f>
        <v>月</v>
      </c>
      <c r="J228" s="166" t="str">
        <f>DBCS(IF(【マスター】!$D$105="","",【マスター】!I131))</f>
        <v/>
      </c>
      <c r="K228" s="165" t="str">
        <f>DBCS(IF(【マスター】!$D$105="","",【マスター】!J131))</f>
        <v>日</v>
      </c>
      <c r="L228" s="31" t="str">
        <f>IF(【マスター】!D131=0,"","改訂")</f>
        <v/>
      </c>
      <c r="M228" s="3"/>
      <c r="N228" s="3"/>
      <c r="O228" s="3"/>
      <c r="P228" s="3"/>
      <c r="Q228" s="3"/>
      <c r="R228" s="3"/>
      <c r="S228" s="3"/>
      <c r="T228" s="3"/>
    </row>
    <row r="229" spans="1:20" s="31" customFormat="1" ht="15" customHeight="1">
      <c r="A229" s="3"/>
      <c r="B229" s="83"/>
      <c r="C229" s="83"/>
      <c r="D229" s="3"/>
      <c r="E229" s="165" t="str">
        <f>DBCS(【マスター】!D132)</f>
        <v/>
      </c>
      <c r="F229" s="166" t="str">
        <f>DBCS(IF(【マスター】!D132="","",【マスター】!E132))</f>
        <v/>
      </c>
      <c r="G229" s="165" t="str">
        <f>DBCS(IF(【マスター】!$D$105="","",【マスター】!F132))</f>
        <v>年</v>
      </c>
      <c r="H229" s="166" t="str">
        <f>DBCS(IF(【マスター】!$D$105="","",【マスター】!G132))</f>
        <v/>
      </c>
      <c r="I229" s="165" t="str">
        <f>DBCS(IF(【マスター】!$D$105="","",【マスター】!H132))</f>
        <v>月</v>
      </c>
      <c r="J229" s="166" t="str">
        <f>DBCS(IF(【マスター】!$D$105="","",【マスター】!I132))</f>
        <v/>
      </c>
      <c r="K229" s="165" t="str">
        <f>DBCS(IF(【マスター】!$D$105="","",【マスター】!J132))</f>
        <v>日</v>
      </c>
      <c r="L229" s="31" t="str">
        <f>IF(【マスター】!D132=0,"","改訂")</f>
        <v/>
      </c>
      <c r="M229" s="3"/>
      <c r="N229" s="3"/>
      <c r="O229" s="3"/>
      <c r="P229" s="3"/>
      <c r="Q229" s="3"/>
      <c r="R229" s="3"/>
      <c r="S229" s="3"/>
      <c r="T229" s="3"/>
    </row>
    <row r="230" spans="1:20" ht="15" customHeight="1">
      <c r="E230" s="165" t="str">
        <f>DBCS(【マスター】!D133)</f>
        <v/>
      </c>
      <c r="F230" s="166" t="str">
        <f>DBCS(IF(【マスター】!D133="","",【マスター】!E133))</f>
        <v/>
      </c>
      <c r="G230" s="165" t="str">
        <f>DBCS(IF(【マスター】!$D$105="","",【マスター】!F133))</f>
        <v>年</v>
      </c>
      <c r="H230" s="166" t="str">
        <f>DBCS(IF(【マスター】!$D$105="","",【マスター】!G133))</f>
        <v/>
      </c>
      <c r="I230" s="165" t="str">
        <f>DBCS(IF(【マスター】!$D$105="","",【マスター】!H133))</f>
        <v>月</v>
      </c>
      <c r="J230" s="166" t="str">
        <f>DBCS(IF(【マスター】!$D$105="","",【マスター】!I133))</f>
        <v/>
      </c>
      <c r="K230" s="165" t="str">
        <f>DBCS(IF(【マスター】!$D$105="","",【マスター】!J133))</f>
        <v>日</v>
      </c>
      <c r="L230" s="31" t="str">
        <f>IF(【マスター】!D133=0,"","改訂")</f>
        <v/>
      </c>
      <c r="M230" s="3"/>
      <c r="N230" s="3"/>
      <c r="O230" s="3"/>
      <c r="P230" s="3"/>
    </row>
    <row r="231" spans="1:20" ht="15" customHeight="1">
      <c r="E231" s="165" t="str">
        <f>DBCS(【マスター】!D134)</f>
        <v/>
      </c>
      <c r="F231" s="166" t="str">
        <f>DBCS(IF(【マスター】!D134="","",【マスター】!E134))</f>
        <v/>
      </c>
      <c r="G231" s="165" t="str">
        <f>DBCS(IF(【マスター】!$D$105="","",【マスター】!F134))</f>
        <v>年</v>
      </c>
      <c r="H231" s="166" t="str">
        <f>DBCS(IF(【マスター】!$D$105="","",【マスター】!G134))</f>
        <v/>
      </c>
      <c r="I231" s="165" t="str">
        <f>DBCS(IF(【マスター】!$D$105="","",【マスター】!H134))</f>
        <v>月</v>
      </c>
      <c r="J231" s="166" t="str">
        <f>DBCS(IF(【マスター】!$D$105="","",【マスター】!I134))</f>
        <v/>
      </c>
      <c r="K231" s="165" t="str">
        <f>DBCS(IF(【マスター】!$D$105="","",【マスター】!J134))</f>
        <v>日</v>
      </c>
      <c r="L231" s="31" t="str">
        <f>IF(【マスター】!D134=0,"","改訂")</f>
        <v/>
      </c>
      <c r="M231" s="3"/>
      <c r="N231" s="3"/>
      <c r="O231" s="3"/>
      <c r="P231" s="3"/>
    </row>
    <row r="232" spans="1:20" ht="15" customHeight="1">
      <c r="E232" s="165" t="str">
        <f>DBCS(【マスター】!D135)</f>
        <v/>
      </c>
      <c r="F232" s="166" t="str">
        <f>DBCS(IF(【マスター】!D135="","",【マスター】!E135))</f>
        <v/>
      </c>
      <c r="G232" s="165" t="str">
        <f>DBCS(IF(【マスター】!$D$105="","",【マスター】!F135))</f>
        <v>年</v>
      </c>
      <c r="H232" s="166" t="str">
        <f>DBCS(IF(【マスター】!$D$105="","",【マスター】!G135))</f>
        <v/>
      </c>
      <c r="I232" s="165" t="str">
        <f>DBCS(IF(【マスター】!$D$105="","",【マスター】!H135))</f>
        <v>月</v>
      </c>
      <c r="J232" s="166" t="str">
        <f>DBCS(IF(【マスター】!$D$105="","",【マスター】!I135))</f>
        <v/>
      </c>
      <c r="K232" s="165" t="str">
        <f>DBCS(IF(【マスター】!$D$105="","",【マスター】!J135))</f>
        <v>日</v>
      </c>
      <c r="L232" s="31" t="str">
        <f>IF(【マスター】!D135=0,"","改訂")</f>
        <v/>
      </c>
      <c r="M232" s="3"/>
      <c r="N232" s="3"/>
      <c r="O232" s="3"/>
      <c r="P232" s="3"/>
    </row>
    <row r="233" spans="1:20" ht="15" customHeight="1">
      <c r="E233" s="165" t="str">
        <f>DBCS(【マスター】!D136)</f>
        <v/>
      </c>
      <c r="F233" s="166" t="str">
        <f>DBCS(IF(【マスター】!D136="","",【マスター】!E136))</f>
        <v/>
      </c>
      <c r="G233" s="165" t="str">
        <f>DBCS(IF(【マスター】!$D$105="","",【マスター】!F136))</f>
        <v>年</v>
      </c>
      <c r="H233" s="166" t="str">
        <f>DBCS(IF(【マスター】!$D$105="","",【マスター】!G136))</f>
        <v/>
      </c>
      <c r="I233" s="165" t="str">
        <f>DBCS(IF(【マスター】!$D$105="","",【マスター】!H136))</f>
        <v>月</v>
      </c>
      <c r="J233" s="166" t="str">
        <f>DBCS(IF(【マスター】!$D$105="","",【マスター】!I136))</f>
        <v/>
      </c>
      <c r="K233" s="165" t="str">
        <f>DBCS(IF(【マスター】!$D$105="","",【マスター】!J136))</f>
        <v>日</v>
      </c>
      <c r="L233" s="31" t="str">
        <f>IF(【マスター】!D136=0,"","改訂")</f>
        <v/>
      </c>
      <c r="M233" s="3"/>
      <c r="N233" s="3"/>
      <c r="O233" s="3"/>
      <c r="P233" s="3"/>
    </row>
    <row r="234" spans="1:20" ht="15" customHeight="1">
      <c r="E234" s="165" t="str">
        <f>DBCS(【マスター】!D137)</f>
        <v/>
      </c>
      <c r="F234" s="166" t="str">
        <f>DBCS(IF(【マスター】!D137="","",【マスター】!E137))</f>
        <v/>
      </c>
      <c r="G234" s="165" t="str">
        <f>DBCS(IF(【マスター】!$D$105="","",【マスター】!F137))</f>
        <v>年</v>
      </c>
      <c r="H234" s="166" t="str">
        <f>DBCS(IF(【マスター】!$D$105="","",【マスター】!G137))</f>
        <v/>
      </c>
      <c r="I234" s="165" t="str">
        <f>DBCS(IF(【マスター】!$D$105="","",【マスター】!H137))</f>
        <v>月</v>
      </c>
      <c r="J234" s="166" t="str">
        <f>DBCS(IF(【マスター】!$D$105="","",【マスター】!I137))</f>
        <v/>
      </c>
      <c r="K234" s="165" t="str">
        <f>DBCS(IF(【マスター】!$D$105="","",【マスター】!J137))</f>
        <v>日</v>
      </c>
      <c r="L234" s="31" t="str">
        <f>IF(【マスター】!D137=0,"","改訂")</f>
        <v/>
      </c>
      <c r="M234" s="3"/>
      <c r="N234" s="3"/>
      <c r="O234" s="3"/>
      <c r="P234" s="3"/>
    </row>
    <row r="235" spans="1:20" ht="15" customHeight="1">
      <c r="E235" s="165" t="str">
        <f>DBCS(【マスター】!D138)</f>
        <v/>
      </c>
      <c r="F235" s="166" t="str">
        <f>DBCS(IF(【マスター】!D138="","",【マスター】!E138))</f>
        <v/>
      </c>
      <c r="G235" s="165" t="str">
        <f>DBCS(IF(【マスター】!$D$105="","",【マスター】!F138))</f>
        <v>年</v>
      </c>
      <c r="H235" s="166" t="str">
        <f>DBCS(IF(【マスター】!$D$105="","",【マスター】!G138))</f>
        <v/>
      </c>
      <c r="I235" s="165" t="str">
        <f>DBCS(IF(【マスター】!$D$105="","",【マスター】!H138))</f>
        <v>月</v>
      </c>
      <c r="J235" s="166" t="str">
        <f>DBCS(IF(【マスター】!$D$105="","",【マスター】!I138))</f>
        <v/>
      </c>
      <c r="K235" s="165" t="str">
        <f>DBCS(IF(【マスター】!$D$105="","",【マスター】!J138))</f>
        <v>日</v>
      </c>
      <c r="L235" s="31" t="str">
        <f>IF(【マスター】!D138=0,"","改訂")</f>
        <v/>
      </c>
      <c r="M235" s="3"/>
      <c r="N235" s="3"/>
      <c r="O235" s="3"/>
      <c r="P235" s="3"/>
    </row>
    <row r="236" spans="1:20" ht="15" customHeight="1">
      <c r="E236" s="165" t="str">
        <f>DBCS(【マスター】!D139)</f>
        <v/>
      </c>
      <c r="F236" s="166" t="str">
        <f>DBCS(IF(【マスター】!D139="","",【マスター】!E139))</f>
        <v/>
      </c>
      <c r="G236" s="165" t="str">
        <f>DBCS(IF(【マスター】!$D$105="","",【マスター】!F139))</f>
        <v>年</v>
      </c>
      <c r="H236" s="166" t="str">
        <f>DBCS(IF(【マスター】!$D$105="","",【マスター】!G139))</f>
        <v/>
      </c>
      <c r="I236" s="165" t="str">
        <f>DBCS(IF(【マスター】!$D$105="","",【マスター】!H139))</f>
        <v>月</v>
      </c>
      <c r="J236" s="166" t="str">
        <f>DBCS(IF(【マスター】!$D$105="","",【マスター】!I139))</f>
        <v/>
      </c>
      <c r="K236" s="165" t="str">
        <f>DBCS(IF(【マスター】!$D$105="","",【マスター】!J139))</f>
        <v>日</v>
      </c>
      <c r="L236" s="31" t="str">
        <f>IF(【マスター】!D139=0,"","改訂")</f>
        <v/>
      </c>
      <c r="M236" s="3"/>
      <c r="N236" s="3"/>
      <c r="O236" s="3"/>
      <c r="P236" s="3"/>
    </row>
    <row r="237" spans="1:20" ht="15" customHeight="1">
      <c r="E237" s="165" t="str">
        <f>DBCS(【マスター】!D140)</f>
        <v/>
      </c>
      <c r="F237" s="166" t="str">
        <f>DBCS(IF(【マスター】!D140="","",【マスター】!E140))</f>
        <v/>
      </c>
      <c r="G237" s="165" t="str">
        <f>DBCS(IF(【マスター】!$D$105="","",【マスター】!F140))</f>
        <v>年</v>
      </c>
      <c r="H237" s="166" t="str">
        <f>DBCS(IF(【マスター】!$D$105="","",【マスター】!G140))</f>
        <v/>
      </c>
      <c r="I237" s="165" t="str">
        <f>DBCS(IF(【マスター】!$D$105="","",【マスター】!H140))</f>
        <v>月</v>
      </c>
      <c r="J237" s="166" t="str">
        <f>DBCS(IF(【マスター】!$D$105="","",【マスター】!I140))</f>
        <v/>
      </c>
      <c r="K237" s="165" t="str">
        <f>DBCS(IF(【マスター】!$D$105="","",【マスター】!J140))</f>
        <v>日</v>
      </c>
      <c r="L237" s="31" t="str">
        <f>IF(【マスター】!D140=0,"","改訂")</f>
        <v/>
      </c>
      <c r="M237" s="3"/>
      <c r="N237" s="3"/>
      <c r="O237" s="3"/>
      <c r="P237" s="3"/>
    </row>
    <row r="238" spans="1:20" ht="15" customHeight="1">
      <c r="E238" s="165" t="str">
        <f>DBCS(【マスター】!D141)</f>
        <v/>
      </c>
      <c r="F238" s="166" t="str">
        <f>DBCS(IF(【マスター】!D141="","",【マスター】!E141))</f>
        <v/>
      </c>
      <c r="G238" s="165" t="str">
        <f>DBCS(IF(【マスター】!$D$105="","",【マスター】!F141))</f>
        <v>年</v>
      </c>
      <c r="H238" s="166" t="str">
        <f>DBCS(IF(【マスター】!$D$105="","",【マスター】!G141))</f>
        <v/>
      </c>
      <c r="I238" s="165" t="str">
        <f>DBCS(IF(【マスター】!$D$105="","",【マスター】!H141))</f>
        <v>月</v>
      </c>
      <c r="J238" s="166" t="str">
        <f>DBCS(IF(【マスター】!$D$105="","",【マスター】!I141))</f>
        <v/>
      </c>
      <c r="K238" s="165" t="str">
        <f>DBCS(IF(【マスター】!$D$105="","",【マスター】!J141))</f>
        <v>日</v>
      </c>
      <c r="L238" s="31" t="str">
        <f>IF(【マスター】!D141=0,"","改訂")</f>
        <v/>
      </c>
      <c r="M238" s="3"/>
      <c r="N238" s="3"/>
      <c r="O238" s="3"/>
      <c r="P238" s="3"/>
    </row>
    <row r="239" spans="1:20" ht="15" customHeight="1">
      <c r="E239" s="165" t="str">
        <f>DBCS(【マスター】!D142)</f>
        <v/>
      </c>
      <c r="F239" s="166" t="str">
        <f>DBCS(IF(【マスター】!D142="","",【マスター】!E142))</f>
        <v/>
      </c>
      <c r="G239" s="165" t="str">
        <f>DBCS(IF(【マスター】!$D$105="","",【マスター】!F142))</f>
        <v>年</v>
      </c>
      <c r="H239" s="166" t="str">
        <f>DBCS(IF(【マスター】!$D$105="","",【マスター】!G142))</f>
        <v/>
      </c>
      <c r="I239" s="165" t="str">
        <f>DBCS(IF(【マスター】!$D$105="","",【マスター】!H142))</f>
        <v>月</v>
      </c>
      <c r="J239" s="166" t="str">
        <f>DBCS(IF(【マスター】!$D$105="","",【マスター】!I142))</f>
        <v/>
      </c>
      <c r="K239" s="165" t="str">
        <f>DBCS(IF(【マスター】!$D$105="","",【マスター】!J142))</f>
        <v>日</v>
      </c>
      <c r="L239" s="31" t="str">
        <f>IF(【マスター】!D142=0,"","改訂")</f>
        <v/>
      </c>
      <c r="M239" s="3"/>
      <c r="N239" s="3"/>
      <c r="O239" s="3"/>
      <c r="P239" s="3"/>
    </row>
    <row r="240" spans="1:20" ht="15" customHeight="1">
      <c r="E240" s="165" t="str">
        <f>DBCS(【マスター】!D143)</f>
        <v/>
      </c>
      <c r="F240" s="166" t="str">
        <f>DBCS(IF(【マスター】!D143="","",【マスター】!E143))</f>
        <v/>
      </c>
      <c r="G240" s="165" t="str">
        <f>DBCS(IF(【マスター】!$D$105="","",【マスター】!F143))</f>
        <v>年</v>
      </c>
      <c r="H240" s="166" t="str">
        <f>DBCS(IF(【マスター】!$D$105="","",【マスター】!G143))</f>
        <v/>
      </c>
      <c r="I240" s="165" t="str">
        <f>DBCS(IF(【マスター】!$D$105="","",【マスター】!H143))</f>
        <v>月</v>
      </c>
      <c r="J240" s="166" t="str">
        <f>DBCS(IF(【マスター】!$D$105="","",【マスター】!I143))</f>
        <v/>
      </c>
      <c r="K240" s="165" t="str">
        <f>DBCS(IF(【マスター】!$D$105="","",【マスター】!J143))</f>
        <v>日</v>
      </c>
      <c r="L240" s="31" t="str">
        <f>IF(【マスター】!D143=0,"","改訂")</f>
        <v/>
      </c>
      <c r="M240" s="31"/>
      <c r="N240" s="31"/>
      <c r="O240" s="31"/>
      <c r="P240" s="31"/>
    </row>
    <row r="241" spans="5:16" ht="15" customHeight="1">
      <c r="E241" s="165" t="str">
        <f>DBCS(【マスター】!D144)</f>
        <v/>
      </c>
      <c r="F241" s="166" t="str">
        <f>DBCS(IF(【マスター】!D144="","",【マスター】!E144))</f>
        <v/>
      </c>
      <c r="G241" s="165" t="str">
        <f>DBCS(IF(【マスター】!$D$105="","",【マスター】!F144))</f>
        <v>年</v>
      </c>
      <c r="H241" s="166" t="str">
        <f>DBCS(IF(【マスター】!$D$105="","",【マスター】!G144))</f>
        <v/>
      </c>
      <c r="I241" s="165" t="str">
        <f>DBCS(IF(【マスター】!$D$105="","",【マスター】!H144))</f>
        <v>月</v>
      </c>
      <c r="J241" s="166" t="str">
        <f>DBCS(IF(【マスター】!$D$105="","",【マスター】!I144))</f>
        <v/>
      </c>
      <c r="K241" s="165" t="str">
        <f>DBCS(IF(【マスター】!$D$105="","",【マスター】!J144))</f>
        <v>日</v>
      </c>
      <c r="L241" s="31" t="str">
        <f>IF(【マスター】!D144=0,"","改訂")</f>
        <v/>
      </c>
      <c r="M241" s="31"/>
      <c r="N241" s="31"/>
      <c r="O241" s="31"/>
      <c r="P241" s="31"/>
    </row>
    <row r="242" spans="5:16" ht="15" customHeight="1">
      <c r="E242" s="165" t="str">
        <f>DBCS(【マスター】!D145)</f>
        <v/>
      </c>
      <c r="F242" s="166" t="str">
        <f>DBCS(IF(【マスター】!D145="","",【マスター】!E145))</f>
        <v/>
      </c>
      <c r="G242" s="165" t="str">
        <f>DBCS(IF(【マスター】!$D$105="","",【マスター】!F145))</f>
        <v>年</v>
      </c>
      <c r="H242" s="166" t="str">
        <f>DBCS(IF(【マスター】!$D$105="","",【マスター】!G145))</f>
        <v/>
      </c>
      <c r="I242" s="165" t="str">
        <f>DBCS(IF(【マスター】!$D$105="","",【マスター】!H145))</f>
        <v>月</v>
      </c>
      <c r="J242" s="166" t="str">
        <f>DBCS(IF(【マスター】!$D$105="","",【マスター】!I145))</f>
        <v/>
      </c>
      <c r="K242" s="165" t="str">
        <f>DBCS(IF(【マスター】!$D$105="","",【マスター】!J145))</f>
        <v>日</v>
      </c>
      <c r="L242" s="31" t="str">
        <f>IF(【マスター】!D145=0,"","改訂")</f>
        <v/>
      </c>
      <c r="M242" s="31"/>
      <c r="N242" s="31"/>
      <c r="O242" s="31"/>
      <c r="P242" s="31"/>
    </row>
    <row r="243" spans="5:16" ht="15" customHeight="1">
      <c r="E243" s="165" t="str">
        <f>DBCS(【マスター】!D146)</f>
        <v/>
      </c>
      <c r="F243" s="166" t="str">
        <f>DBCS(IF(【マスター】!D146="","",【マスター】!E146))</f>
        <v/>
      </c>
      <c r="G243" s="165" t="str">
        <f>DBCS(IF(【マスター】!$D$105="","",【マスター】!F146))</f>
        <v>年</v>
      </c>
      <c r="H243" s="166" t="str">
        <f>DBCS(IF(【マスター】!$D$105="","",【マスター】!G146))</f>
        <v/>
      </c>
      <c r="I243" s="165" t="str">
        <f>DBCS(IF(【マスター】!$D$105="","",【マスター】!H146))</f>
        <v>月</v>
      </c>
      <c r="J243" s="166" t="str">
        <f>DBCS(IF(【マスター】!$D$105="","",【マスター】!I146))</f>
        <v/>
      </c>
      <c r="K243" s="165" t="str">
        <f>DBCS(IF(【マスター】!$D$105="","",【マスター】!J146))</f>
        <v>日</v>
      </c>
      <c r="L243" s="31" t="str">
        <f>IF(【マスター】!D146=0,"","改訂")</f>
        <v/>
      </c>
      <c r="M243" s="31"/>
      <c r="N243" s="31"/>
      <c r="O243" s="31"/>
      <c r="P243" s="31"/>
    </row>
    <row r="244" spans="5:16" ht="15" customHeight="1">
      <c r="E244" s="165" t="str">
        <f>DBCS(【マスター】!D147)</f>
        <v/>
      </c>
      <c r="F244" s="166" t="str">
        <f>DBCS(IF(【マスター】!D147="","",【マスター】!E147))</f>
        <v/>
      </c>
      <c r="G244" s="165" t="str">
        <f>DBCS(IF(【マスター】!$D$105="","",【マスター】!F147))</f>
        <v>年</v>
      </c>
      <c r="H244" s="166" t="str">
        <f>DBCS(IF(【マスター】!$D$105="","",【マスター】!G147))</f>
        <v/>
      </c>
      <c r="I244" s="165" t="str">
        <f>DBCS(IF(【マスター】!$D$105="","",【マスター】!H147))</f>
        <v>月</v>
      </c>
      <c r="J244" s="166" t="str">
        <f>DBCS(IF(【マスター】!$D$105="","",【マスター】!I147))</f>
        <v/>
      </c>
      <c r="K244" s="165" t="str">
        <f>DBCS(IF(【マスター】!$D$105="","",【マスター】!J147))</f>
        <v>日</v>
      </c>
      <c r="L244" s="31" t="str">
        <f>IF(【マスター】!D147=0,"","改訂")</f>
        <v/>
      </c>
      <c r="M244" s="31"/>
      <c r="N244" s="31"/>
      <c r="O244" s="31"/>
      <c r="P244" s="31"/>
    </row>
    <row r="245" spans="5:16" ht="15" customHeight="1">
      <c r="E245" s="165" t="str">
        <f>DBCS(【マスター】!D148)</f>
        <v/>
      </c>
      <c r="F245" s="166" t="str">
        <f>DBCS(IF(【マスター】!D148="","",【マスター】!E148))</f>
        <v/>
      </c>
      <c r="G245" s="165" t="str">
        <f>DBCS(IF(【マスター】!$D$105="","",【マスター】!F148))</f>
        <v>年</v>
      </c>
      <c r="H245" s="166" t="str">
        <f>DBCS(IF(【マスター】!$D$105="","",【マスター】!G148))</f>
        <v/>
      </c>
      <c r="I245" s="165" t="str">
        <f>DBCS(IF(【マスター】!$D$105="","",【マスター】!H148))</f>
        <v>月</v>
      </c>
      <c r="J245" s="166" t="str">
        <f>DBCS(IF(【マスター】!$D$105="","",【マスター】!I148))</f>
        <v/>
      </c>
      <c r="K245" s="165" t="str">
        <f>DBCS(IF(【マスター】!$D$105="","",【マスター】!J148))</f>
        <v>日</v>
      </c>
      <c r="L245" s="31" t="str">
        <f>IF(【マスター】!D148=0,"","改訂")</f>
        <v/>
      </c>
    </row>
  </sheetData>
  <sheetProtection selectLockedCells="1"/>
  <mergeCells count="112">
    <mergeCell ref="B42:C42"/>
    <mergeCell ref="B43:C43"/>
    <mergeCell ref="J43:O43"/>
    <mergeCell ref="B44:C44"/>
    <mergeCell ref="B45:C45"/>
    <mergeCell ref="D35:T35"/>
    <mergeCell ref="B23:C23"/>
    <mergeCell ref="D23:E23"/>
    <mergeCell ref="F23:T23"/>
    <mergeCell ref="B32:C32"/>
    <mergeCell ref="D33:T33"/>
    <mergeCell ref="B34:C34"/>
    <mergeCell ref="B36:C36"/>
    <mergeCell ref="D37:T38"/>
    <mergeCell ref="B37:C37"/>
    <mergeCell ref="A2:T3"/>
    <mergeCell ref="A4:T5"/>
    <mergeCell ref="C8:T8"/>
    <mergeCell ref="C11:T11"/>
    <mergeCell ref="C12:T12"/>
    <mergeCell ref="C13:T13"/>
    <mergeCell ref="C14:T14"/>
    <mergeCell ref="C15:T18"/>
    <mergeCell ref="C19:T19"/>
    <mergeCell ref="C22:T22"/>
    <mergeCell ref="B24:C24"/>
    <mergeCell ref="D24:E24"/>
    <mergeCell ref="F24:T24"/>
    <mergeCell ref="C27:T27"/>
    <mergeCell ref="B28:C28"/>
    <mergeCell ref="D29:T29"/>
    <mergeCell ref="B30:C30"/>
    <mergeCell ref="D31:T31"/>
    <mergeCell ref="C88:T88"/>
    <mergeCell ref="C84:T84"/>
    <mergeCell ref="C85:T85"/>
    <mergeCell ref="B67:C67"/>
    <mergeCell ref="C52:T52"/>
    <mergeCell ref="B53:C53"/>
    <mergeCell ref="B56:C56"/>
    <mergeCell ref="D57:T57"/>
    <mergeCell ref="B59:C59"/>
    <mergeCell ref="D61:T61"/>
    <mergeCell ref="B62:C62"/>
    <mergeCell ref="D63:T63"/>
    <mergeCell ref="B64:C64"/>
    <mergeCell ref="D65:T65"/>
    <mergeCell ref="D66:T66"/>
    <mergeCell ref="D68:T68"/>
    <mergeCell ref="B70:C70"/>
    <mergeCell ref="D71:T71"/>
    <mergeCell ref="C74:T74"/>
    <mergeCell ref="C75:T75"/>
    <mergeCell ref="C76:T76"/>
    <mergeCell ref="C79:T79"/>
    <mergeCell ref="C80:T80"/>
    <mergeCell ref="C81:T81"/>
    <mergeCell ref="C134:T134"/>
    <mergeCell ref="C111:T111"/>
    <mergeCell ref="C108:T108"/>
    <mergeCell ref="C90:T90"/>
    <mergeCell ref="H91:I91"/>
    <mergeCell ref="H92:I92"/>
    <mergeCell ref="C96:T96"/>
    <mergeCell ref="C97:T97"/>
    <mergeCell ref="C98:T98"/>
    <mergeCell ref="C99:T99"/>
    <mergeCell ref="C100:T100"/>
    <mergeCell ref="C101:T101"/>
    <mergeCell ref="C104:T104"/>
    <mergeCell ref="D105:S105"/>
    <mergeCell ref="C112:T112"/>
    <mergeCell ref="C113:T113"/>
    <mergeCell ref="C114:T114"/>
    <mergeCell ref="C117:T117"/>
    <mergeCell ref="C125:T125"/>
    <mergeCell ref="C126:T126"/>
    <mergeCell ref="C127:T127"/>
    <mergeCell ref="C130:T130"/>
    <mergeCell ref="C131:T131"/>
    <mergeCell ref="C152:T152"/>
    <mergeCell ref="C185:T185"/>
    <mergeCell ref="C175:T175"/>
    <mergeCell ref="C179:T182"/>
    <mergeCell ref="C155:T156"/>
    <mergeCell ref="C160:T161"/>
    <mergeCell ref="C162:T163"/>
    <mergeCell ref="C164:T165"/>
    <mergeCell ref="C135:T135"/>
    <mergeCell ref="C136:T136"/>
    <mergeCell ref="C139:T139"/>
    <mergeCell ref="C140:T140"/>
    <mergeCell ref="C143:T144"/>
    <mergeCell ref="B145:C145"/>
    <mergeCell ref="B146:C146"/>
    <mergeCell ref="B147:C147"/>
    <mergeCell ref="C148:T148"/>
    <mergeCell ref="C151:T151"/>
    <mergeCell ref="C166:T167"/>
    <mergeCell ref="C168:T170"/>
    <mergeCell ref="C171:T172"/>
    <mergeCell ref="B186:C186"/>
    <mergeCell ref="C157:T158"/>
    <mergeCell ref="C194:T194"/>
    <mergeCell ref="C195:T195"/>
    <mergeCell ref="C196:T196"/>
    <mergeCell ref="C197:T198"/>
    <mergeCell ref="B187:C187"/>
    <mergeCell ref="B188:C188"/>
    <mergeCell ref="C189:T189"/>
    <mergeCell ref="C190:T190"/>
    <mergeCell ref="C191:T191"/>
  </mergeCells>
  <phoneticPr fontId="16"/>
  <printOptions horizontalCentered="1"/>
  <pageMargins left="0.59055118110236227" right="0.59055118110236227" top="0.59055118110236227" bottom="0.39370078740157483" header="0.31496062992125984" footer="0.19685039370078741"/>
  <pageSetup paperSize="9" scale="94" fitToHeight="0" orientation="portrait" r:id="rId1"/>
  <headerFooter>
    <oddFooter>&amp;L【地域密着型通所介護】</oddFooter>
  </headerFooter>
  <rowBreaks count="5" manualBreakCount="5">
    <brk id="31" max="19" man="1"/>
    <brk id="72" max="19" man="1"/>
    <brk id="99" max="19" man="1"/>
    <brk id="132" max="19" man="1"/>
    <brk id="170" max="1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tabColor rgb="FF92D050"/>
    <pageSetUpPr fitToPage="1"/>
  </sheetPr>
  <dimension ref="A1:AO332"/>
  <sheetViews>
    <sheetView view="pageBreakPreview" topLeftCell="A28" zoomScaleNormal="100" zoomScaleSheetLayoutView="100" workbookViewId="0">
      <selection activeCell="M136" sqref="M136"/>
    </sheetView>
  </sheetViews>
  <sheetFormatPr defaultColWidth="9" defaultRowHeight="13.5"/>
  <cols>
    <col min="1" max="1" width="4.625" style="1" customWidth="1"/>
    <col min="2" max="3" width="4.625" style="37" customWidth="1"/>
    <col min="4" max="5" width="4.625" style="1" customWidth="1"/>
    <col min="6" max="6" width="10" style="1" bestFit="1" customWidth="1"/>
    <col min="7" max="20" width="4.625" style="1" customWidth="1"/>
    <col min="21" max="22" width="9" style="1" customWidth="1"/>
    <col min="23" max="16384" width="9" style="1"/>
  </cols>
  <sheetData>
    <row r="1" spans="1:21" ht="13.35" customHeight="1">
      <c r="T1" s="38"/>
    </row>
    <row r="2" spans="1:21" ht="15" customHeight="1">
      <c r="A2" s="2126" t="str">
        <f>IF(【マスター】!C7="","",【マスター】!C7)</f>
        <v>デイサービスさくら亭</v>
      </c>
      <c r="B2" s="2126"/>
      <c r="C2" s="2126"/>
      <c r="D2" s="2126"/>
      <c r="E2" s="2126"/>
      <c r="F2" s="2126"/>
      <c r="G2" s="2126"/>
      <c r="H2" s="2126"/>
      <c r="I2" s="2126"/>
      <c r="J2" s="2126"/>
      <c r="K2" s="2126"/>
      <c r="L2" s="2126"/>
      <c r="M2" s="2126"/>
      <c r="N2" s="2126"/>
      <c r="O2" s="2126"/>
      <c r="P2" s="2126"/>
      <c r="Q2" s="2126"/>
      <c r="R2" s="2126"/>
      <c r="S2" s="2126"/>
      <c r="T2" s="2126"/>
    </row>
    <row r="3" spans="1:21" ht="15" customHeight="1" thickBot="1">
      <c r="A3" s="2127"/>
      <c r="B3" s="2127"/>
      <c r="C3" s="2127"/>
      <c r="D3" s="2127"/>
      <c r="E3" s="2127"/>
      <c r="F3" s="2127"/>
      <c r="G3" s="2127"/>
      <c r="H3" s="2127"/>
      <c r="I3" s="2127"/>
      <c r="J3" s="2127"/>
      <c r="K3" s="2127"/>
      <c r="L3" s="2127"/>
      <c r="M3" s="2127"/>
      <c r="N3" s="2127"/>
      <c r="O3" s="2127"/>
      <c r="P3" s="2127"/>
      <c r="Q3" s="2127"/>
      <c r="R3" s="2127"/>
      <c r="S3" s="2127"/>
      <c r="T3" s="2127"/>
    </row>
    <row r="4" spans="1:21" ht="15" customHeight="1">
      <c r="A4" s="2128" t="s">
        <v>1360</v>
      </c>
      <c r="B4" s="2128"/>
      <c r="C4" s="2128"/>
      <c r="D4" s="2128"/>
      <c r="E4" s="2128"/>
      <c r="F4" s="2128"/>
      <c r="G4" s="2128"/>
      <c r="H4" s="2128"/>
      <c r="I4" s="2128"/>
      <c r="J4" s="2128"/>
      <c r="K4" s="2128"/>
      <c r="L4" s="2128"/>
      <c r="M4" s="2128"/>
      <c r="N4" s="2128"/>
      <c r="O4" s="2128"/>
      <c r="P4" s="2128"/>
      <c r="Q4" s="2128"/>
      <c r="R4" s="2128"/>
      <c r="S4" s="2128"/>
      <c r="T4" s="2128"/>
      <c r="U4" s="280"/>
    </row>
    <row r="5" spans="1:21" ht="15" customHeight="1">
      <c r="A5" s="2126"/>
      <c r="B5" s="2126"/>
      <c r="C5" s="2126"/>
      <c r="D5" s="2126"/>
      <c r="E5" s="2126"/>
      <c r="F5" s="2126"/>
      <c r="G5" s="2126"/>
      <c r="H5" s="2126"/>
      <c r="I5" s="2126"/>
      <c r="J5" s="2126"/>
      <c r="K5" s="2126"/>
      <c r="L5" s="2126"/>
      <c r="M5" s="2126"/>
      <c r="N5" s="2126"/>
      <c r="O5" s="2126"/>
      <c r="P5" s="2126"/>
      <c r="Q5" s="2126"/>
      <c r="R5" s="2126"/>
      <c r="S5" s="2126"/>
      <c r="T5" s="2126"/>
      <c r="U5" s="280"/>
    </row>
    <row r="6" spans="1:21" ht="15" customHeight="1">
      <c r="A6" s="480"/>
      <c r="B6" s="480"/>
      <c r="C6" s="480"/>
      <c r="D6" s="480"/>
      <c r="E6" s="480"/>
      <c r="F6" s="480"/>
      <c r="G6" s="480"/>
      <c r="H6" s="480"/>
      <c r="I6" s="480"/>
      <c r="J6" s="480"/>
      <c r="K6" s="480"/>
      <c r="L6" s="480"/>
      <c r="M6" s="480"/>
      <c r="N6" s="480"/>
      <c r="O6" s="480"/>
      <c r="P6" s="480"/>
      <c r="Q6" s="480"/>
      <c r="R6" s="480"/>
      <c r="S6" s="480"/>
      <c r="T6" s="480"/>
    </row>
    <row r="7" spans="1:21" s="31" customFormat="1" ht="15" customHeight="1">
      <c r="A7" s="31" t="s">
        <v>1319</v>
      </c>
      <c r="B7" s="32"/>
      <c r="C7" s="32"/>
    </row>
    <row r="8" spans="1:21" s="31" customFormat="1" ht="90" customHeight="1">
      <c r="A8" s="31" t="s">
        <v>723</v>
      </c>
      <c r="B8" s="32"/>
      <c r="C8" s="1013" t="str">
        <f>"　"&amp;【マスター】!C22&amp;"が開設する"&amp;【マスター】!C7&amp;"(以下「事業所」という。）が行う指定地域密着型通所介護の事業（以下「事業」という。）の適正な運営を確保するために人員及び管理運営に関する事項を定め、事業所毎に置くべき従業者（以下「地域密着型通所介護従業者」という。）が、要介護状態にある高齢者に対し、適正な指定地域密着型通所介護を提供することを目的とする。"</f>
        <v>　株式会社ケアサポートが開設するデイサービスさくら亭(以下「事業所」という。）が行う指定地域密着型通所介護の事業（以下「事業」という。）の適正な運営を確保するために人員及び管理運営に関する事項を定め、事業所毎に置くべき従業者（以下「地域密着型通所介護従業者」という。）が、要介護状態にある高齢者に対し、適正な指定地域密着型通所介護を提供することを目的とする。</v>
      </c>
      <c r="D8" s="1013"/>
      <c r="E8" s="1013"/>
      <c r="F8" s="1013"/>
      <c r="G8" s="1013"/>
      <c r="H8" s="1013"/>
      <c r="I8" s="1013"/>
      <c r="J8" s="1013"/>
      <c r="K8" s="1013"/>
      <c r="L8" s="1013"/>
      <c r="M8" s="1013"/>
      <c r="N8" s="1013"/>
      <c r="O8" s="1013"/>
      <c r="P8" s="1013"/>
      <c r="Q8" s="1013"/>
      <c r="R8" s="1013"/>
      <c r="S8" s="1013"/>
      <c r="T8" s="1013"/>
    </row>
    <row r="9" spans="1:21" s="31" customFormat="1" ht="15" customHeight="1">
      <c r="B9" s="32"/>
      <c r="C9" s="32"/>
    </row>
    <row r="10" spans="1:21" s="31" customFormat="1" ht="15" customHeight="1">
      <c r="A10" s="31" t="s">
        <v>1320</v>
      </c>
      <c r="B10" s="32"/>
      <c r="C10" s="32"/>
    </row>
    <row r="11" spans="1:21" s="31" customFormat="1" ht="15" customHeight="1">
      <c r="A11" s="31" t="s">
        <v>728</v>
      </c>
      <c r="B11" s="32"/>
      <c r="C11" s="1013" t="s">
        <v>1361</v>
      </c>
      <c r="D11" s="1013"/>
      <c r="E11" s="1013"/>
      <c r="F11" s="1013"/>
      <c r="G11" s="1013"/>
      <c r="H11" s="1013"/>
      <c r="I11" s="1013"/>
      <c r="J11" s="1013"/>
      <c r="K11" s="1013"/>
      <c r="L11" s="1013"/>
      <c r="M11" s="1013"/>
      <c r="N11" s="1013"/>
      <c r="O11" s="1013"/>
      <c r="P11" s="1013"/>
      <c r="Q11" s="1013"/>
      <c r="R11" s="1013"/>
      <c r="S11" s="1013"/>
      <c r="T11" s="1013"/>
    </row>
    <row r="12" spans="1:21" s="31" customFormat="1" ht="15" customHeight="1">
      <c r="B12" s="32"/>
      <c r="C12" s="1013"/>
      <c r="D12" s="1013"/>
      <c r="E12" s="1013"/>
      <c r="F12" s="1013"/>
      <c r="G12" s="1013"/>
      <c r="H12" s="1013"/>
      <c r="I12" s="1013"/>
      <c r="J12" s="1013"/>
      <c r="K12" s="1013"/>
      <c r="L12" s="1013"/>
      <c r="M12" s="1013"/>
      <c r="N12" s="1013"/>
      <c r="O12" s="1013"/>
      <c r="P12" s="1013"/>
      <c r="Q12" s="1013"/>
      <c r="R12" s="1013"/>
      <c r="S12" s="1013"/>
      <c r="T12" s="1013"/>
    </row>
    <row r="13" spans="1:21" s="31" customFormat="1" ht="15" customHeight="1">
      <c r="B13" s="32"/>
      <c r="C13" s="1013"/>
      <c r="D13" s="1013"/>
      <c r="E13" s="1013"/>
      <c r="F13" s="1013"/>
      <c r="G13" s="1013"/>
      <c r="H13" s="1013"/>
      <c r="I13" s="1013"/>
      <c r="J13" s="1013"/>
      <c r="K13" s="1013"/>
      <c r="L13" s="1013"/>
      <c r="M13" s="1013"/>
      <c r="N13" s="1013"/>
      <c r="O13" s="1013"/>
      <c r="P13" s="1013"/>
      <c r="Q13" s="1013"/>
      <c r="R13" s="1013"/>
      <c r="S13" s="1013"/>
      <c r="T13" s="1013"/>
    </row>
    <row r="14" spans="1:21" s="31" customFormat="1" ht="15" customHeight="1">
      <c r="B14" s="32"/>
      <c r="C14" s="1013"/>
      <c r="D14" s="1013"/>
      <c r="E14" s="1013"/>
      <c r="F14" s="1013"/>
      <c r="G14" s="1013"/>
      <c r="H14" s="1013"/>
      <c r="I14" s="1013"/>
      <c r="J14" s="1013"/>
      <c r="K14" s="1013"/>
      <c r="L14" s="1013"/>
      <c r="M14" s="1013"/>
      <c r="N14" s="1013"/>
      <c r="O14" s="1013"/>
      <c r="P14" s="1013"/>
      <c r="Q14" s="1013"/>
      <c r="R14" s="1013"/>
      <c r="S14" s="1013"/>
      <c r="T14" s="1013"/>
    </row>
    <row r="15" spans="1:21" s="31" customFormat="1" ht="15" customHeight="1">
      <c r="B15" s="32"/>
      <c r="C15" s="1013"/>
      <c r="D15" s="1013"/>
      <c r="E15" s="1013"/>
      <c r="F15" s="1013"/>
      <c r="G15" s="1013"/>
      <c r="H15" s="1013"/>
      <c r="I15" s="1013"/>
      <c r="J15" s="1013"/>
      <c r="K15" s="1013"/>
      <c r="L15" s="1013"/>
      <c r="M15" s="1013"/>
      <c r="N15" s="1013"/>
      <c r="O15" s="1013"/>
      <c r="P15" s="1013"/>
      <c r="Q15" s="1013"/>
      <c r="R15" s="1013"/>
      <c r="S15" s="1013"/>
      <c r="T15" s="1013"/>
    </row>
    <row r="16" spans="1:21" s="31" customFormat="1" ht="15" customHeight="1">
      <c r="B16" s="32" t="s">
        <v>725</v>
      </c>
      <c r="C16" s="1013" t="s">
        <v>1362</v>
      </c>
      <c r="D16" s="1013"/>
      <c r="E16" s="1013"/>
      <c r="F16" s="1013"/>
      <c r="G16" s="1013"/>
      <c r="H16" s="1013"/>
      <c r="I16" s="1013"/>
      <c r="J16" s="1013"/>
      <c r="K16" s="1013"/>
      <c r="L16" s="1013"/>
      <c r="M16" s="1013"/>
      <c r="N16" s="1013"/>
      <c r="O16" s="1013"/>
      <c r="P16" s="1013"/>
      <c r="Q16" s="1013"/>
      <c r="R16" s="1013"/>
      <c r="S16" s="1013"/>
      <c r="T16" s="1013"/>
    </row>
    <row r="17" spans="1:22" s="31" customFormat="1" ht="15" customHeight="1">
      <c r="B17" s="32"/>
      <c r="C17" s="1013"/>
      <c r="D17" s="1013"/>
      <c r="E17" s="1013"/>
      <c r="F17" s="1013"/>
      <c r="G17" s="1013"/>
      <c r="H17" s="1013"/>
      <c r="I17" s="1013"/>
      <c r="J17" s="1013"/>
      <c r="K17" s="1013"/>
      <c r="L17" s="1013"/>
      <c r="M17" s="1013"/>
      <c r="N17" s="1013"/>
      <c r="O17" s="1013"/>
      <c r="P17" s="1013"/>
      <c r="Q17" s="1013"/>
      <c r="R17" s="1013"/>
      <c r="S17" s="1013"/>
      <c r="T17" s="1013"/>
    </row>
    <row r="18" spans="1:22" s="31" customFormat="1" ht="15" customHeight="1">
      <c r="B18" s="32" t="s">
        <v>741</v>
      </c>
      <c r="C18" s="1013" t="s">
        <v>1363</v>
      </c>
      <c r="D18" s="1013"/>
      <c r="E18" s="1013"/>
      <c r="F18" s="1013"/>
      <c r="G18" s="1013"/>
      <c r="H18" s="1013"/>
      <c r="I18" s="1013"/>
      <c r="J18" s="1013"/>
      <c r="K18" s="1013"/>
      <c r="L18" s="1013"/>
      <c r="M18" s="1013"/>
      <c r="N18" s="1013"/>
      <c r="O18" s="1013"/>
      <c r="P18" s="1013"/>
      <c r="Q18" s="1013"/>
      <c r="R18" s="1013"/>
      <c r="S18" s="1013"/>
      <c r="T18" s="1013"/>
    </row>
    <row r="19" spans="1:22" s="31" customFormat="1" ht="15" customHeight="1">
      <c r="B19" s="32"/>
      <c r="C19" s="1013"/>
      <c r="D19" s="1013"/>
      <c r="E19" s="1013"/>
      <c r="F19" s="1013"/>
      <c r="G19" s="1013"/>
      <c r="H19" s="1013"/>
      <c r="I19" s="1013"/>
      <c r="J19" s="1013"/>
      <c r="K19" s="1013"/>
      <c r="L19" s="1013"/>
      <c r="M19" s="1013"/>
      <c r="N19" s="1013"/>
      <c r="O19" s="1013"/>
      <c r="P19" s="1013"/>
      <c r="Q19" s="1013"/>
      <c r="R19" s="1013"/>
      <c r="S19" s="1013"/>
      <c r="T19" s="1013"/>
    </row>
    <row r="20" spans="1:22" s="31" customFormat="1" ht="15" customHeight="1">
      <c r="B20" s="32" t="s">
        <v>743</v>
      </c>
      <c r="C20" s="1013" t="s">
        <v>1364</v>
      </c>
      <c r="D20" s="1013"/>
      <c r="E20" s="1013"/>
      <c r="F20" s="1013"/>
      <c r="G20" s="1013"/>
      <c r="H20" s="1013"/>
      <c r="I20" s="1013"/>
      <c r="J20" s="1013"/>
      <c r="K20" s="1013"/>
      <c r="L20" s="1013"/>
      <c r="M20" s="1013"/>
      <c r="N20" s="1013"/>
      <c r="O20" s="1013"/>
      <c r="P20" s="1013"/>
      <c r="Q20" s="1013"/>
      <c r="R20" s="1013"/>
      <c r="S20" s="1013"/>
      <c r="T20" s="1013"/>
      <c r="V20" s="196"/>
    </row>
    <row r="21" spans="1:22" s="31" customFormat="1" ht="15" customHeight="1">
      <c r="B21" s="32"/>
      <c r="C21" s="1013"/>
      <c r="D21" s="1013"/>
      <c r="E21" s="1013"/>
      <c r="F21" s="1013"/>
      <c r="G21" s="1013"/>
      <c r="H21" s="1013"/>
      <c r="I21" s="1013"/>
      <c r="J21" s="1013"/>
      <c r="K21" s="1013"/>
      <c r="L21" s="1013"/>
      <c r="M21" s="1013"/>
      <c r="N21" s="1013"/>
      <c r="O21" s="1013"/>
      <c r="P21" s="1013"/>
      <c r="Q21" s="1013"/>
      <c r="R21" s="1013"/>
      <c r="S21" s="1013"/>
      <c r="T21" s="1013"/>
    </row>
    <row r="22" spans="1:22" s="31" customFormat="1" ht="15" customHeight="1">
      <c r="B22" s="32"/>
      <c r="C22" s="1013"/>
      <c r="D22" s="1013"/>
      <c r="E22" s="1013"/>
      <c r="F22" s="1013"/>
      <c r="G22" s="1013"/>
      <c r="H22" s="1013"/>
      <c r="I22" s="1013"/>
      <c r="J22" s="1013"/>
      <c r="K22" s="1013"/>
      <c r="L22" s="1013"/>
      <c r="M22" s="1013"/>
      <c r="N22" s="1013"/>
      <c r="O22" s="1013"/>
      <c r="P22" s="1013"/>
      <c r="Q22" s="1013"/>
      <c r="R22" s="1013"/>
      <c r="S22" s="1013"/>
      <c r="T22" s="1013"/>
    </row>
    <row r="23" spans="1:22" s="31" customFormat="1" ht="15" customHeight="1">
      <c r="B23" s="32" t="s">
        <v>749</v>
      </c>
      <c r="C23" s="1013" t="s">
        <v>1365</v>
      </c>
      <c r="D23" s="1013"/>
      <c r="E23" s="1013"/>
      <c r="F23" s="1013"/>
      <c r="G23" s="1013"/>
      <c r="H23" s="1013"/>
      <c r="I23" s="1013"/>
      <c r="J23" s="1013"/>
      <c r="K23" s="1013"/>
      <c r="L23" s="1013"/>
      <c r="M23" s="1013"/>
      <c r="N23" s="1013"/>
      <c r="O23" s="1013"/>
      <c r="P23" s="1013"/>
      <c r="Q23" s="1013"/>
      <c r="R23" s="1013"/>
      <c r="S23" s="1013"/>
      <c r="T23" s="1013"/>
    </row>
    <row r="24" spans="1:22" s="31" customFormat="1" ht="15" customHeight="1">
      <c r="B24" s="32"/>
      <c r="C24" s="1013"/>
      <c r="D24" s="1013"/>
      <c r="E24" s="1013"/>
      <c r="F24" s="1013"/>
      <c r="G24" s="1013"/>
      <c r="H24" s="1013"/>
      <c r="I24" s="1013"/>
      <c r="J24" s="1013"/>
      <c r="K24" s="1013"/>
      <c r="L24" s="1013"/>
      <c r="M24" s="1013"/>
      <c r="N24" s="1013"/>
      <c r="O24" s="1013"/>
      <c r="P24" s="1013"/>
      <c r="Q24" s="1013"/>
      <c r="R24" s="1013"/>
      <c r="S24" s="1013"/>
      <c r="T24" s="1013"/>
    </row>
    <row r="25" spans="1:22" s="31" customFormat="1" ht="15" customHeight="1">
      <c r="B25" s="32"/>
      <c r="C25" s="1013"/>
      <c r="D25" s="1013"/>
      <c r="E25" s="1013"/>
      <c r="F25" s="1013"/>
      <c r="G25" s="1013"/>
      <c r="H25" s="1013"/>
      <c r="I25" s="1013"/>
      <c r="J25" s="1013"/>
      <c r="K25" s="1013"/>
      <c r="L25" s="1013"/>
      <c r="M25" s="1013"/>
      <c r="N25" s="1013"/>
      <c r="O25" s="1013"/>
      <c r="P25" s="1013"/>
      <c r="Q25" s="1013"/>
      <c r="R25" s="1013"/>
      <c r="S25" s="1013"/>
      <c r="T25" s="1013"/>
    </row>
    <row r="26" spans="1:22" s="31" customFormat="1" ht="15" customHeight="1">
      <c r="B26" s="32"/>
      <c r="C26" s="1013"/>
      <c r="D26" s="1013"/>
      <c r="E26" s="1013"/>
      <c r="F26" s="1013"/>
      <c r="G26" s="1013"/>
      <c r="H26" s="1013"/>
      <c r="I26" s="1013"/>
      <c r="J26" s="1013"/>
      <c r="K26" s="1013"/>
      <c r="L26" s="1013"/>
      <c r="M26" s="1013"/>
      <c r="N26" s="1013"/>
      <c r="O26" s="1013"/>
      <c r="P26" s="1013"/>
      <c r="Q26" s="1013"/>
      <c r="R26" s="1013"/>
      <c r="S26" s="1013"/>
      <c r="T26" s="1013"/>
    </row>
    <row r="27" spans="1:22" s="31" customFormat="1" ht="15" customHeight="1">
      <c r="B27" s="32" t="s">
        <v>751</v>
      </c>
      <c r="C27" s="1013" t="str">
        <f>DBCS("　前５項の他、"&amp;【マスター】!C19&amp;"に定める内容を遵守し、事業を実施するものとする。")</f>
        <v>　前５項の他、指定居宅サービスの事業の人員、設備及び運営に関する基準等を定める条例（平成２４年１２月２５日）に定める内容を遵守し、事業を実施するものとする。</v>
      </c>
      <c r="D27" s="1013"/>
      <c r="E27" s="1013"/>
      <c r="F27" s="1013"/>
      <c r="G27" s="1013"/>
      <c r="H27" s="1013"/>
      <c r="I27" s="1013"/>
      <c r="J27" s="1013"/>
      <c r="K27" s="1013"/>
      <c r="L27" s="1013"/>
      <c r="M27" s="1013"/>
      <c r="N27" s="1013"/>
      <c r="O27" s="1013"/>
      <c r="P27" s="1013"/>
      <c r="Q27" s="1013"/>
      <c r="R27" s="1013"/>
      <c r="S27" s="1013"/>
      <c r="T27" s="1013"/>
    </row>
    <row r="28" spans="1:22" s="31" customFormat="1" ht="15" customHeight="1">
      <c r="B28" s="32"/>
      <c r="C28" s="1013"/>
      <c r="D28" s="1013"/>
      <c r="E28" s="1013"/>
      <c r="F28" s="1013"/>
      <c r="G28" s="1013"/>
      <c r="H28" s="1013"/>
      <c r="I28" s="1013"/>
      <c r="J28" s="1013"/>
      <c r="K28" s="1013"/>
      <c r="L28" s="1013"/>
      <c r="M28" s="1013"/>
      <c r="N28" s="1013"/>
      <c r="O28" s="1013"/>
      <c r="P28" s="1013"/>
      <c r="Q28" s="1013"/>
      <c r="R28" s="1013"/>
      <c r="S28" s="1013"/>
      <c r="T28" s="1013"/>
    </row>
    <row r="29" spans="1:22" s="31" customFormat="1" ht="15" customHeight="1">
      <c r="B29" s="32"/>
      <c r="C29" s="1013"/>
      <c r="D29" s="1013"/>
      <c r="E29" s="1013"/>
      <c r="F29" s="1013"/>
      <c r="G29" s="1013"/>
      <c r="H29" s="1013"/>
      <c r="I29" s="1013"/>
      <c r="J29" s="1013"/>
      <c r="K29" s="1013"/>
      <c r="L29" s="1013"/>
      <c r="M29" s="1013"/>
      <c r="N29" s="1013"/>
      <c r="O29" s="1013"/>
      <c r="P29" s="1013"/>
      <c r="Q29" s="1013"/>
      <c r="R29" s="1013"/>
      <c r="S29" s="1013"/>
      <c r="T29" s="1013"/>
    </row>
    <row r="30" spans="1:22" s="31" customFormat="1" ht="15" customHeight="1">
      <c r="B30" s="32"/>
      <c r="C30" s="513"/>
      <c r="D30" s="512"/>
      <c r="E30" s="512"/>
      <c r="F30" s="512"/>
      <c r="G30" s="512"/>
      <c r="H30" s="512"/>
      <c r="I30" s="512"/>
      <c r="J30" s="512"/>
      <c r="K30" s="512"/>
      <c r="L30" s="512"/>
      <c r="M30" s="512"/>
      <c r="N30" s="512"/>
      <c r="O30" s="512"/>
      <c r="P30" s="512"/>
      <c r="Q30" s="512"/>
      <c r="R30" s="512"/>
      <c r="S30" s="512"/>
      <c r="T30" s="512"/>
    </row>
    <row r="31" spans="1:22" s="31" customFormat="1" ht="15" customHeight="1">
      <c r="A31" s="31" t="s">
        <v>1366</v>
      </c>
      <c r="B31" s="32"/>
      <c r="C31" s="32"/>
    </row>
    <row r="32" spans="1:22" s="31" customFormat="1" ht="15" customHeight="1">
      <c r="A32" s="31" t="s">
        <v>735</v>
      </c>
      <c r="B32" s="32"/>
      <c r="C32" s="1013" t="s">
        <v>1367</v>
      </c>
      <c r="D32" s="1013"/>
      <c r="E32" s="1013"/>
      <c r="F32" s="1013"/>
      <c r="G32" s="1013"/>
      <c r="H32" s="1013"/>
      <c r="I32" s="1013"/>
      <c r="J32" s="1013"/>
      <c r="K32" s="1013"/>
      <c r="L32" s="1013"/>
      <c r="M32" s="1013"/>
      <c r="N32" s="1013"/>
      <c r="O32" s="1013"/>
      <c r="P32" s="1013"/>
      <c r="Q32" s="1013"/>
      <c r="R32" s="1013"/>
      <c r="S32" s="1013"/>
      <c r="T32" s="1013"/>
    </row>
    <row r="33" spans="1:20" s="31" customFormat="1" ht="15" customHeight="1">
      <c r="B33" s="1233" t="s">
        <v>745</v>
      </c>
      <c r="C33" s="1233"/>
      <c r="D33" s="2125" t="s">
        <v>1368</v>
      </c>
      <c r="E33" s="2125"/>
      <c r="F33" s="2125" t="str">
        <f>IF(【マスター】!C7="","",【マスター】!C7)</f>
        <v>デイサービスさくら亭</v>
      </c>
      <c r="G33" s="2125"/>
      <c r="H33" s="2125"/>
      <c r="I33" s="2125"/>
      <c r="J33" s="2125"/>
      <c r="K33" s="2125"/>
      <c r="L33" s="2125"/>
      <c r="M33" s="2125"/>
      <c r="N33" s="2125"/>
      <c r="O33" s="2125"/>
      <c r="P33" s="2125"/>
      <c r="Q33" s="2125"/>
      <c r="R33" s="2125"/>
      <c r="S33" s="2125"/>
      <c r="T33" s="2125"/>
    </row>
    <row r="34" spans="1:20" s="31" customFormat="1" ht="15" customHeight="1">
      <c r="B34" s="1227" t="s">
        <v>747</v>
      </c>
      <c r="C34" s="1227"/>
      <c r="D34" s="2125" t="s">
        <v>1369</v>
      </c>
      <c r="E34" s="2125"/>
      <c r="F34" s="2125" t="str">
        <f>DBCS(【マスター】!F8&amp;【マスター】!C9)</f>
        <v>愛知県豊橋市東田中郷町１１番</v>
      </c>
      <c r="G34" s="2125"/>
      <c r="H34" s="2125"/>
      <c r="I34" s="2125"/>
      <c r="J34" s="2125"/>
      <c r="K34" s="2125"/>
      <c r="L34" s="2125"/>
      <c r="M34" s="2125"/>
      <c r="N34" s="2125"/>
      <c r="O34" s="2125"/>
      <c r="P34" s="2125"/>
      <c r="Q34" s="2125"/>
      <c r="R34" s="2125"/>
      <c r="S34" s="2125"/>
      <c r="T34" s="2125"/>
    </row>
    <row r="35" spans="1:20" s="31" customFormat="1" ht="15" customHeight="1">
      <c r="B35" s="32"/>
      <c r="C35" s="32"/>
    </row>
    <row r="36" spans="1:20" s="31" customFormat="1" ht="15" customHeight="1">
      <c r="A36" s="31" t="s">
        <v>1370</v>
      </c>
      <c r="B36" s="32"/>
      <c r="C36" s="32"/>
    </row>
    <row r="37" spans="1:20" s="31" customFormat="1" ht="15" customHeight="1">
      <c r="A37" s="31" t="s">
        <v>738</v>
      </c>
      <c r="B37" s="32"/>
      <c r="C37" s="1013" t="s">
        <v>1371</v>
      </c>
      <c r="D37" s="1013"/>
      <c r="E37" s="1013"/>
      <c r="F37" s="1013"/>
      <c r="G37" s="1013"/>
      <c r="H37" s="1013"/>
      <c r="I37" s="1013"/>
      <c r="J37" s="1013"/>
      <c r="K37" s="1013"/>
      <c r="L37" s="1013"/>
      <c r="M37" s="1013"/>
      <c r="N37" s="1013"/>
      <c r="O37" s="1013"/>
      <c r="P37" s="1013"/>
      <c r="Q37" s="1013"/>
      <c r="R37" s="1013"/>
      <c r="S37" s="1013"/>
      <c r="T37" s="1013"/>
    </row>
    <row r="38" spans="1:20" s="31" customFormat="1" ht="15" customHeight="1">
      <c r="B38" s="1233" t="s">
        <v>745</v>
      </c>
      <c r="C38" s="1233"/>
      <c r="D38" s="31" t="s">
        <v>159</v>
      </c>
      <c r="E38" s="33"/>
      <c r="H38" s="31" t="str">
        <f>IF(【マスター】!C37="","常勤１名","常勤１名（"&amp;【マスター】!C37&amp;"と兼務）")</f>
        <v>常勤１名（介護職員と兼務）</v>
      </c>
    </row>
    <row r="39" spans="1:20" s="31" customFormat="1" ht="15" customHeight="1">
      <c r="B39" s="163"/>
      <c r="C39" s="163"/>
      <c r="D39" s="1013" t="s">
        <v>1372</v>
      </c>
      <c r="E39" s="1013"/>
      <c r="F39" s="1013"/>
      <c r="G39" s="1013"/>
      <c r="H39" s="1013"/>
      <c r="I39" s="1013"/>
      <c r="J39" s="1013"/>
      <c r="K39" s="1013"/>
      <c r="L39" s="1013"/>
      <c r="M39" s="1013"/>
      <c r="N39" s="1013"/>
      <c r="O39" s="1013"/>
      <c r="P39" s="1013"/>
      <c r="Q39" s="1013"/>
      <c r="R39" s="1013"/>
      <c r="S39" s="1013"/>
      <c r="T39" s="1013"/>
    </row>
    <row r="40" spans="1:20" s="31" customFormat="1" ht="15" customHeight="1">
      <c r="B40" s="163"/>
      <c r="C40" s="163"/>
      <c r="D40" s="1013"/>
      <c r="E40" s="1013"/>
      <c r="F40" s="1013"/>
      <c r="G40" s="1013"/>
      <c r="H40" s="1013"/>
      <c r="I40" s="1013"/>
      <c r="J40" s="1013"/>
      <c r="K40" s="1013"/>
      <c r="L40" s="1013"/>
      <c r="M40" s="1013"/>
      <c r="N40" s="1013"/>
      <c r="O40" s="1013"/>
      <c r="P40" s="1013"/>
      <c r="Q40" s="1013"/>
      <c r="R40" s="1013"/>
      <c r="S40" s="1013"/>
      <c r="T40" s="1013"/>
    </row>
    <row r="41" spans="1:20" s="31" customFormat="1" ht="15" customHeight="1">
      <c r="B41" s="163"/>
      <c r="C41" s="163"/>
      <c r="D41" s="1013"/>
      <c r="E41" s="1013"/>
      <c r="F41" s="1013"/>
      <c r="G41" s="1013"/>
      <c r="H41" s="1013"/>
      <c r="I41" s="1013"/>
      <c r="J41" s="1013"/>
      <c r="K41" s="1013"/>
      <c r="L41" s="1013"/>
      <c r="M41" s="1013"/>
      <c r="N41" s="1013"/>
      <c r="O41" s="1013"/>
      <c r="P41" s="1013"/>
      <c r="Q41" s="1013"/>
      <c r="R41" s="1013"/>
      <c r="S41" s="1013"/>
      <c r="T41" s="1013"/>
    </row>
    <row r="42" spans="1:20" s="31" customFormat="1" ht="15" customHeight="1">
      <c r="B42" s="1227" t="s">
        <v>747</v>
      </c>
      <c r="C42" s="1227"/>
      <c r="D42" s="31" t="s">
        <v>1373</v>
      </c>
      <c r="H42" s="31" t="str">
        <f>DBCS(IF(【マスター】!$D$33=0,"常勤専従　０名","常勤専従　"&amp;【マスター】!$D$33&amp;"名"))</f>
        <v>常勤専従　０名</v>
      </c>
      <c r="M42" s="31" t="str">
        <f>DBCS(IF(【マスター】!$F$33=0,"常勤兼務　０名","常勤兼務　"&amp;【マスター】!$F$33&amp;"名"))</f>
        <v>常勤兼務　３名</v>
      </c>
    </row>
    <row r="43" spans="1:20" s="31" customFormat="1" ht="15" customHeight="1">
      <c r="B43" s="162"/>
      <c r="C43" s="162"/>
      <c r="H43" s="31" t="str">
        <f>DBCS(IF(【マスター】!$H$33=0,"非常勤専従０名","非常勤専従"&amp;【マスター】!$H$33&amp;"名"))</f>
        <v>非常勤専従０名</v>
      </c>
      <c r="M43" s="31" t="str">
        <f>DBCS(IF(【マスター】!$J$33=0,"非常勤兼務０名","非常勤兼務"&amp;【マスター】!$J$33&amp;"名"))</f>
        <v>非常勤兼務０名</v>
      </c>
    </row>
    <row r="44" spans="1:20" s="31" customFormat="1" ht="15" customHeight="1">
      <c r="B44" s="162"/>
      <c r="C44" s="162"/>
      <c r="D44" s="1013" t="s">
        <v>1374</v>
      </c>
      <c r="E44" s="1013"/>
      <c r="F44" s="1013"/>
      <c r="G44" s="1013"/>
      <c r="H44" s="1013"/>
      <c r="I44" s="1013"/>
      <c r="J44" s="1013"/>
      <c r="K44" s="1013"/>
      <c r="L44" s="1013"/>
      <c r="M44" s="1013"/>
      <c r="N44" s="1013"/>
      <c r="O44" s="1013"/>
      <c r="P44" s="1013"/>
      <c r="Q44" s="1013"/>
      <c r="R44" s="1013"/>
      <c r="S44" s="1013"/>
      <c r="T44" s="1013"/>
    </row>
    <row r="45" spans="1:20" s="31" customFormat="1" ht="15" customHeight="1">
      <c r="B45" s="162"/>
      <c r="C45" s="162"/>
      <c r="D45" s="1013"/>
      <c r="E45" s="1013"/>
      <c r="F45" s="1013"/>
      <c r="G45" s="1013"/>
      <c r="H45" s="1013"/>
      <c r="I45" s="1013"/>
      <c r="J45" s="1013"/>
      <c r="K45" s="1013"/>
      <c r="L45" s="1013"/>
      <c r="M45" s="1013"/>
      <c r="N45" s="1013"/>
      <c r="O45" s="1013"/>
      <c r="P45" s="1013"/>
      <c r="Q45" s="1013"/>
      <c r="R45" s="1013"/>
      <c r="S45" s="1013"/>
      <c r="T45" s="1013"/>
    </row>
    <row r="46" spans="1:20" s="31" customFormat="1" ht="15" customHeight="1">
      <c r="B46" s="162"/>
      <c r="C46" s="162"/>
      <c r="D46" s="1013"/>
      <c r="E46" s="1013"/>
      <c r="F46" s="1013"/>
      <c r="G46" s="1013"/>
      <c r="H46" s="1013"/>
      <c r="I46" s="1013"/>
      <c r="J46" s="1013"/>
      <c r="K46" s="1013"/>
      <c r="L46" s="1013"/>
      <c r="M46" s="1013"/>
      <c r="N46" s="1013"/>
      <c r="O46" s="1013"/>
      <c r="P46" s="1013"/>
      <c r="Q46" s="1013"/>
      <c r="R46" s="1013"/>
      <c r="S46" s="1013"/>
      <c r="T46" s="1013"/>
    </row>
    <row r="47" spans="1:20" s="31" customFormat="1" ht="15" customHeight="1">
      <c r="B47" s="162"/>
      <c r="C47" s="162"/>
      <c r="D47" s="1013"/>
      <c r="E47" s="1013"/>
      <c r="F47" s="1013"/>
      <c r="G47" s="1013"/>
      <c r="H47" s="1013"/>
      <c r="I47" s="1013"/>
      <c r="J47" s="1013"/>
      <c r="K47" s="1013"/>
      <c r="L47" s="1013"/>
      <c r="M47" s="1013"/>
      <c r="N47" s="1013"/>
      <c r="O47" s="1013"/>
      <c r="P47" s="1013"/>
      <c r="Q47" s="1013"/>
      <c r="R47" s="1013"/>
      <c r="S47" s="1013"/>
      <c r="T47" s="1013"/>
    </row>
    <row r="48" spans="1:20" s="31" customFormat="1" ht="15" customHeight="1">
      <c r="B48" s="1227" t="s">
        <v>775</v>
      </c>
      <c r="C48" s="1227"/>
      <c r="D48" s="31" t="s">
        <v>1375</v>
      </c>
      <c r="H48" s="31" t="str">
        <f>DBCS(IF(【マスター】!$D$34=0,"常勤専従　０名","常勤専従　"&amp;【マスター】!$D$34&amp;"名"))</f>
        <v>常勤専従　１名</v>
      </c>
      <c r="M48" s="31" t="str">
        <f>DBCS(IF(【マスター】!$F$34=0,"常勤兼務　０名","常勤兼務　"&amp;【マスター】!$F$34&amp;"名"))</f>
        <v>常勤兼務　５名</v>
      </c>
    </row>
    <row r="49" spans="1:20" s="31" customFormat="1" ht="15" customHeight="1">
      <c r="B49" s="162"/>
      <c r="C49" s="162"/>
      <c r="H49" s="31" t="str">
        <f>DBCS(IF(【マスター】!$H$34=0,"非常勤専従０名","非常勤専従"&amp;【マスター】!$H$34&amp;"名"))</f>
        <v>非常勤専従３名</v>
      </c>
      <c r="M49" s="31" t="str">
        <f>DBCS(IF(【マスター】!$J$34=0,"非常勤兼務０名","非常勤兼務"&amp;【マスター】!$J$34&amp;"名"))</f>
        <v>非常勤兼務０名</v>
      </c>
    </row>
    <row r="50" spans="1:20" s="31" customFormat="1" ht="15" customHeight="1">
      <c r="B50" s="162"/>
      <c r="C50" s="162"/>
      <c r="D50" s="1013" t="s">
        <v>1376</v>
      </c>
      <c r="E50" s="1013"/>
      <c r="F50" s="1013"/>
      <c r="G50" s="1013"/>
      <c r="H50" s="1013"/>
      <c r="I50" s="1013"/>
      <c r="J50" s="1013"/>
      <c r="K50" s="1013"/>
      <c r="L50" s="1013"/>
      <c r="M50" s="1013"/>
      <c r="N50" s="1013"/>
      <c r="O50" s="1013"/>
      <c r="P50" s="1013"/>
      <c r="Q50" s="1013"/>
      <c r="R50" s="1013"/>
      <c r="S50" s="1013"/>
      <c r="T50" s="1013"/>
    </row>
    <row r="51" spans="1:20" s="31" customFormat="1" ht="15" customHeight="1">
      <c r="B51" s="162"/>
      <c r="C51" s="162"/>
      <c r="D51" s="1013"/>
      <c r="E51" s="1013"/>
      <c r="F51" s="1013"/>
      <c r="G51" s="1013"/>
      <c r="H51" s="1013"/>
      <c r="I51" s="1013"/>
      <c r="J51" s="1013"/>
      <c r="K51" s="1013"/>
      <c r="L51" s="1013"/>
      <c r="M51" s="1013"/>
      <c r="N51" s="1013"/>
      <c r="O51" s="1013"/>
      <c r="P51" s="1013"/>
      <c r="Q51" s="1013"/>
      <c r="R51" s="1013"/>
      <c r="S51" s="1013"/>
      <c r="T51" s="1013"/>
    </row>
    <row r="52" spans="1:20" s="31" customFormat="1" ht="15" customHeight="1">
      <c r="B52" s="1227" t="s">
        <v>792</v>
      </c>
      <c r="C52" s="1227"/>
      <c r="D52" s="31" t="s">
        <v>1377</v>
      </c>
      <c r="H52" s="31" t="str">
        <f>DBCS(IF(【マスター】!$D$35=0,"常勤専従　０名","常勤専従　"&amp;【マスター】!$D$35&amp;"名"))</f>
        <v>常勤専従　０名</v>
      </c>
      <c r="M52" s="31" t="str">
        <f>DBCS(IF(【マスター】!$F$35=0,"常勤兼務　０名","常勤兼務　"&amp;【マスター】!$F$35&amp;"名"))</f>
        <v>常勤兼務　２名</v>
      </c>
    </row>
    <row r="53" spans="1:20" s="31" customFormat="1" ht="15" customHeight="1">
      <c r="B53" s="162"/>
      <c r="C53" s="162"/>
      <c r="H53" s="31" t="str">
        <f>DBCS(IF(【マスター】!$H$35=0,"非常勤専従０名","非常勤専従"&amp;【マスター】!$H$35&amp;"名"))</f>
        <v>非常勤専従０名</v>
      </c>
      <c r="M53" s="31" t="str">
        <f>DBCS(IF(【マスター】!$J$35=0,"非常勤兼務０名","非常勤兼務"&amp;【マスター】!$J$35&amp;"名"))</f>
        <v>非常勤兼務１名</v>
      </c>
    </row>
    <row r="54" spans="1:20" s="31" customFormat="1" ht="15" customHeight="1">
      <c r="B54" s="162"/>
      <c r="C54" s="162"/>
      <c r="D54" s="1013" t="s">
        <v>1378</v>
      </c>
      <c r="E54" s="1013"/>
      <c r="F54" s="1013"/>
      <c r="G54" s="1013"/>
      <c r="H54" s="1013"/>
      <c r="I54" s="1013"/>
      <c r="J54" s="1013"/>
      <c r="K54" s="1013"/>
      <c r="L54" s="1013"/>
      <c r="M54" s="1013"/>
      <c r="N54" s="1013"/>
      <c r="O54" s="1013"/>
      <c r="P54" s="1013"/>
      <c r="Q54" s="1013"/>
      <c r="R54" s="1013"/>
      <c r="S54" s="1013"/>
      <c r="T54" s="1013"/>
    </row>
    <row r="55" spans="1:20" s="31" customFormat="1" ht="15" customHeight="1">
      <c r="B55" s="162"/>
      <c r="C55" s="162"/>
      <c r="D55" s="1013"/>
      <c r="E55" s="1013"/>
      <c r="F55" s="1013"/>
      <c r="G55" s="1013"/>
      <c r="H55" s="1013"/>
      <c r="I55" s="1013"/>
      <c r="J55" s="1013"/>
      <c r="K55" s="1013"/>
      <c r="L55" s="1013"/>
      <c r="M55" s="1013"/>
      <c r="N55" s="1013"/>
      <c r="O55" s="1013"/>
      <c r="P55" s="1013"/>
      <c r="Q55" s="1013"/>
      <c r="R55" s="1013"/>
      <c r="S55" s="1013"/>
      <c r="T55" s="1013"/>
    </row>
    <row r="56" spans="1:20" s="563" customFormat="1" ht="15" customHeight="1">
      <c r="B56" s="1227" t="s">
        <v>1707</v>
      </c>
      <c r="C56" s="1227"/>
      <c r="D56" s="31" t="s">
        <v>155</v>
      </c>
      <c r="E56" s="31"/>
      <c r="F56" s="31"/>
      <c r="G56" s="31"/>
      <c r="H56" s="31" t="str">
        <f>DBCS(IF(【マスター】!$D$36=0,"常勤専従　０名","常勤専従　"&amp;【マスター】!$D$36&amp;"名"))</f>
        <v>常勤専従　０名</v>
      </c>
      <c r="I56" s="31"/>
      <c r="J56" s="31"/>
      <c r="K56" s="31"/>
      <c r="L56" s="31"/>
      <c r="M56" s="31" t="str">
        <f>DBCS(IF(【マスター】!$F$36=0,"常勤兼務　０名","常勤兼務　"&amp;【マスター】!$F$36&amp;"名"))</f>
        <v>常勤兼務　２名</v>
      </c>
      <c r="N56" s="31"/>
      <c r="O56" s="31"/>
      <c r="P56" s="31"/>
      <c r="Q56" s="31"/>
      <c r="R56" s="31"/>
      <c r="S56" s="31"/>
      <c r="T56" s="31"/>
    </row>
    <row r="57" spans="1:20" s="563" customFormat="1" ht="15" customHeight="1">
      <c r="B57" s="162"/>
      <c r="C57" s="162"/>
      <c r="D57" s="31"/>
      <c r="E57" s="31"/>
      <c r="F57" s="31"/>
      <c r="G57" s="31"/>
      <c r="H57" s="31" t="str">
        <f>DBCS(IF(【マスター】!$H$36=0,"非常勤専従０名","非常勤専従"&amp;【マスター】!$H$36&amp;"名"))</f>
        <v>非常勤専従０名</v>
      </c>
      <c r="I57" s="31"/>
      <c r="J57" s="31"/>
      <c r="K57" s="31"/>
      <c r="L57" s="31"/>
      <c r="M57" s="31" t="str">
        <f>DBCS(IF(【マスター】!$J$36=0,"非常勤兼務０名","非常勤兼務"&amp;【マスター】!$J$36&amp;"名"))</f>
        <v>非常勤兼務１名</v>
      </c>
      <c r="N57" s="31"/>
      <c r="O57" s="31"/>
      <c r="P57" s="31"/>
      <c r="Q57" s="31"/>
      <c r="R57" s="31"/>
      <c r="S57" s="31"/>
      <c r="T57" s="31"/>
    </row>
    <row r="58" spans="1:20" s="563" customFormat="1" ht="15" customHeight="1">
      <c r="B58" s="162"/>
      <c r="C58" s="162"/>
      <c r="D58" s="1013" t="s">
        <v>1708</v>
      </c>
      <c r="E58" s="1013"/>
      <c r="F58" s="1013"/>
      <c r="G58" s="1013"/>
      <c r="H58" s="1013"/>
      <c r="I58" s="1013"/>
      <c r="J58" s="1013"/>
      <c r="K58" s="1013"/>
      <c r="L58" s="1013"/>
      <c r="M58" s="1013"/>
      <c r="N58" s="1013"/>
      <c r="O58" s="1013"/>
      <c r="P58" s="1013"/>
      <c r="Q58" s="1013"/>
      <c r="R58" s="1013"/>
      <c r="S58" s="1013"/>
      <c r="T58" s="1013"/>
    </row>
    <row r="59" spans="1:20" s="563" customFormat="1" ht="15" customHeight="1">
      <c r="B59" s="162"/>
      <c r="C59" s="162"/>
      <c r="D59" s="1013"/>
      <c r="E59" s="1013"/>
      <c r="F59" s="1013"/>
      <c r="G59" s="1013"/>
      <c r="H59" s="1013"/>
      <c r="I59" s="1013"/>
      <c r="J59" s="1013"/>
      <c r="K59" s="1013"/>
      <c r="L59" s="1013"/>
      <c r="M59" s="1013"/>
      <c r="N59" s="1013"/>
      <c r="O59" s="1013"/>
      <c r="P59" s="1013"/>
      <c r="Q59" s="1013"/>
      <c r="R59" s="1013"/>
      <c r="S59" s="1013"/>
      <c r="T59" s="1013"/>
    </row>
    <row r="60" spans="1:20" s="31" customFormat="1" ht="15" customHeight="1">
      <c r="B60" s="32"/>
      <c r="C60" s="32"/>
    </row>
    <row r="61" spans="1:20" s="31" customFormat="1" ht="15" customHeight="1">
      <c r="A61" s="31" t="s">
        <v>1379</v>
      </c>
      <c r="B61" s="32"/>
      <c r="C61" s="32"/>
    </row>
    <row r="62" spans="1:20" s="31" customFormat="1" ht="15" customHeight="1">
      <c r="A62" s="31" t="s">
        <v>754</v>
      </c>
      <c r="B62" s="32"/>
      <c r="C62" s="32" t="s">
        <v>1380</v>
      </c>
    </row>
    <row r="63" spans="1:20" s="31" customFormat="1" ht="15" customHeight="1">
      <c r="B63" s="1233" t="s">
        <v>745</v>
      </c>
      <c r="C63" s="1233"/>
      <c r="D63" s="31" t="s">
        <v>1381</v>
      </c>
      <c r="J63" s="50" t="str">
        <f>【マスター】!K16</f>
        <v>月曜日～日曜日（祝日を含む）</v>
      </c>
    </row>
    <row r="64" spans="1:20" s="31" customFormat="1" ht="15" customHeight="1">
      <c r="B64" s="1227" t="s">
        <v>747</v>
      </c>
      <c r="C64" s="1227"/>
      <c r="D64" s="31" t="s">
        <v>1382</v>
      </c>
      <c r="J64" s="31" t="str">
        <f>DBCS("　"&amp;【マスター】!C13&amp;【マスター】!D13&amp;【マスター】!E13)</f>
        <v>　６：３０～２０：３０</v>
      </c>
    </row>
    <row r="65" spans="1:23" s="31" customFormat="1" ht="15" customHeight="1">
      <c r="B65" s="1227" t="s">
        <v>775</v>
      </c>
      <c r="C65" s="1227"/>
      <c r="D65" s="31" t="s">
        <v>1383</v>
      </c>
      <c r="J65" s="31" t="str">
        <f>DBCS("　"&amp;【マスター】!I13&amp;【マスター】!J13&amp;【マスター】!K13)</f>
        <v>　９：３０～１７：３０</v>
      </c>
    </row>
    <row r="66" spans="1:23" s="31" customFormat="1" ht="15" customHeight="1">
      <c r="B66" s="1227" t="s">
        <v>960</v>
      </c>
      <c r="C66" s="1227"/>
      <c r="D66" s="31" t="s">
        <v>1384</v>
      </c>
      <c r="J66" s="2125" t="str">
        <f>DBCS("　"&amp;【マスター】!C14&amp;W66&amp;【マスター】!E14)</f>
        <v>　６：３０～９：３０及び１７：３０～２０：３０</v>
      </c>
      <c r="K66" s="2125"/>
      <c r="L66" s="2125"/>
      <c r="M66" s="2125"/>
      <c r="N66" s="2125"/>
      <c r="O66" s="2125"/>
      <c r="P66" s="2125"/>
      <c r="Q66" s="2125"/>
      <c r="R66" s="2125"/>
      <c r="S66" s="2125"/>
      <c r="T66" s="2125"/>
      <c r="W66" s="31" t="str">
        <f>"～"&amp;【マスター】!I13&amp;"及び"&amp;【マスター】!K13&amp;"～"</f>
        <v>～9:30及び17:30～</v>
      </c>
    </row>
    <row r="67" spans="1:23" s="31" customFormat="1" ht="15" customHeight="1">
      <c r="B67" s="162"/>
      <c r="C67" s="162"/>
      <c r="J67" s="31" t="str">
        <f>IF(【マスター】!C74="有","　うち１時間は自費延長サービス（１００円）","")</f>
        <v/>
      </c>
    </row>
    <row r="68" spans="1:23" s="31" customFormat="1" ht="15" customHeight="1">
      <c r="B68" s="162"/>
      <c r="C68" s="162"/>
    </row>
    <row r="69" spans="1:23" s="31" customFormat="1" ht="15" customHeight="1">
      <c r="A69" s="31" t="s">
        <v>1385</v>
      </c>
      <c r="B69" s="32"/>
      <c r="C69" s="32"/>
    </row>
    <row r="70" spans="1:23" s="31" customFormat="1" ht="15" customHeight="1">
      <c r="A70" s="31" t="s">
        <v>760</v>
      </c>
      <c r="B70" s="32"/>
      <c r="C70" s="31" t="s">
        <v>1386</v>
      </c>
    </row>
    <row r="71" spans="1:23" s="31" customFormat="1" ht="15" customHeight="1">
      <c r="B71" s="32"/>
      <c r="D71" s="31" t="s">
        <v>1387</v>
      </c>
      <c r="H71" s="31" t="str">
        <f>DBCS(【マスター】!C18&amp;【マスター】!D18)</f>
        <v>１８名</v>
      </c>
    </row>
    <row r="72" spans="1:23" s="31" customFormat="1" ht="15" customHeight="1">
      <c r="B72" s="32"/>
    </row>
    <row r="73" spans="1:23" s="31" customFormat="1" ht="15" customHeight="1">
      <c r="A73" s="31" t="s">
        <v>1388</v>
      </c>
      <c r="B73" s="32"/>
      <c r="C73" s="32"/>
    </row>
    <row r="74" spans="1:23" s="31" customFormat="1" ht="15" customHeight="1">
      <c r="A74" s="31" t="s">
        <v>764</v>
      </c>
      <c r="B74" s="32"/>
      <c r="C74" s="1013" t="s">
        <v>1389</v>
      </c>
      <c r="D74" s="1013"/>
      <c r="E74" s="1013"/>
      <c r="F74" s="1013"/>
      <c r="G74" s="1013"/>
      <c r="H74" s="1013"/>
      <c r="I74" s="1013"/>
      <c r="J74" s="1013"/>
      <c r="K74" s="1013"/>
      <c r="L74" s="1013"/>
      <c r="M74" s="1013"/>
      <c r="N74" s="1013"/>
      <c r="O74" s="1013"/>
      <c r="P74" s="1013"/>
      <c r="Q74" s="1013"/>
      <c r="R74" s="1013"/>
      <c r="S74" s="1013"/>
      <c r="T74" s="1013"/>
    </row>
    <row r="75" spans="1:23" s="31" customFormat="1" ht="15" customHeight="1">
      <c r="B75" s="32"/>
      <c r="C75" s="1013"/>
      <c r="D75" s="1013"/>
      <c r="E75" s="1013"/>
      <c r="F75" s="1013"/>
      <c r="G75" s="1013"/>
      <c r="H75" s="1013"/>
      <c r="I75" s="1013"/>
      <c r="J75" s="1013"/>
      <c r="K75" s="1013"/>
      <c r="L75" s="1013"/>
      <c r="M75" s="1013"/>
      <c r="N75" s="1013"/>
      <c r="O75" s="1013"/>
      <c r="P75" s="1013"/>
      <c r="Q75" s="1013"/>
      <c r="R75" s="1013"/>
      <c r="S75" s="1013"/>
      <c r="T75" s="1013"/>
    </row>
    <row r="76" spans="1:23" s="31" customFormat="1" ht="15" customHeight="1">
      <c r="B76" s="32"/>
      <c r="C76" s="1013"/>
      <c r="D76" s="1013"/>
      <c r="E76" s="1013"/>
      <c r="F76" s="1013"/>
      <c r="G76" s="1013"/>
      <c r="H76" s="1013"/>
      <c r="I76" s="1013"/>
      <c r="J76" s="1013"/>
      <c r="K76" s="1013"/>
      <c r="L76" s="1013"/>
      <c r="M76" s="1013"/>
      <c r="N76" s="1013"/>
      <c r="O76" s="1013"/>
      <c r="P76" s="1013"/>
      <c r="Q76" s="1013"/>
      <c r="R76" s="1013"/>
      <c r="S76" s="1013"/>
      <c r="T76" s="1013"/>
    </row>
    <row r="77" spans="1:23" s="31" customFormat="1" ht="15" customHeight="1">
      <c r="B77" s="32"/>
      <c r="C77" s="1013"/>
      <c r="D77" s="1013"/>
      <c r="E77" s="1013"/>
      <c r="F77" s="1013"/>
      <c r="G77" s="1013"/>
      <c r="H77" s="1013"/>
      <c r="I77" s="1013"/>
      <c r="J77" s="1013"/>
      <c r="K77" s="1013"/>
      <c r="L77" s="1013"/>
      <c r="M77" s="1013"/>
      <c r="N77" s="1013"/>
      <c r="O77" s="1013"/>
      <c r="P77" s="1013"/>
      <c r="Q77" s="1013"/>
      <c r="R77" s="1013"/>
      <c r="S77" s="1013"/>
      <c r="T77" s="1013"/>
    </row>
    <row r="78" spans="1:23" s="31" customFormat="1" ht="15" customHeight="1">
      <c r="B78" s="1233" t="s">
        <v>745</v>
      </c>
      <c r="C78" s="1233"/>
      <c r="D78" s="49" t="s">
        <v>1390</v>
      </c>
      <c r="E78" s="512"/>
      <c r="F78" s="512"/>
      <c r="G78" s="512"/>
      <c r="H78" s="512"/>
      <c r="I78" s="512"/>
      <c r="J78" s="512"/>
      <c r="K78" s="512"/>
      <c r="L78" s="512"/>
      <c r="M78" s="512"/>
      <c r="N78" s="512"/>
      <c r="O78" s="512"/>
      <c r="P78" s="512"/>
      <c r="Q78" s="512"/>
      <c r="R78" s="512"/>
      <c r="S78" s="512"/>
      <c r="T78" s="512"/>
    </row>
    <row r="79" spans="1:23" s="31" customFormat="1" ht="15" customHeight="1">
      <c r="B79" s="32"/>
      <c r="C79" s="49"/>
      <c r="D79" s="49" t="s">
        <v>1391</v>
      </c>
      <c r="E79" s="49"/>
      <c r="F79" s="49"/>
      <c r="G79" s="49"/>
      <c r="H79" s="49"/>
      <c r="I79" s="49"/>
      <c r="J79" s="49"/>
      <c r="K79" s="49"/>
      <c r="L79" s="49"/>
      <c r="M79" s="49"/>
      <c r="N79" s="49"/>
      <c r="O79" s="49"/>
      <c r="P79" s="49"/>
      <c r="Q79" s="49"/>
      <c r="R79" s="49"/>
      <c r="S79" s="49"/>
      <c r="T79" s="49"/>
    </row>
    <row r="80" spans="1:23" s="31" customFormat="1" ht="15" customHeight="1">
      <c r="B80" s="32"/>
      <c r="C80" s="49"/>
      <c r="D80" s="49" t="s">
        <v>1392</v>
      </c>
      <c r="E80" s="49"/>
      <c r="F80" s="49"/>
      <c r="G80" s="49"/>
      <c r="H80" s="49"/>
      <c r="I80" s="49"/>
      <c r="J80" s="49"/>
      <c r="K80" s="49"/>
      <c r="L80" s="49"/>
      <c r="M80" s="49"/>
      <c r="N80" s="49"/>
      <c r="O80" s="49"/>
      <c r="P80" s="49"/>
      <c r="Q80" s="49"/>
      <c r="R80" s="49"/>
      <c r="S80" s="49"/>
      <c r="T80" s="49"/>
    </row>
    <row r="81" spans="2:20" s="31" customFormat="1" ht="15" customHeight="1">
      <c r="B81" s="1227" t="s">
        <v>747</v>
      </c>
      <c r="C81" s="1227"/>
      <c r="D81" s="49" t="s">
        <v>1393</v>
      </c>
      <c r="E81" s="49"/>
      <c r="F81" s="49"/>
      <c r="G81" s="49"/>
      <c r="H81" s="49"/>
      <c r="I81" s="49"/>
      <c r="J81" s="49"/>
      <c r="K81" s="49"/>
      <c r="L81" s="49"/>
      <c r="M81" s="49"/>
      <c r="N81" s="49"/>
      <c r="O81" s="49"/>
      <c r="P81" s="49"/>
      <c r="Q81" s="49"/>
      <c r="R81" s="49"/>
      <c r="S81" s="49"/>
      <c r="T81" s="49"/>
    </row>
    <row r="82" spans="2:20" s="31" customFormat="1" ht="15" customHeight="1">
      <c r="B82" s="32"/>
      <c r="C82" s="49"/>
      <c r="D82" s="1013" t="s">
        <v>1394</v>
      </c>
      <c r="E82" s="1013"/>
      <c r="F82" s="1013"/>
      <c r="G82" s="1013"/>
      <c r="H82" s="1013"/>
      <c r="I82" s="1013"/>
      <c r="J82" s="1013"/>
      <c r="K82" s="1013"/>
      <c r="L82" s="1013"/>
      <c r="M82" s="1013"/>
      <c r="N82" s="1013"/>
      <c r="O82" s="1013"/>
      <c r="P82" s="1013"/>
      <c r="Q82" s="1013"/>
      <c r="R82" s="1013"/>
      <c r="S82" s="1013"/>
      <c r="T82" s="1013"/>
    </row>
    <row r="83" spans="2:20" s="31" customFormat="1" ht="15" customHeight="1">
      <c r="B83" s="32"/>
      <c r="C83" s="49"/>
      <c r="D83" s="1013"/>
      <c r="E83" s="1013"/>
      <c r="F83" s="1013"/>
      <c r="G83" s="1013"/>
      <c r="H83" s="1013"/>
      <c r="I83" s="1013"/>
      <c r="J83" s="1013"/>
      <c r="K83" s="1013"/>
      <c r="L83" s="1013"/>
      <c r="M83" s="1013"/>
      <c r="N83" s="1013"/>
      <c r="O83" s="1013"/>
      <c r="P83" s="1013"/>
      <c r="Q83" s="1013"/>
      <c r="R83" s="1013"/>
      <c r="S83" s="1013"/>
      <c r="T83" s="1013"/>
    </row>
    <row r="84" spans="2:20" s="31" customFormat="1" ht="15" customHeight="1">
      <c r="B84" s="32"/>
      <c r="C84" s="49"/>
      <c r="D84" s="49" t="s">
        <v>1395</v>
      </c>
      <c r="E84" s="49"/>
      <c r="F84" s="49"/>
      <c r="G84" s="49"/>
      <c r="H84" s="49"/>
      <c r="I84" s="49"/>
      <c r="J84" s="49"/>
      <c r="K84" s="49"/>
      <c r="L84" s="49"/>
      <c r="M84" s="49"/>
      <c r="N84" s="49"/>
      <c r="O84" s="49"/>
      <c r="P84" s="49"/>
      <c r="Q84" s="49"/>
      <c r="R84" s="49"/>
      <c r="S84" s="49"/>
      <c r="T84" s="49"/>
    </row>
    <row r="85" spans="2:20" s="31" customFormat="1" ht="15" customHeight="1">
      <c r="B85" s="1227" t="s">
        <v>775</v>
      </c>
      <c r="C85" s="1227"/>
      <c r="D85" s="49" t="s">
        <v>1396</v>
      </c>
      <c r="E85" s="49"/>
      <c r="F85" s="49"/>
      <c r="G85" s="49"/>
      <c r="H85" s="49"/>
      <c r="I85" s="49"/>
      <c r="J85" s="49"/>
      <c r="K85" s="49"/>
      <c r="L85" s="49"/>
      <c r="M85" s="49"/>
      <c r="N85" s="49"/>
      <c r="O85" s="49"/>
      <c r="P85" s="49"/>
      <c r="Q85" s="49"/>
      <c r="R85" s="49"/>
      <c r="S85" s="49"/>
      <c r="T85" s="49"/>
    </row>
    <row r="86" spans="2:20" s="31" customFormat="1" ht="15" customHeight="1">
      <c r="B86" s="32"/>
      <c r="C86" s="49"/>
      <c r="D86" s="49" t="s">
        <v>1397</v>
      </c>
      <c r="E86" s="49"/>
      <c r="F86" s="49"/>
      <c r="G86" s="49"/>
      <c r="H86" s="49"/>
      <c r="I86" s="49"/>
      <c r="J86" s="49"/>
      <c r="K86" s="49"/>
      <c r="L86" s="49"/>
      <c r="M86" s="49"/>
      <c r="N86" s="49"/>
      <c r="O86" s="49"/>
      <c r="P86" s="49"/>
      <c r="Q86" s="49"/>
      <c r="R86" s="49"/>
      <c r="S86" s="49"/>
      <c r="T86" s="49"/>
    </row>
    <row r="87" spans="2:20" s="31" customFormat="1" ht="15" customHeight="1">
      <c r="B87" s="32"/>
      <c r="C87" s="49"/>
      <c r="D87" s="1013" t="s">
        <v>1398</v>
      </c>
      <c r="E87" s="1013"/>
      <c r="F87" s="1013"/>
      <c r="G87" s="1013"/>
      <c r="H87" s="1013"/>
      <c r="I87" s="1013"/>
      <c r="J87" s="1013"/>
      <c r="K87" s="1013"/>
      <c r="L87" s="1013"/>
      <c r="M87" s="1013"/>
      <c r="N87" s="1013"/>
      <c r="O87" s="1013"/>
      <c r="P87" s="1013"/>
      <c r="Q87" s="1013"/>
      <c r="R87" s="1013"/>
      <c r="S87" s="1013"/>
      <c r="T87" s="1013"/>
    </row>
    <row r="88" spans="2:20" s="31" customFormat="1" ht="15" customHeight="1">
      <c r="B88" s="1227" t="s">
        <v>792</v>
      </c>
      <c r="C88" s="1227"/>
      <c r="D88" s="49" t="s">
        <v>1399</v>
      </c>
      <c r="E88" s="49"/>
      <c r="F88" s="49"/>
      <c r="G88" s="49"/>
      <c r="H88" s="49"/>
      <c r="I88" s="49"/>
      <c r="J88" s="49"/>
      <c r="K88" s="49"/>
      <c r="L88" s="49"/>
      <c r="M88" s="49"/>
      <c r="N88" s="49"/>
      <c r="O88" s="49"/>
      <c r="P88" s="49"/>
      <c r="Q88" s="49"/>
      <c r="R88" s="49"/>
      <c r="S88" s="49"/>
      <c r="T88" s="49"/>
    </row>
    <row r="89" spans="2:20" s="31" customFormat="1" ht="15" customHeight="1">
      <c r="B89" s="162"/>
      <c r="C89" s="162"/>
      <c r="D89" s="1013" t="s">
        <v>1400</v>
      </c>
      <c r="E89" s="1013"/>
      <c r="F89" s="1013"/>
      <c r="G89" s="1013"/>
      <c r="H89" s="1013"/>
      <c r="I89" s="1013"/>
      <c r="J89" s="1013"/>
      <c r="K89" s="1013"/>
      <c r="L89" s="1013"/>
      <c r="M89" s="1013"/>
      <c r="N89" s="1013"/>
      <c r="O89" s="1013"/>
      <c r="P89" s="1013"/>
      <c r="Q89" s="1013"/>
      <c r="R89" s="1013"/>
      <c r="S89" s="1013"/>
      <c r="T89" s="1013"/>
    </row>
    <row r="90" spans="2:20" s="31" customFormat="1" ht="15" customHeight="1">
      <c r="B90" s="162"/>
      <c r="C90" s="162"/>
      <c r="D90" s="1013"/>
      <c r="E90" s="1013"/>
      <c r="F90" s="1013"/>
      <c r="G90" s="1013"/>
      <c r="H90" s="1013"/>
      <c r="I90" s="1013"/>
      <c r="J90" s="1013"/>
      <c r="K90" s="1013"/>
      <c r="L90" s="1013"/>
      <c r="M90" s="1013"/>
      <c r="N90" s="1013"/>
      <c r="O90" s="1013"/>
      <c r="P90" s="1013"/>
      <c r="Q90" s="1013"/>
      <c r="R90" s="1013"/>
      <c r="S90" s="1013"/>
      <c r="T90" s="1013"/>
    </row>
    <row r="91" spans="2:20" s="31" customFormat="1" ht="15" customHeight="1">
      <c r="B91" s="1227" t="s">
        <v>826</v>
      </c>
      <c r="C91" s="1227"/>
      <c r="D91" s="49" t="s">
        <v>1401</v>
      </c>
      <c r="E91" s="49"/>
      <c r="F91" s="49"/>
      <c r="G91" s="49"/>
      <c r="H91" s="49"/>
      <c r="I91" s="49"/>
      <c r="J91" s="49"/>
      <c r="K91" s="49"/>
      <c r="L91" s="49"/>
      <c r="M91" s="49"/>
      <c r="N91" s="49"/>
      <c r="O91" s="49"/>
      <c r="P91" s="49"/>
      <c r="Q91" s="49"/>
      <c r="R91" s="49"/>
      <c r="S91" s="49"/>
      <c r="T91" s="49"/>
    </row>
    <row r="92" spans="2:20" s="31" customFormat="1" ht="15" customHeight="1">
      <c r="B92" s="162"/>
      <c r="C92" s="162"/>
      <c r="D92" s="1013" t="s">
        <v>1402</v>
      </c>
      <c r="E92" s="1013"/>
      <c r="F92" s="1013"/>
      <c r="G92" s="1013"/>
      <c r="H92" s="1013"/>
      <c r="I92" s="1013"/>
      <c r="J92" s="1013"/>
      <c r="K92" s="1013"/>
      <c r="L92" s="1013"/>
      <c r="M92" s="1013"/>
      <c r="N92" s="1013"/>
      <c r="O92" s="1013"/>
      <c r="P92" s="1013"/>
      <c r="Q92" s="1013"/>
      <c r="R92" s="1013"/>
      <c r="S92" s="1013"/>
      <c r="T92" s="1013"/>
    </row>
    <row r="93" spans="2:20" s="31" customFormat="1" ht="15" customHeight="1">
      <c r="B93" s="162"/>
      <c r="C93" s="162"/>
      <c r="D93" s="1013"/>
      <c r="E93" s="1013"/>
      <c r="F93" s="1013"/>
      <c r="G93" s="1013"/>
      <c r="H93" s="1013"/>
      <c r="I93" s="1013"/>
      <c r="J93" s="1013"/>
      <c r="K93" s="1013"/>
      <c r="L93" s="1013"/>
      <c r="M93" s="1013"/>
      <c r="N93" s="1013"/>
      <c r="O93" s="1013"/>
      <c r="P93" s="1013"/>
      <c r="Q93" s="1013"/>
      <c r="R93" s="1013"/>
      <c r="S93" s="1013"/>
      <c r="T93" s="1013"/>
    </row>
    <row r="94" spans="2:20" s="31" customFormat="1" ht="15" customHeight="1">
      <c r="B94" s="162"/>
      <c r="C94" s="162"/>
      <c r="D94" s="1013"/>
      <c r="E94" s="1013"/>
      <c r="F94" s="1013"/>
      <c r="G94" s="1013"/>
      <c r="H94" s="1013"/>
      <c r="I94" s="1013"/>
      <c r="J94" s="1013"/>
      <c r="K94" s="1013"/>
      <c r="L94" s="1013"/>
      <c r="M94" s="1013"/>
      <c r="N94" s="1013"/>
      <c r="O94" s="1013"/>
      <c r="P94" s="1013"/>
      <c r="Q94" s="1013"/>
      <c r="R94" s="1013"/>
      <c r="S94" s="1013"/>
      <c r="T94" s="1013"/>
    </row>
    <row r="95" spans="2:20" s="31" customFormat="1" ht="15" customHeight="1">
      <c r="B95" s="162"/>
      <c r="C95" s="162"/>
      <c r="D95" s="1013" t="s">
        <v>1403</v>
      </c>
      <c r="E95" s="1013"/>
      <c r="F95" s="1013"/>
      <c r="G95" s="1013"/>
      <c r="H95" s="1013"/>
      <c r="I95" s="1013"/>
      <c r="J95" s="1013"/>
      <c r="K95" s="1013"/>
      <c r="L95" s="1013"/>
      <c r="M95" s="1013"/>
      <c r="N95" s="1013"/>
      <c r="O95" s="1013"/>
      <c r="P95" s="1013"/>
      <c r="Q95" s="1013"/>
      <c r="R95" s="1013"/>
      <c r="S95" s="1013"/>
      <c r="T95" s="1013"/>
    </row>
    <row r="96" spans="2:20" s="31" customFormat="1" ht="15" customHeight="1">
      <c r="B96" s="162"/>
      <c r="C96" s="162"/>
      <c r="D96" s="1013"/>
      <c r="E96" s="1013"/>
      <c r="F96" s="1013"/>
      <c r="G96" s="1013"/>
      <c r="H96" s="1013"/>
      <c r="I96" s="1013"/>
      <c r="J96" s="1013"/>
      <c r="K96" s="1013"/>
      <c r="L96" s="1013"/>
      <c r="M96" s="1013"/>
      <c r="N96" s="1013"/>
      <c r="O96" s="1013"/>
      <c r="P96" s="1013"/>
      <c r="Q96" s="1013"/>
      <c r="R96" s="1013"/>
      <c r="S96" s="1013"/>
      <c r="T96" s="1013"/>
    </row>
    <row r="97" spans="1:20" s="31" customFormat="1" ht="15" customHeight="1">
      <c r="B97" s="1227" t="s">
        <v>963</v>
      </c>
      <c r="C97" s="1227"/>
      <c r="D97" s="49" t="s">
        <v>1404</v>
      </c>
      <c r="E97" s="49"/>
      <c r="F97" s="49"/>
      <c r="G97" s="49"/>
      <c r="H97" s="49"/>
      <c r="I97" s="49"/>
      <c r="J97" s="49"/>
      <c r="K97" s="49"/>
      <c r="L97" s="49"/>
      <c r="M97" s="49"/>
      <c r="N97" s="49"/>
      <c r="O97" s="49"/>
      <c r="P97" s="49"/>
      <c r="Q97" s="49"/>
      <c r="R97" s="49"/>
      <c r="S97" s="49"/>
      <c r="T97" s="49"/>
    </row>
    <row r="98" spans="1:20" s="31" customFormat="1" ht="15" customHeight="1">
      <c r="B98" s="162"/>
      <c r="C98" s="162"/>
      <c r="D98" s="1013" t="s">
        <v>1405</v>
      </c>
      <c r="E98" s="1013"/>
      <c r="F98" s="1013"/>
      <c r="G98" s="1013"/>
      <c r="H98" s="1013"/>
      <c r="I98" s="1013"/>
      <c r="J98" s="1013"/>
      <c r="K98" s="1013"/>
      <c r="L98" s="1013"/>
      <c r="M98" s="1013"/>
      <c r="N98" s="1013"/>
      <c r="O98" s="1013"/>
      <c r="P98" s="1013"/>
      <c r="Q98" s="1013"/>
      <c r="R98" s="1013"/>
      <c r="S98" s="1013"/>
      <c r="T98" s="1013"/>
    </row>
    <row r="99" spans="1:20" s="31" customFormat="1" ht="15" customHeight="1">
      <c r="B99" s="162"/>
      <c r="C99" s="162"/>
      <c r="D99" s="1013"/>
      <c r="E99" s="1013"/>
      <c r="F99" s="1013"/>
      <c r="G99" s="1013"/>
      <c r="H99" s="1013"/>
      <c r="I99" s="1013"/>
      <c r="J99" s="1013"/>
      <c r="K99" s="1013"/>
      <c r="L99" s="1013"/>
      <c r="M99" s="1013"/>
      <c r="N99" s="1013"/>
      <c r="O99" s="1013"/>
      <c r="P99" s="1013"/>
      <c r="Q99" s="1013"/>
      <c r="R99" s="1013"/>
      <c r="S99" s="1013"/>
      <c r="T99" s="1013"/>
    </row>
    <row r="100" spans="1:20" s="31" customFormat="1" ht="15" customHeight="1">
      <c r="B100" s="162"/>
      <c r="C100" s="162"/>
      <c r="D100" s="49" t="s">
        <v>1406</v>
      </c>
      <c r="E100" s="49"/>
      <c r="F100" s="49"/>
      <c r="G100" s="49"/>
      <c r="H100" s="49"/>
      <c r="I100" s="49"/>
      <c r="J100" s="49"/>
      <c r="K100" s="49"/>
      <c r="L100" s="49"/>
      <c r="M100" s="49"/>
      <c r="N100" s="49"/>
      <c r="O100" s="49"/>
      <c r="P100" s="49"/>
      <c r="Q100" s="49"/>
      <c r="R100" s="49"/>
      <c r="S100" s="49"/>
      <c r="T100" s="49"/>
    </row>
    <row r="101" spans="1:20" s="31" customFormat="1" ht="15" customHeight="1">
      <c r="B101" s="1227" t="s">
        <v>965</v>
      </c>
      <c r="C101" s="1227"/>
      <c r="D101" s="49" t="s">
        <v>1407</v>
      </c>
      <c r="E101" s="49"/>
      <c r="F101" s="49"/>
      <c r="G101" s="49"/>
      <c r="H101" s="49"/>
      <c r="I101" s="49"/>
      <c r="J101" s="49"/>
      <c r="K101" s="49"/>
      <c r="L101" s="49"/>
      <c r="M101" s="49"/>
      <c r="N101" s="49"/>
      <c r="O101" s="49"/>
      <c r="P101" s="49"/>
      <c r="Q101" s="49"/>
      <c r="R101" s="49"/>
      <c r="S101" s="49"/>
      <c r="T101" s="49"/>
    </row>
    <row r="102" spans="1:20" s="31" customFormat="1" ht="15" customHeight="1">
      <c r="B102" s="32"/>
      <c r="C102" s="49"/>
      <c r="D102" s="1013" t="s">
        <v>1408</v>
      </c>
      <c r="E102" s="1013"/>
      <c r="F102" s="1013"/>
      <c r="G102" s="1013"/>
      <c r="H102" s="1013"/>
      <c r="I102" s="1013"/>
      <c r="J102" s="1013"/>
      <c r="K102" s="1013"/>
      <c r="L102" s="1013"/>
      <c r="M102" s="1013"/>
      <c r="N102" s="1013"/>
      <c r="O102" s="1013"/>
      <c r="P102" s="1013"/>
      <c r="Q102" s="1013"/>
      <c r="R102" s="1013"/>
      <c r="S102" s="1013"/>
      <c r="T102" s="1013"/>
    </row>
    <row r="103" spans="1:20" s="31" customFormat="1" ht="15" customHeight="1">
      <c r="B103" s="32"/>
      <c r="C103" s="49"/>
      <c r="D103" s="1013"/>
      <c r="E103" s="1013"/>
      <c r="F103" s="1013"/>
      <c r="G103" s="1013"/>
      <c r="H103" s="1013"/>
      <c r="I103" s="1013"/>
      <c r="J103" s="1013"/>
      <c r="K103" s="1013"/>
      <c r="L103" s="1013"/>
      <c r="M103" s="1013"/>
      <c r="N103" s="1013"/>
      <c r="O103" s="1013"/>
      <c r="P103" s="1013"/>
      <c r="Q103" s="1013"/>
      <c r="R103" s="1013"/>
      <c r="S103" s="1013"/>
      <c r="T103" s="1013"/>
    </row>
    <row r="104" spans="1:20" s="31" customFormat="1" ht="15" customHeight="1">
      <c r="B104" s="32"/>
      <c r="C104" s="32"/>
    </row>
    <row r="105" spans="1:20" s="31" customFormat="1" ht="15" customHeight="1">
      <c r="A105" s="31" t="s">
        <v>1409</v>
      </c>
      <c r="B105" s="32"/>
      <c r="C105" s="32"/>
    </row>
    <row r="106" spans="1:20" s="31" customFormat="1" ht="15" customHeight="1">
      <c r="A106" s="31" t="s">
        <v>767</v>
      </c>
      <c r="B106" s="32"/>
      <c r="C106" s="1013" t="s">
        <v>1410</v>
      </c>
      <c r="D106" s="1013"/>
      <c r="E106" s="1013"/>
      <c r="F106" s="1013"/>
      <c r="G106" s="1013"/>
      <c r="H106" s="1013"/>
      <c r="I106" s="1013"/>
      <c r="J106" s="1013"/>
      <c r="K106" s="1013"/>
      <c r="L106" s="1013"/>
      <c r="M106" s="1013"/>
      <c r="N106" s="1013"/>
      <c r="O106" s="1013"/>
      <c r="P106" s="1013"/>
      <c r="Q106" s="1013"/>
      <c r="R106" s="1013"/>
      <c r="S106" s="1013"/>
      <c r="T106" s="1013"/>
    </row>
    <row r="107" spans="1:20" s="31" customFormat="1" ht="15" customHeight="1">
      <c r="B107" s="32"/>
      <c r="C107" s="1013"/>
      <c r="D107" s="1013"/>
      <c r="E107" s="1013"/>
      <c r="F107" s="1013"/>
      <c r="G107" s="1013"/>
      <c r="H107" s="1013"/>
      <c r="I107" s="1013"/>
      <c r="J107" s="1013"/>
      <c r="K107" s="1013"/>
      <c r="L107" s="1013"/>
      <c r="M107" s="1013"/>
      <c r="N107" s="1013"/>
      <c r="O107" s="1013"/>
      <c r="P107" s="1013"/>
      <c r="Q107" s="1013"/>
      <c r="R107" s="1013"/>
      <c r="S107" s="1013"/>
      <c r="T107" s="1013"/>
    </row>
    <row r="108" spans="1:20" s="31" customFormat="1" ht="15" customHeight="1">
      <c r="B108" s="32"/>
      <c r="C108" s="1013"/>
      <c r="D108" s="1013"/>
      <c r="E108" s="1013"/>
      <c r="F108" s="1013"/>
      <c r="G108" s="1013"/>
      <c r="H108" s="1013"/>
      <c r="I108" s="1013"/>
      <c r="J108" s="1013"/>
      <c r="K108" s="1013"/>
      <c r="L108" s="1013"/>
      <c r="M108" s="1013"/>
      <c r="N108" s="1013"/>
      <c r="O108" s="1013"/>
      <c r="P108" s="1013"/>
      <c r="Q108" s="1013"/>
      <c r="R108" s="1013"/>
      <c r="S108" s="1013"/>
      <c r="T108" s="1013"/>
    </row>
    <row r="109" spans="1:20" s="31" customFormat="1" ht="15" customHeight="1">
      <c r="B109" s="32" t="s">
        <v>725</v>
      </c>
      <c r="C109" s="1013" t="s">
        <v>1411</v>
      </c>
      <c r="D109" s="1013"/>
      <c r="E109" s="1013"/>
      <c r="F109" s="1013"/>
      <c r="G109" s="1013"/>
      <c r="H109" s="1013"/>
      <c r="I109" s="1013"/>
      <c r="J109" s="1013"/>
      <c r="K109" s="1013"/>
      <c r="L109" s="1013"/>
      <c r="M109" s="1013"/>
      <c r="N109" s="1013"/>
      <c r="O109" s="1013"/>
      <c r="P109" s="1013"/>
      <c r="Q109" s="1013"/>
      <c r="R109" s="1013"/>
      <c r="S109" s="1013"/>
      <c r="T109" s="1013"/>
    </row>
    <row r="110" spans="1:20" s="31" customFormat="1" ht="15" customHeight="1">
      <c r="B110" s="32"/>
      <c r="C110" s="1013"/>
      <c r="D110" s="1013"/>
      <c r="E110" s="1013"/>
      <c r="F110" s="1013"/>
      <c r="G110" s="1013"/>
      <c r="H110" s="1013"/>
      <c r="I110" s="1013"/>
      <c r="J110" s="1013"/>
      <c r="K110" s="1013"/>
      <c r="L110" s="1013"/>
      <c r="M110" s="1013"/>
      <c r="N110" s="1013"/>
      <c r="O110" s="1013"/>
      <c r="P110" s="1013"/>
      <c r="Q110" s="1013"/>
      <c r="R110" s="1013"/>
      <c r="S110" s="1013"/>
      <c r="T110" s="1013"/>
    </row>
    <row r="111" spans="1:20" s="31" customFormat="1" ht="60" customHeight="1">
      <c r="B111" s="32" t="s">
        <v>741</v>
      </c>
      <c r="C111" s="1013" t="s">
        <v>1412</v>
      </c>
      <c r="D111" s="1013"/>
      <c r="E111" s="1013"/>
      <c r="F111" s="1013"/>
      <c r="G111" s="1013"/>
      <c r="H111" s="1013"/>
      <c r="I111" s="1013"/>
      <c r="J111" s="1013"/>
      <c r="K111" s="1013"/>
      <c r="L111" s="1013"/>
      <c r="M111" s="1013"/>
      <c r="N111" s="1013"/>
      <c r="O111" s="1013"/>
      <c r="P111" s="1013"/>
      <c r="Q111" s="1013"/>
      <c r="R111" s="1013"/>
      <c r="S111" s="1013"/>
      <c r="T111" s="1013"/>
    </row>
    <row r="112" spans="1:20" s="31" customFormat="1" ht="15" customHeight="1">
      <c r="B112" s="32"/>
      <c r="C112" s="32"/>
    </row>
    <row r="113" spans="1:23" s="31" customFormat="1" ht="15" customHeight="1">
      <c r="A113" s="31" t="s">
        <v>1413</v>
      </c>
      <c r="B113" s="32"/>
      <c r="C113" s="32"/>
    </row>
    <row r="114" spans="1:23" s="31" customFormat="1" ht="15" customHeight="1">
      <c r="A114" s="31" t="s">
        <v>771</v>
      </c>
      <c r="B114" s="32"/>
      <c r="C114" s="1093" t="s">
        <v>1414</v>
      </c>
      <c r="D114" s="1093"/>
      <c r="E114" s="1093"/>
      <c r="F114" s="1093"/>
      <c r="G114" s="1093"/>
      <c r="H114" s="1093"/>
      <c r="I114" s="1093"/>
      <c r="J114" s="1093"/>
      <c r="K114" s="1093"/>
      <c r="L114" s="1093"/>
      <c r="M114" s="1093"/>
      <c r="N114" s="1093"/>
      <c r="O114" s="1093"/>
      <c r="P114" s="1093"/>
      <c r="Q114" s="1093"/>
      <c r="R114" s="1093"/>
      <c r="S114" s="1093"/>
      <c r="T114" s="1093"/>
      <c r="W114" s="196"/>
    </row>
    <row r="115" spans="1:23" s="31" customFormat="1" ht="15" customHeight="1">
      <c r="B115" s="32"/>
      <c r="C115" s="1093"/>
      <c r="D115" s="1093"/>
      <c r="E115" s="1093"/>
      <c r="F115" s="1093"/>
      <c r="G115" s="1093"/>
      <c r="H115" s="1093"/>
      <c r="I115" s="1093"/>
      <c r="J115" s="1093"/>
      <c r="K115" s="1093"/>
      <c r="L115" s="1093"/>
      <c r="M115" s="1093"/>
      <c r="N115" s="1093"/>
      <c r="O115" s="1093"/>
      <c r="P115" s="1093"/>
      <c r="Q115" s="1093"/>
      <c r="R115" s="1093"/>
      <c r="S115" s="1093"/>
      <c r="T115" s="1093"/>
    </row>
    <row r="116" spans="1:23" s="31" customFormat="1" ht="15" customHeight="1">
      <c r="B116" s="32"/>
      <c r="C116" s="1093"/>
      <c r="D116" s="1093"/>
      <c r="E116" s="1093"/>
      <c r="F116" s="1093"/>
      <c r="G116" s="1093"/>
      <c r="H116" s="1093"/>
      <c r="I116" s="1093"/>
      <c r="J116" s="1093"/>
      <c r="K116" s="1093"/>
      <c r="L116" s="1093"/>
      <c r="M116" s="1093"/>
      <c r="N116" s="1093"/>
      <c r="O116" s="1093"/>
      <c r="P116" s="1093"/>
      <c r="Q116" s="1093"/>
      <c r="R116" s="1093"/>
      <c r="S116" s="1093"/>
      <c r="T116" s="1093"/>
    </row>
    <row r="117" spans="1:23" s="31" customFormat="1" ht="15" customHeight="1">
      <c r="B117" s="32"/>
      <c r="C117" s="1093"/>
      <c r="D117" s="1093"/>
      <c r="E117" s="1093"/>
      <c r="F117" s="1093"/>
      <c r="G117" s="1093"/>
      <c r="H117" s="1093"/>
      <c r="I117" s="1093"/>
      <c r="J117" s="1093"/>
      <c r="K117" s="1093"/>
      <c r="L117" s="1093"/>
      <c r="M117" s="1093"/>
      <c r="N117" s="1093"/>
      <c r="O117" s="1093"/>
      <c r="P117" s="1093"/>
      <c r="Q117" s="1093"/>
      <c r="R117" s="1093"/>
      <c r="S117" s="1093"/>
      <c r="T117" s="1093"/>
    </row>
    <row r="118" spans="1:23" s="31" customFormat="1" ht="15" customHeight="1">
      <c r="B118" s="32" t="s">
        <v>725</v>
      </c>
      <c r="C118" s="1013" t="s">
        <v>1415</v>
      </c>
      <c r="D118" s="1013"/>
      <c r="E118" s="1013"/>
      <c r="F118" s="1013"/>
      <c r="G118" s="1013"/>
      <c r="H118" s="1013"/>
      <c r="I118" s="1013"/>
      <c r="J118" s="1013"/>
      <c r="K118" s="1013"/>
      <c r="L118" s="1013"/>
      <c r="M118" s="1013"/>
      <c r="N118" s="1013"/>
      <c r="O118" s="1013"/>
      <c r="P118" s="1013"/>
      <c r="Q118" s="1013"/>
      <c r="R118" s="1013"/>
      <c r="S118" s="1013"/>
      <c r="T118" s="1013"/>
    </row>
    <row r="119" spans="1:23" s="31" customFormat="1" ht="15" customHeight="1">
      <c r="B119" s="32"/>
      <c r="C119" s="1013"/>
      <c r="D119" s="1013"/>
      <c r="E119" s="1013"/>
      <c r="F119" s="1013"/>
      <c r="G119" s="1013"/>
      <c r="H119" s="1013"/>
      <c r="I119" s="1013"/>
      <c r="J119" s="1013"/>
      <c r="K119" s="1013"/>
      <c r="L119" s="1013"/>
      <c r="M119" s="1013"/>
      <c r="N119" s="1013"/>
      <c r="O119" s="1013"/>
      <c r="P119" s="1013"/>
      <c r="Q119" s="1013"/>
      <c r="R119" s="1013"/>
      <c r="S119" s="1013"/>
      <c r="T119" s="1013"/>
    </row>
    <row r="120" spans="1:23" s="31" customFormat="1" ht="15" customHeight="1">
      <c r="B120" s="32" t="s">
        <v>741</v>
      </c>
      <c r="C120" s="1013" t="s">
        <v>1416</v>
      </c>
      <c r="D120" s="1013"/>
      <c r="E120" s="1013"/>
      <c r="F120" s="1013"/>
      <c r="G120" s="1013"/>
      <c r="H120" s="1013"/>
      <c r="I120" s="1013"/>
      <c r="J120" s="1013"/>
      <c r="K120" s="1013"/>
      <c r="L120" s="1013"/>
      <c r="M120" s="1013"/>
      <c r="N120" s="1013"/>
      <c r="O120" s="1013"/>
      <c r="P120" s="1013"/>
      <c r="Q120" s="1013"/>
      <c r="R120" s="1013"/>
      <c r="S120" s="1013"/>
      <c r="T120" s="1013"/>
    </row>
    <row r="121" spans="1:23" s="31" customFormat="1" ht="15" customHeight="1">
      <c r="B121" s="32"/>
      <c r="C121" s="1013"/>
      <c r="D121" s="1013"/>
      <c r="E121" s="1013"/>
      <c r="F121" s="1013"/>
      <c r="G121" s="1013"/>
      <c r="H121" s="1013"/>
      <c r="I121" s="1013"/>
      <c r="J121" s="1013"/>
      <c r="K121" s="1013"/>
      <c r="L121" s="1013"/>
      <c r="M121" s="1013"/>
      <c r="N121" s="1013"/>
      <c r="O121" s="1013"/>
      <c r="P121" s="1013"/>
      <c r="Q121" s="1013"/>
      <c r="R121" s="1013"/>
      <c r="S121" s="1013"/>
      <c r="T121" s="1013"/>
    </row>
    <row r="122" spans="1:23" s="31" customFormat="1" ht="15" customHeight="1">
      <c r="B122" s="32"/>
      <c r="C122" s="32"/>
    </row>
    <row r="123" spans="1:23" s="31" customFormat="1" ht="15" customHeight="1">
      <c r="A123" s="31" t="s">
        <v>1417</v>
      </c>
      <c r="B123" s="32"/>
      <c r="C123" s="32"/>
    </row>
    <row r="124" spans="1:23" s="31" customFormat="1" ht="15" customHeight="1">
      <c r="A124" s="31" t="s">
        <v>778</v>
      </c>
      <c r="B124" s="32"/>
      <c r="C124" s="1013" t="s">
        <v>1418</v>
      </c>
      <c r="D124" s="1013"/>
      <c r="E124" s="1013"/>
      <c r="F124" s="1013"/>
      <c r="G124" s="1013"/>
      <c r="H124" s="1013"/>
      <c r="I124" s="1013"/>
      <c r="J124" s="1013"/>
      <c r="K124" s="1013"/>
      <c r="L124" s="1013"/>
      <c r="M124" s="1013"/>
      <c r="N124" s="1013"/>
      <c r="O124" s="1013"/>
      <c r="P124" s="1013"/>
      <c r="Q124" s="1013"/>
      <c r="R124" s="1013"/>
      <c r="S124" s="1013"/>
      <c r="T124" s="1013"/>
      <c r="W124" s="196"/>
    </row>
    <row r="125" spans="1:23" s="31" customFormat="1" ht="15" customHeight="1">
      <c r="B125" s="32"/>
      <c r="C125" s="1013"/>
      <c r="D125" s="1013"/>
      <c r="E125" s="1013"/>
      <c r="F125" s="1013"/>
      <c r="G125" s="1013"/>
      <c r="H125" s="1013"/>
      <c r="I125" s="1013"/>
      <c r="J125" s="1013"/>
      <c r="K125" s="1013"/>
      <c r="L125" s="1013"/>
      <c r="M125" s="1013"/>
      <c r="N125" s="1013"/>
      <c r="O125" s="1013"/>
      <c r="P125" s="1013"/>
      <c r="Q125" s="1013"/>
      <c r="R125" s="1013"/>
      <c r="S125" s="1013"/>
      <c r="T125" s="1013"/>
    </row>
    <row r="126" spans="1:23" s="31" customFormat="1" ht="15" customHeight="1">
      <c r="B126" s="32"/>
      <c r="C126" s="1013"/>
      <c r="D126" s="1013"/>
      <c r="E126" s="1013"/>
      <c r="F126" s="1013"/>
      <c r="G126" s="1013"/>
      <c r="H126" s="1013"/>
      <c r="I126" s="1013"/>
      <c r="J126" s="1013"/>
      <c r="K126" s="1013"/>
      <c r="L126" s="1013"/>
      <c r="M126" s="1013"/>
      <c r="N126" s="1013"/>
      <c r="O126" s="1013"/>
      <c r="P126" s="1013"/>
      <c r="Q126" s="1013"/>
      <c r="R126" s="1013"/>
      <c r="S126" s="1013"/>
      <c r="T126" s="1013"/>
    </row>
    <row r="127" spans="1:23" s="31" customFormat="1" ht="30" customHeight="1">
      <c r="B127" s="32" t="s">
        <v>725</v>
      </c>
      <c r="C127" s="1013" t="s">
        <v>1419</v>
      </c>
      <c r="D127" s="1013"/>
      <c r="E127" s="1013"/>
      <c r="F127" s="1013"/>
      <c r="G127" s="1013"/>
      <c r="H127" s="1013"/>
      <c r="I127" s="1013"/>
      <c r="J127" s="1013"/>
      <c r="K127" s="1013"/>
      <c r="L127" s="1013"/>
      <c r="M127" s="1013"/>
      <c r="N127" s="1013"/>
      <c r="O127" s="1013"/>
      <c r="P127" s="1013"/>
      <c r="Q127" s="1013"/>
      <c r="R127" s="1013"/>
      <c r="S127" s="1013"/>
      <c r="T127" s="1013"/>
      <c r="W127" s="196"/>
    </row>
    <row r="128" spans="1:23" s="31" customFormat="1" ht="15" customHeight="1">
      <c r="B128" s="32"/>
      <c r="C128" s="32"/>
    </row>
    <row r="129" spans="1:22" s="31" customFormat="1" ht="15" customHeight="1">
      <c r="A129" s="31" t="s">
        <v>1420</v>
      </c>
      <c r="B129" s="32"/>
      <c r="C129" s="32"/>
    </row>
    <row r="130" spans="1:22" s="31" customFormat="1" ht="73.5" customHeight="1">
      <c r="A130" s="31" t="s">
        <v>781</v>
      </c>
      <c r="B130" s="32"/>
      <c r="C130" s="1013" t="s">
        <v>1421</v>
      </c>
      <c r="D130" s="1013"/>
      <c r="E130" s="1013"/>
      <c r="F130" s="1013"/>
      <c r="G130" s="1013"/>
      <c r="H130" s="1013"/>
      <c r="I130" s="1013"/>
      <c r="J130" s="1013"/>
      <c r="K130" s="1013"/>
      <c r="L130" s="1013"/>
      <c r="M130" s="1013"/>
      <c r="N130" s="1013"/>
      <c r="O130" s="1013"/>
      <c r="P130" s="1013"/>
      <c r="Q130" s="1013"/>
      <c r="R130" s="1013"/>
      <c r="S130" s="1013"/>
      <c r="T130" s="1013"/>
    </row>
    <row r="131" spans="1:22" s="31" customFormat="1" ht="15" customHeight="1">
      <c r="B131" s="32" t="s">
        <v>725</v>
      </c>
      <c r="C131" s="49" t="str">
        <f>DBCS("　食事の提供に要する費用については、１食あたり"&amp;【マスター】!K45&amp;"円を徴収する。")</f>
        <v>　食事の提供に要する費用については、１食あたり５７０円を徴収する。</v>
      </c>
      <c r="D131" s="512"/>
      <c r="E131" s="512"/>
      <c r="F131" s="512"/>
      <c r="G131" s="512"/>
      <c r="H131" s="512"/>
      <c r="I131" s="512"/>
      <c r="J131" s="512"/>
      <c r="K131" s="512"/>
      <c r="L131" s="512"/>
      <c r="M131" s="512"/>
      <c r="N131" s="512"/>
      <c r="O131" s="512"/>
      <c r="P131" s="512"/>
      <c r="Q131" s="512"/>
      <c r="R131" s="512"/>
      <c r="S131" s="512"/>
      <c r="T131" s="512"/>
    </row>
    <row r="132" spans="1:22" s="31" customFormat="1" ht="15" customHeight="1">
      <c r="B132" s="32"/>
      <c r="C132" s="1013" t="s">
        <v>1422</v>
      </c>
      <c r="D132" s="1013"/>
      <c r="E132" s="1013"/>
      <c r="F132" s="1013"/>
      <c r="G132" s="1013"/>
      <c r="H132" s="1013"/>
      <c r="I132" s="1013"/>
      <c r="J132" s="1013"/>
      <c r="K132" s="1013"/>
      <c r="L132" s="1013"/>
      <c r="M132" s="1013"/>
      <c r="N132" s="1013"/>
      <c r="O132" s="1013"/>
      <c r="P132" s="1013"/>
      <c r="Q132" s="1013"/>
      <c r="R132" s="1013"/>
      <c r="S132" s="1013"/>
      <c r="T132" s="1013"/>
    </row>
    <row r="133" spans="1:22" s="31" customFormat="1" ht="15" customHeight="1">
      <c r="B133" s="32"/>
      <c r="C133" s="1013"/>
      <c r="D133" s="1013"/>
      <c r="E133" s="1013"/>
      <c r="F133" s="1013"/>
      <c r="G133" s="1013"/>
      <c r="H133" s="1013"/>
      <c r="I133" s="1013"/>
      <c r="J133" s="1013"/>
      <c r="K133" s="1013"/>
      <c r="L133" s="1013"/>
      <c r="M133" s="1013"/>
      <c r="N133" s="1013"/>
      <c r="O133" s="1013"/>
      <c r="P133" s="1013"/>
      <c r="Q133" s="1013"/>
      <c r="R133" s="1013"/>
      <c r="S133" s="1013"/>
      <c r="T133" s="1013"/>
    </row>
    <row r="134" spans="1:22" s="31" customFormat="1" ht="15" customHeight="1">
      <c r="B134" s="32"/>
      <c r="C134" s="49"/>
      <c r="E134" s="512"/>
      <c r="F134" s="512"/>
      <c r="G134" s="512"/>
      <c r="H134" s="1026" t="s">
        <v>1423</v>
      </c>
      <c r="I134" s="1026"/>
      <c r="J134" s="740" t="s">
        <v>1333</v>
      </c>
      <c r="L134" s="512"/>
      <c r="M134" s="741" t="str">
        <f>DBCS(【マスター】!K44)</f>
        <v>５００</v>
      </c>
      <c r="N134" s="512" t="s">
        <v>1424</v>
      </c>
      <c r="O134" s="512"/>
      <c r="P134" s="512"/>
      <c r="Q134" s="512"/>
      <c r="R134" s="512"/>
      <c r="S134" s="512"/>
      <c r="T134" s="512"/>
    </row>
    <row r="135" spans="1:22" s="31" customFormat="1" ht="15" customHeight="1">
      <c r="B135" s="32"/>
      <c r="C135" s="49"/>
      <c r="D135" s="49"/>
      <c r="E135" s="512"/>
      <c r="F135" s="512"/>
      <c r="G135" s="512"/>
      <c r="H135" s="1026" t="s">
        <v>1425</v>
      </c>
      <c r="I135" s="1026"/>
      <c r="J135" s="740" t="s">
        <v>1333</v>
      </c>
      <c r="L135" s="512"/>
      <c r="M135" s="741" t="str">
        <f>DBCS(【マスター】!K46)</f>
        <v>６３０</v>
      </c>
      <c r="N135" s="512" t="s">
        <v>1424</v>
      </c>
      <c r="O135" s="512"/>
      <c r="P135" s="512"/>
      <c r="Q135" s="512"/>
      <c r="R135" s="512"/>
      <c r="S135" s="512"/>
      <c r="T135" s="512"/>
    </row>
    <row r="136" spans="1:22" s="31" customFormat="1" ht="15" customHeight="1">
      <c r="B136" s="32" t="s">
        <v>741</v>
      </c>
      <c r="C136" s="32" t="s">
        <v>1426</v>
      </c>
      <c r="D136" s="32"/>
      <c r="E136" s="32"/>
      <c r="F136" s="32"/>
      <c r="G136" s="32"/>
      <c r="H136" s="32"/>
      <c r="I136" s="512"/>
      <c r="J136" s="512"/>
      <c r="K136" s="512"/>
      <c r="L136" s="512"/>
      <c r="M136" s="512"/>
      <c r="N136" s="512"/>
      <c r="O136" s="512"/>
      <c r="P136" s="512"/>
      <c r="Q136" s="512"/>
      <c r="R136" s="512"/>
      <c r="S136" s="512"/>
      <c r="T136" s="512"/>
    </row>
    <row r="137" spans="1:22" s="31" customFormat="1" ht="15" customHeight="1">
      <c r="A137" s="231"/>
      <c r="B137" s="32"/>
      <c r="D137" s="32" t="s">
        <v>557</v>
      </c>
      <c r="F137" s="32"/>
      <c r="G137" s="32"/>
      <c r="J137" s="231" t="s">
        <v>1333</v>
      </c>
      <c r="M137" s="40" t="str">
        <f>DBCS(【マスター】!J47)</f>
        <v>１００</v>
      </c>
      <c r="N137" s="31" t="s">
        <v>1424</v>
      </c>
      <c r="O137" s="32"/>
      <c r="P137" s="32"/>
      <c r="Q137" s="32"/>
      <c r="R137" s="32"/>
      <c r="S137" s="32"/>
      <c r="V137" s="751" t="s">
        <v>1905</v>
      </c>
    </row>
    <row r="138" spans="1:22" s="31" customFormat="1" ht="15" customHeight="1">
      <c r="A138" s="231"/>
      <c r="B138" s="32"/>
      <c r="D138" s="32" t="s">
        <v>558</v>
      </c>
      <c r="F138" s="32"/>
      <c r="I138" s="231"/>
      <c r="J138" s="231" t="s">
        <v>1333</v>
      </c>
      <c r="M138" s="40" t="str">
        <f>DBCS(【マスター】!J48)</f>
        <v>５０</v>
      </c>
      <c r="N138" s="31" t="s">
        <v>1424</v>
      </c>
      <c r="V138" s="751" t="s">
        <v>1905</v>
      </c>
    </row>
    <row r="139" spans="1:22" s="31" customFormat="1" ht="15" customHeight="1">
      <c r="B139" s="32" t="s">
        <v>743</v>
      </c>
      <c r="C139" s="1013" t="s">
        <v>1427</v>
      </c>
      <c r="D139" s="1013"/>
      <c r="E139" s="1013"/>
      <c r="F139" s="1013"/>
      <c r="G139" s="1013"/>
      <c r="H139" s="1013"/>
      <c r="I139" s="1013"/>
      <c r="J139" s="1013"/>
      <c r="K139" s="1013"/>
      <c r="L139" s="1013"/>
      <c r="M139" s="1013"/>
      <c r="N139" s="1013"/>
      <c r="O139" s="1013"/>
      <c r="P139" s="1013"/>
      <c r="Q139" s="1013"/>
      <c r="R139" s="1013"/>
      <c r="S139" s="1013"/>
      <c r="T139" s="1013"/>
    </row>
    <row r="140" spans="1:22" s="31" customFormat="1" ht="15" customHeight="1">
      <c r="B140" s="32"/>
      <c r="C140" s="1013"/>
      <c r="D140" s="1013"/>
      <c r="E140" s="1013"/>
      <c r="F140" s="1013"/>
      <c r="G140" s="1013"/>
      <c r="H140" s="1013"/>
      <c r="I140" s="1013"/>
      <c r="J140" s="1013"/>
      <c r="K140" s="1013"/>
      <c r="L140" s="1013"/>
      <c r="M140" s="1013"/>
      <c r="N140" s="1013"/>
      <c r="O140" s="1013"/>
      <c r="P140" s="1013"/>
      <c r="Q140" s="1013"/>
      <c r="R140" s="1013"/>
      <c r="S140" s="1013"/>
      <c r="T140" s="1013"/>
    </row>
    <row r="141" spans="1:22" s="31" customFormat="1" ht="15" customHeight="1">
      <c r="B141" s="32"/>
      <c r="C141" s="1013"/>
      <c r="D141" s="1013"/>
      <c r="E141" s="1013"/>
      <c r="F141" s="1013"/>
      <c r="G141" s="1013"/>
      <c r="H141" s="1013"/>
      <c r="I141" s="1013"/>
      <c r="J141" s="1013"/>
      <c r="K141" s="1013"/>
      <c r="L141" s="1013"/>
      <c r="M141" s="1013"/>
      <c r="N141" s="1013"/>
      <c r="O141" s="1013"/>
      <c r="P141" s="1013"/>
      <c r="Q141" s="1013"/>
      <c r="R141" s="1013"/>
      <c r="S141" s="1013"/>
      <c r="T141" s="1013"/>
    </row>
    <row r="142" spans="1:22" s="31" customFormat="1" ht="15" customHeight="1">
      <c r="B142" s="32" t="s">
        <v>749</v>
      </c>
      <c r="C142" s="1013" t="s">
        <v>1428</v>
      </c>
      <c r="D142" s="1013"/>
      <c r="E142" s="1013"/>
      <c r="F142" s="1013"/>
      <c r="G142" s="1013"/>
      <c r="H142" s="1013"/>
      <c r="I142" s="1013"/>
      <c r="J142" s="1013"/>
      <c r="K142" s="1013"/>
      <c r="L142" s="1013"/>
      <c r="M142" s="1013"/>
      <c r="N142" s="1013"/>
      <c r="O142" s="1013"/>
      <c r="P142" s="1013"/>
      <c r="Q142" s="1013"/>
      <c r="R142" s="1013"/>
      <c r="S142" s="1013"/>
      <c r="T142" s="1013"/>
    </row>
    <row r="143" spans="1:22" s="31" customFormat="1" ht="15" customHeight="1">
      <c r="B143" s="32"/>
      <c r="C143" s="1013"/>
      <c r="D143" s="1013"/>
      <c r="E143" s="1013"/>
      <c r="F143" s="1013"/>
      <c r="G143" s="1013"/>
      <c r="H143" s="1013"/>
      <c r="I143" s="1013"/>
      <c r="J143" s="1013"/>
      <c r="K143" s="1013"/>
      <c r="L143" s="1013"/>
      <c r="M143" s="1013"/>
      <c r="N143" s="1013"/>
      <c r="O143" s="1013"/>
      <c r="P143" s="1013"/>
      <c r="Q143" s="1013"/>
      <c r="R143" s="1013"/>
      <c r="S143" s="1013"/>
      <c r="T143" s="1013"/>
    </row>
    <row r="144" spans="1:22" s="31" customFormat="1" ht="15" customHeight="1">
      <c r="B144" s="32" t="s">
        <v>751</v>
      </c>
      <c r="C144" s="1013" t="s">
        <v>1429</v>
      </c>
      <c r="D144" s="1013"/>
      <c r="E144" s="1013"/>
      <c r="F144" s="1013"/>
      <c r="G144" s="1013"/>
      <c r="H144" s="1013"/>
      <c r="I144" s="1013"/>
      <c r="J144" s="1013"/>
      <c r="K144" s="1013"/>
      <c r="L144" s="1013"/>
      <c r="M144" s="1013"/>
      <c r="N144" s="1013"/>
      <c r="O144" s="1013"/>
      <c r="P144" s="1013"/>
      <c r="Q144" s="1013"/>
      <c r="R144" s="1013"/>
      <c r="S144" s="1013"/>
      <c r="T144" s="1013"/>
    </row>
    <row r="145" spans="1:20" s="31" customFormat="1" ht="15" customHeight="1">
      <c r="B145" s="32"/>
      <c r="C145" s="1013"/>
      <c r="D145" s="1013"/>
      <c r="E145" s="1013"/>
      <c r="F145" s="1013"/>
      <c r="G145" s="1013"/>
      <c r="H145" s="1013"/>
      <c r="I145" s="1013"/>
      <c r="J145" s="1013"/>
      <c r="K145" s="1013"/>
      <c r="L145" s="1013"/>
      <c r="M145" s="1013"/>
      <c r="N145" s="1013"/>
      <c r="O145" s="1013"/>
      <c r="P145" s="1013"/>
      <c r="Q145" s="1013"/>
      <c r="R145" s="1013"/>
      <c r="S145" s="1013"/>
      <c r="T145" s="1013"/>
    </row>
    <row r="146" spans="1:20" s="31" customFormat="1" ht="15" customHeight="1">
      <c r="B146" s="32"/>
      <c r="C146" s="1013"/>
      <c r="D146" s="1013"/>
      <c r="E146" s="1013"/>
      <c r="F146" s="1013"/>
      <c r="G146" s="1013"/>
      <c r="H146" s="1013"/>
      <c r="I146" s="1013"/>
      <c r="J146" s="1013"/>
      <c r="K146" s="1013"/>
      <c r="L146" s="1013"/>
      <c r="M146" s="1013"/>
      <c r="N146" s="1013"/>
      <c r="O146" s="1013"/>
      <c r="P146" s="1013"/>
      <c r="Q146" s="1013"/>
      <c r="R146" s="1013"/>
      <c r="S146" s="1013"/>
      <c r="T146" s="1013"/>
    </row>
    <row r="147" spans="1:20" s="31" customFormat="1" ht="15" customHeight="1">
      <c r="B147" s="32" t="s">
        <v>797</v>
      </c>
      <c r="C147" s="1013" t="s">
        <v>1430</v>
      </c>
      <c r="D147" s="1013"/>
      <c r="E147" s="1013"/>
      <c r="F147" s="1013"/>
      <c r="G147" s="1013"/>
      <c r="H147" s="1013"/>
      <c r="I147" s="1013"/>
      <c r="J147" s="1013"/>
      <c r="K147" s="1013"/>
      <c r="L147" s="1013"/>
      <c r="M147" s="1013"/>
      <c r="N147" s="1013"/>
      <c r="O147" s="1013"/>
      <c r="P147" s="1013"/>
      <c r="Q147" s="1013"/>
      <c r="R147" s="1013"/>
      <c r="S147" s="1013"/>
      <c r="T147" s="1013"/>
    </row>
    <row r="148" spans="1:20" s="31" customFormat="1" ht="15" customHeight="1">
      <c r="B148" s="32"/>
      <c r="C148" s="1013"/>
      <c r="D148" s="1013"/>
      <c r="E148" s="1013"/>
      <c r="F148" s="1013"/>
      <c r="G148" s="1013"/>
      <c r="H148" s="1013"/>
      <c r="I148" s="1013"/>
      <c r="J148" s="1013"/>
      <c r="K148" s="1013"/>
      <c r="L148" s="1013"/>
      <c r="M148" s="1013"/>
      <c r="N148" s="1013"/>
      <c r="O148" s="1013"/>
      <c r="P148" s="1013"/>
      <c r="Q148" s="1013"/>
      <c r="R148" s="1013"/>
      <c r="S148" s="1013"/>
      <c r="T148" s="1013"/>
    </row>
    <row r="149" spans="1:20" s="31" customFormat="1" ht="15" customHeight="1">
      <c r="B149" s="32" t="s">
        <v>799</v>
      </c>
      <c r="C149" s="1013" t="s">
        <v>1431</v>
      </c>
      <c r="D149" s="1013"/>
      <c r="E149" s="1013"/>
      <c r="F149" s="1013"/>
      <c r="G149" s="1013"/>
      <c r="H149" s="1013"/>
      <c r="I149" s="1013"/>
      <c r="J149" s="1013"/>
      <c r="K149" s="1013"/>
      <c r="L149" s="1013"/>
      <c r="M149" s="1013"/>
      <c r="N149" s="1013"/>
      <c r="O149" s="1013"/>
      <c r="P149" s="1013"/>
      <c r="Q149" s="1013"/>
      <c r="R149" s="1013"/>
      <c r="S149" s="1013"/>
      <c r="T149" s="1013"/>
    </row>
    <row r="150" spans="1:20" s="31" customFormat="1" ht="15" customHeight="1">
      <c r="B150" s="32"/>
      <c r="C150" s="1013"/>
      <c r="D150" s="1013"/>
      <c r="E150" s="1013"/>
      <c r="F150" s="1013"/>
      <c r="G150" s="1013"/>
      <c r="H150" s="1013"/>
      <c r="I150" s="1013"/>
      <c r="J150" s="1013"/>
      <c r="K150" s="1013"/>
      <c r="L150" s="1013"/>
      <c r="M150" s="1013"/>
      <c r="N150" s="1013"/>
      <c r="O150" s="1013"/>
      <c r="P150" s="1013"/>
      <c r="Q150" s="1013"/>
      <c r="R150" s="1013"/>
      <c r="S150" s="1013"/>
      <c r="T150" s="1013"/>
    </row>
    <row r="151" spans="1:20" s="31" customFormat="1" ht="15" customHeight="1">
      <c r="B151" s="32"/>
      <c r="C151" s="1013"/>
      <c r="D151" s="1013"/>
      <c r="E151" s="1013"/>
      <c r="F151" s="1013"/>
      <c r="G151" s="1013"/>
      <c r="H151" s="1013"/>
      <c r="I151" s="1013"/>
      <c r="J151" s="1013"/>
      <c r="K151" s="1013"/>
      <c r="L151" s="1013"/>
      <c r="M151" s="1013"/>
      <c r="N151" s="1013"/>
      <c r="O151" s="1013"/>
      <c r="P151" s="1013"/>
      <c r="Q151" s="1013"/>
      <c r="R151" s="1013"/>
      <c r="S151" s="1013"/>
      <c r="T151" s="1013"/>
    </row>
    <row r="152" spans="1:20" s="31" customFormat="1" ht="15" customHeight="1">
      <c r="B152" s="32" t="s">
        <v>801</v>
      </c>
      <c r="C152" s="1013" t="s">
        <v>1432</v>
      </c>
      <c r="D152" s="1013"/>
      <c r="E152" s="1013"/>
      <c r="F152" s="1013"/>
      <c r="G152" s="1013"/>
      <c r="H152" s="1013"/>
      <c r="I152" s="1013"/>
      <c r="J152" s="1013"/>
      <c r="K152" s="1013"/>
      <c r="L152" s="1013"/>
      <c r="M152" s="1013"/>
      <c r="N152" s="1013"/>
      <c r="O152" s="1013"/>
      <c r="P152" s="1013"/>
      <c r="Q152" s="1013"/>
      <c r="R152" s="1013"/>
      <c r="S152" s="1013"/>
      <c r="T152" s="1013"/>
    </row>
    <row r="153" spans="1:20" s="31" customFormat="1" ht="15" customHeight="1">
      <c r="B153" s="32"/>
      <c r="C153" s="1013"/>
      <c r="D153" s="1013"/>
      <c r="E153" s="1013"/>
      <c r="F153" s="1013"/>
      <c r="G153" s="1013"/>
      <c r="H153" s="1013"/>
      <c r="I153" s="1013"/>
      <c r="J153" s="1013"/>
      <c r="K153" s="1013"/>
      <c r="L153" s="1013"/>
      <c r="M153" s="1013"/>
      <c r="N153" s="1013"/>
      <c r="O153" s="1013"/>
      <c r="P153" s="1013"/>
      <c r="Q153" s="1013"/>
      <c r="R153" s="1013"/>
      <c r="S153" s="1013"/>
      <c r="T153" s="1013"/>
    </row>
    <row r="154" spans="1:20" s="31" customFormat="1" ht="15" customHeight="1">
      <c r="B154" s="32"/>
      <c r="C154" s="32"/>
    </row>
    <row r="155" spans="1:20" s="31" customFormat="1" ht="15" customHeight="1">
      <c r="A155" s="31" t="s">
        <v>1433</v>
      </c>
      <c r="B155" s="32"/>
      <c r="C155" s="32"/>
    </row>
    <row r="156" spans="1:20" s="31" customFormat="1" ht="15" customHeight="1">
      <c r="A156" s="31" t="s">
        <v>784</v>
      </c>
      <c r="B156" s="32"/>
      <c r="C156" s="1013" t="s">
        <v>1434</v>
      </c>
      <c r="D156" s="1013"/>
      <c r="E156" s="1013"/>
      <c r="F156" s="1013"/>
      <c r="G156" s="1013"/>
      <c r="H156" s="1013"/>
      <c r="I156" s="1013"/>
      <c r="J156" s="1013"/>
      <c r="K156" s="1013"/>
      <c r="L156" s="1013"/>
      <c r="M156" s="1013"/>
      <c r="N156" s="1013"/>
      <c r="O156" s="1013"/>
      <c r="P156" s="1013"/>
      <c r="Q156" s="1013"/>
      <c r="R156" s="1013"/>
      <c r="S156" s="1013"/>
      <c r="T156" s="1013"/>
    </row>
    <row r="157" spans="1:20" s="31" customFormat="1" ht="15" customHeight="1">
      <c r="B157" s="32"/>
      <c r="C157" s="85" t="s">
        <v>1435</v>
      </c>
      <c r="D157" s="1028" t="str">
        <f>""&amp;【マスター】!C17&amp;IF(【マスター】!E17=0," ","・")&amp;【マスター】!E17&amp;""&amp;IF(【マスター】!G17=0," ","・")&amp;【マスター】!G17&amp;""&amp;IF(【マスター】!I17=0," ","・")&amp;【マスター】!I17&amp;""&amp;IF(【マスター】!K17=0," ","・")&amp;【マスター】!K17&amp;""</f>
        <v xml:space="preserve">豊橋市・豊川市   </v>
      </c>
      <c r="E157" s="1028"/>
      <c r="F157" s="1028"/>
      <c r="G157" s="1028"/>
      <c r="H157" s="1028"/>
      <c r="I157" s="1028"/>
      <c r="J157" s="1028"/>
      <c r="K157" s="1028"/>
      <c r="L157" s="1028"/>
      <c r="M157" s="1028"/>
      <c r="N157" s="1028"/>
      <c r="O157" s="1028"/>
      <c r="P157" s="1028"/>
      <c r="Q157" s="1028"/>
      <c r="R157" s="1028"/>
      <c r="S157" s="1028"/>
      <c r="T157" s="512" t="s">
        <v>514</v>
      </c>
    </row>
    <row r="158" spans="1:20" s="31" customFormat="1" ht="15" customHeight="1">
      <c r="B158" s="32"/>
      <c r="C158" s="32"/>
    </row>
    <row r="159" spans="1:20" s="31" customFormat="1" ht="15" customHeight="1">
      <c r="A159" s="31" t="s">
        <v>1436</v>
      </c>
      <c r="B159" s="32"/>
      <c r="C159" s="32"/>
    </row>
    <row r="160" spans="1:20" s="31" customFormat="1" ht="15" customHeight="1">
      <c r="A160" s="31" t="s">
        <v>804</v>
      </c>
      <c r="B160" s="32"/>
      <c r="C160" s="1093" t="s">
        <v>1437</v>
      </c>
      <c r="D160" s="1093"/>
      <c r="E160" s="1093"/>
      <c r="F160" s="1093"/>
      <c r="G160" s="1093"/>
      <c r="H160" s="1093"/>
      <c r="I160" s="1093"/>
      <c r="J160" s="1093"/>
      <c r="K160" s="1093"/>
      <c r="L160" s="1093"/>
      <c r="M160" s="1093"/>
      <c r="N160" s="1093"/>
      <c r="O160" s="1093"/>
      <c r="P160" s="1093"/>
      <c r="Q160" s="1093"/>
      <c r="R160" s="1093"/>
      <c r="S160" s="1093"/>
      <c r="T160" s="1093"/>
    </row>
    <row r="161" spans="1:22" s="31" customFormat="1" ht="15" customHeight="1">
      <c r="B161" s="32"/>
      <c r="C161" s="1093"/>
      <c r="D161" s="1093"/>
      <c r="E161" s="1093"/>
      <c r="F161" s="1093"/>
      <c r="G161" s="1093"/>
      <c r="H161" s="1093"/>
      <c r="I161" s="1093"/>
      <c r="J161" s="1093"/>
      <c r="K161" s="1093"/>
      <c r="L161" s="1093"/>
      <c r="M161" s="1093"/>
      <c r="N161" s="1093"/>
      <c r="O161" s="1093"/>
      <c r="P161" s="1093"/>
      <c r="Q161" s="1093"/>
      <c r="R161" s="1093"/>
      <c r="S161" s="1093"/>
      <c r="T161" s="1093"/>
    </row>
    <row r="162" spans="1:22" s="31" customFormat="1" ht="15" customHeight="1">
      <c r="B162" s="32"/>
      <c r="C162" s="1093"/>
      <c r="D162" s="1093"/>
      <c r="E162" s="1093"/>
      <c r="F162" s="1093"/>
      <c r="G162" s="1093"/>
      <c r="H162" s="1093"/>
      <c r="I162" s="1093"/>
      <c r="J162" s="1093"/>
      <c r="K162" s="1093"/>
      <c r="L162" s="1093"/>
      <c r="M162" s="1093"/>
      <c r="N162" s="1093"/>
      <c r="O162" s="1093"/>
      <c r="P162" s="1093"/>
      <c r="Q162" s="1093"/>
      <c r="R162" s="1093"/>
      <c r="S162" s="1093"/>
      <c r="T162" s="1093"/>
    </row>
    <row r="163" spans="1:22" s="31" customFormat="1" ht="15" customHeight="1">
      <c r="B163" s="32"/>
      <c r="C163" s="32"/>
    </row>
    <row r="164" spans="1:22" s="31" customFormat="1" ht="15" customHeight="1">
      <c r="A164" s="31" t="s">
        <v>780</v>
      </c>
      <c r="B164" s="32"/>
      <c r="C164" s="32"/>
      <c r="V164" s="196"/>
    </row>
    <row r="165" spans="1:22" s="31" customFormat="1" ht="75" customHeight="1">
      <c r="A165" s="31" t="s">
        <v>810</v>
      </c>
      <c r="B165" s="32"/>
      <c r="C165" s="1093" t="s">
        <v>1438</v>
      </c>
      <c r="D165" s="1093"/>
      <c r="E165" s="1093"/>
      <c r="F165" s="1093"/>
      <c r="G165" s="1093"/>
      <c r="H165" s="1093"/>
      <c r="I165" s="1093"/>
      <c r="J165" s="1093"/>
      <c r="K165" s="1093"/>
      <c r="L165" s="1093"/>
      <c r="M165" s="1093"/>
      <c r="N165" s="1093"/>
      <c r="O165" s="1093"/>
      <c r="P165" s="1093"/>
      <c r="Q165" s="1093"/>
      <c r="R165" s="1093"/>
      <c r="S165" s="1093"/>
      <c r="T165" s="1093"/>
    </row>
    <row r="166" spans="1:22" s="31" customFormat="1" ht="15" customHeight="1">
      <c r="B166" s="32" t="s">
        <v>725</v>
      </c>
      <c r="C166" s="1093" t="s">
        <v>1439</v>
      </c>
      <c r="D166" s="1093"/>
      <c r="E166" s="1093"/>
      <c r="F166" s="1093"/>
      <c r="G166" s="1093"/>
      <c r="H166" s="1093"/>
      <c r="I166" s="1093"/>
      <c r="J166" s="1093"/>
      <c r="K166" s="1093"/>
      <c r="L166" s="1093"/>
      <c r="M166" s="1093"/>
      <c r="N166" s="1093"/>
      <c r="O166" s="1093"/>
      <c r="P166" s="1093"/>
      <c r="Q166" s="1093"/>
      <c r="R166" s="1093"/>
      <c r="S166" s="1093"/>
      <c r="T166" s="1093"/>
    </row>
    <row r="167" spans="1:22" s="31" customFormat="1" ht="15" customHeight="1">
      <c r="C167" s="1093"/>
      <c r="D167" s="1093"/>
      <c r="E167" s="1093"/>
      <c r="F167" s="1093"/>
      <c r="G167" s="1093"/>
      <c r="H167" s="1093"/>
      <c r="I167" s="1093"/>
      <c r="J167" s="1093"/>
      <c r="K167" s="1093"/>
      <c r="L167" s="1093"/>
      <c r="M167" s="1093"/>
      <c r="N167" s="1093"/>
      <c r="O167" s="1093"/>
      <c r="P167" s="1093"/>
      <c r="Q167" s="1093"/>
      <c r="R167" s="1093"/>
      <c r="S167" s="1093"/>
      <c r="T167" s="1093"/>
    </row>
    <row r="168" spans="1:22" s="31" customFormat="1" ht="15" customHeight="1">
      <c r="B168" s="32" t="s">
        <v>1440</v>
      </c>
      <c r="C168" s="1093" t="s">
        <v>1441</v>
      </c>
      <c r="D168" s="1093"/>
      <c r="E168" s="1093"/>
      <c r="F168" s="1093"/>
      <c r="G168" s="1093"/>
      <c r="H168" s="1093"/>
      <c r="I168" s="1093"/>
      <c r="J168" s="1093"/>
      <c r="K168" s="1093"/>
      <c r="L168" s="1093"/>
      <c r="M168" s="1093"/>
      <c r="N168" s="1093"/>
      <c r="O168" s="1093"/>
      <c r="P168" s="1093"/>
      <c r="Q168" s="1093"/>
      <c r="R168" s="1093"/>
      <c r="S168" s="1093"/>
      <c r="T168" s="1093"/>
    </row>
    <row r="169" spans="1:22" s="31" customFormat="1" ht="15" customHeight="1">
      <c r="B169" s="32"/>
      <c r="C169" s="1093"/>
      <c r="D169" s="1093"/>
      <c r="E169" s="1093"/>
      <c r="F169" s="1093"/>
      <c r="G169" s="1093"/>
      <c r="H169" s="1093"/>
      <c r="I169" s="1093"/>
      <c r="J169" s="1093"/>
      <c r="K169" s="1093"/>
      <c r="L169" s="1093"/>
      <c r="M169" s="1093"/>
      <c r="N169" s="1093"/>
      <c r="O169" s="1093"/>
      <c r="P169" s="1093"/>
      <c r="Q169" s="1093"/>
      <c r="R169" s="1093"/>
      <c r="S169" s="1093"/>
      <c r="T169" s="1093"/>
    </row>
    <row r="170" spans="1:22" s="31" customFormat="1" ht="15" customHeight="1">
      <c r="B170" s="32"/>
      <c r="C170" s="1093"/>
      <c r="D170" s="1093"/>
      <c r="E170" s="1093"/>
      <c r="F170" s="1093"/>
      <c r="G170" s="1093"/>
      <c r="H170" s="1093"/>
      <c r="I170" s="1093"/>
      <c r="J170" s="1093"/>
      <c r="K170" s="1093"/>
      <c r="L170" s="1093"/>
      <c r="M170" s="1093"/>
      <c r="N170" s="1093"/>
      <c r="O170" s="1093"/>
      <c r="P170" s="1093"/>
      <c r="Q170" s="1093"/>
      <c r="R170" s="1093"/>
      <c r="S170" s="1093"/>
      <c r="T170" s="1093"/>
    </row>
    <row r="171" spans="1:22" s="31" customFormat="1" ht="15" customHeight="1">
      <c r="B171" s="32" t="s">
        <v>743</v>
      </c>
      <c r="C171" s="1093" t="s">
        <v>1442</v>
      </c>
      <c r="D171" s="1093"/>
      <c r="E171" s="1093"/>
      <c r="F171" s="1093"/>
      <c r="G171" s="1093"/>
      <c r="H171" s="1093"/>
      <c r="I171" s="1093"/>
      <c r="J171" s="1093"/>
      <c r="K171" s="1093"/>
      <c r="L171" s="1093"/>
      <c r="M171" s="1093"/>
      <c r="N171" s="1093"/>
      <c r="O171" s="1093"/>
      <c r="P171" s="1093"/>
      <c r="Q171" s="1093"/>
      <c r="R171" s="1093"/>
      <c r="S171" s="1093"/>
      <c r="T171" s="1093"/>
    </row>
    <row r="172" spans="1:22" s="31" customFormat="1" ht="15" customHeight="1">
      <c r="C172" s="1093"/>
      <c r="D172" s="1093"/>
      <c r="E172" s="1093"/>
      <c r="F172" s="1093"/>
      <c r="G172" s="1093"/>
      <c r="H172" s="1093"/>
      <c r="I172" s="1093"/>
      <c r="J172" s="1093"/>
      <c r="K172" s="1093"/>
      <c r="L172" s="1093"/>
      <c r="M172" s="1093"/>
      <c r="N172" s="1093"/>
      <c r="O172" s="1093"/>
      <c r="P172" s="1093"/>
      <c r="Q172" s="1093"/>
      <c r="R172" s="1093"/>
      <c r="S172" s="1093"/>
      <c r="T172" s="1093"/>
    </row>
    <row r="173" spans="1:22" s="31" customFormat="1" ht="15" customHeight="1">
      <c r="B173" s="32"/>
      <c r="C173" s="513"/>
      <c r="D173" s="513"/>
      <c r="E173" s="513"/>
      <c r="F173" s="513"/>
      <c r="G173" s="513"/>
      <c r="H173" s="513"/>
      <c r="I173" s="513"/>
      <c r="J173" s="513"/>
      <c r="K173" s="513"/>
      <c r="L173" s="513"/>
      <c r="M173" s="513"/>
      <c r="N173" s="513"/>
      <c r="O173" s="513"/>
      <c r="P173" s="513"/>
      <c r="Q173" s="513"/>
      <c r="R173" s="513"/>
      <c r="S173" s="513"/>
      <c r="T173" s="513"/>
    </row>
    <row r="174" spans="1:22" s="31" customFormat="1" ht="15" customHeight="1">
      <c r="A174" s="31" t="s">
        <v>1443</v>
      </c>
      <c r="B174" s="32"/>
      <c r="C174" s="513"/>
      <c r="D174" s="513"/>
      <c r="E174" s="513"/>
      <c r="F174" s="513"/>
      <c r="G174" s="513"/>
      <c r="H174" s="513"/>
      <c r="I174" s="513"/>
      <c r="J174" s="513"/>
      <c r="K174" s="513"/>
      <c r="L174" s="513"/>
      <c r="M174" s="513"/>
      <c r="N174" s="513"/>
      <c r="O174" s="513"/>
      <c r="P174" s="513"/>
      <c r="Q174" s="513"/>
      <c r="R174" s="513"/>
      <c r="S174" s="513"/>
      <c r="T174" s="513"/>
    </row>
    <row r="175" spans="1:22" s="31" customFormat="1" ht="15" customHeight="1">
      <c r="A175" s="31" t="s">
        <v>815</v>
      </c>
      <c r="B175" s="32"/>
      <c r="C175" s="1093" t="s">
        <v>1444</v>
      </c>
      <c r="D175" s="1093"/>
      <c r="E175" s="1093"/>
      <c r="F175" s="1093"/>
      <c r="G175" s="1093"/>
      <c r="H175" s="1093"/>
      <c r="I175" s="1093"/>
      <c r="J175" s="1093"/>
      <c r="K175" s="1093"/>
      <c r="L175" s="1093"/>
      <c r="M175" s="1093"/>
      <c r="N175" s="1093"/>
      <c r="O175" s="1093"/>
      <c r="P175" s="1093"/>
      <c r="Q175" s="1093"/>
      <c r="R175" s="1093"/>
      <c r="S175" s="1093"/>
      <c r="T175" s="1093"/>
    </row>
    <row r="176" spans="1:22" s="31" customFormat="1" ht="15" customHeight="1">
      <c r="B176" s="32"/>
      <c r="C176" s="1093"/>
      <c r="D176" s="1093"/>
      <c r="E176" s="1093"/>
      <c r="F176" s="1093"/>
      <c r="G176" s="1093"/>
      <c r="H176" s="1093"/>
      <c r="I176" s="1093"/>
      <c r="J176" s="1093"/>
      <c r="K176" s="1093"/>
      <c r="L176" s="1093"/>
      <c r="M176" s="1093"/>
      <c r="N176" s="1093"/>
      <c r="O176" s="1093"/>
      <c r="P176" s="1093"/>
      <c r="Q176" s="1093"/>
      <c r="R176" s="1093"/>
      <c r="S176" s="1093"/>
      <c r="T176" s="1093"/>
    </row>
    <row r="177" spans="1:20" s="31" customFormat="1" ht="15" customHeight="1">
      <c r="B177" s="32"/>
      <c r="C177" s="513"/>
      <c r="D177" s="35" t="s">
        <v>1445</v>
      </c>
      <c r="E177" s="35"/>
      <c r="F177" s="35"/>
      <c r="H177" s="513"/>
      <c r="I177" s="36" t="s">
        <v>1446</v>
      </c>
      <c r="J177" s="513"/>
      <c r="K177" s="513"/>
      <c r="L177" s="513"/>
      <c r="M177" s="513"/>
      <c r="N177" s="513"/>
      <c r="O177" s="513"/>
      <c r="P177" s="513"/>
      <c r="Q177" s="513"/>
      <c r="R177" s="513"/>
      <c r="S177" s="513"/>
      <c r="T177" s="513"/>
    </row>
    <row r="178" spans="1:20" s="31" customFormat="1" ht="15" customHeight="1">
      <c r="B178" s="32"/>
      <c r="C178" s="513"/>
      <c r="D178" s="35" t="s">
        <v>1447</v>
      </c>
      <c r="E178" s="35"/>
      <c r="F178" s="35"/>
      <c r="H178" s="513"/>
      <c r="I178" s="36" t="s">
        <v>1448</v>
      </c>
      <c r="J178" s="513"/>
      <c r="K178" s="513"/>
      <c r="L178" s="513"/>
      <c r="M178" s="513"/>
      <c r="N178" s="513"/>
      <c r="O178" s="513"/>
      <c r="P178" s="513"/>
      <c r="Q178" s="513"/>
      <c r="R178" s="513"/>
      <c r="S178" s="513"/>
      <c r="T178" s="513"/>
    </row>
    <row r="179" spans="1:20" s="31" customFormat="1" ht="15" customHeight="1">
      <c r="B179" s="32"/>
      <c r="C179" s="513"/>
      <c r="D179" s="35" t="s">
        <v>1449</v>
      </c>
      <c r="E179" s="35"/>
      <c r="F179" s="35"/>
      <c r="H179" s="513"/>
      <c r="I179" s="36" t="s">
        <v>1450</v>
      </c>
      <c r="J179" s="513"/>
      <c r="K179" s="513"/>
      <c r="L179" s="513"/>
      <c r="M179" s="513"/>
      <c r="N179" s="513"/>
      <c r="O179" s="513"/>
      <c r="P179" s="513"/>
      <c r="Q179" s="513"/>
      <c r="R179" s="513"/>
      <c r="S179" s="513"/>
      <c r="T179" s="513"/>
    </row>
    <row r="180" spans="1:20" s="31" customFormat="1" ht="15" customHeight="1">
      <c r="B180" s="32"/>
      <c r="C180" s="513"/>
      <c r="D180" s="35" t="s">
        <v>1451</v>
      </c>
      <c r="E180" s="35"/>
      <c r="F180" s="35"/>
      <c r="H180" s="513"/>
      <c r="I180" s="36" t="s">
        <v>1448</v>
      </c>
      <c r="J180" s="513"/>
      <c r="K180" s="513"/>
      <c r="L180" s="513"/>
      <c r="M180" s="513"/>
      <c r="N180" s="513"/>
      <c r="O180" s="513"/>
      <c r="P180" s="513"/>
      <c r="Q180" s="513"/>
      <c r="R180" s="513"/>
      <c r="S180" s="513"/>
      <c r="T180" s="513"/>
    </row>
    <row r="181" spans="1:20" s="31" customFormat="1" ht="15" customHeight="1">
      <c r="B181" s="32"/>
      <c r="C181" s="513"/>
      <c r="D181" s="35" t="s">
        <v>1452</v>
      </c>
      <c r="E181" s="35"/>
      <c r="F181" s="35"/>
      <c r="H181" s="513"/>
      <c r="I181" s="36" t="s">
        <v>1450</v>
      </c>
      <c r="J181" s="513"/>
      <c r="K181" s="513"/>
      <c r="L181" s="513"/>
      <c r="M181" s="513"/>
      <c r="N181" s="513"/>
      <c r="O181" s="513"/>
      <c r="P181" s="513"/>
      <c r="Q181" s="513"/>
      <c r="R181" s="513"/>
      <c r="S181" s="513"/>
      <c r="T181" s="513"/>
    </row>
    <row r="182" spans="1:20" s="31" customFormat="1" ht="15" customHeight="1">
      <c r="B182" s="32"/>
      <c r="C182" s="32"/>
    </row>
    <row r="183" spans="1:20" s="31" customFormat="1" ht="15" customHeight="1">
      <c r="A183" s="31" t="s">
        <v>1453</v>
      </c>
      <c r="B183" s="32"/>
      <c r="C183" s="32"/>
    </row>
    <row r="184" spans="1:20" s="31" customFormat="1" ht="15" customHeight="1">
      <c r="A184" s="31" t="s">
        <v>818</v>
      </c>
      <c r="B184" s="32"/>
      <c r="C184" s="1093" t="s">
        <v>1454</v>
      </c>
      <c r="D184" s="1093"/>
      <c r="E184" s="1093"/>
      <c r="F184" s="1093"/>
      <c r="G184" s="1093"/>
      <c r="H184" s="1093"/>
      <c r="I184" s="1093"/>
      <c r="J184" s="1093"/>
      <c r="K184" s="1093"/>
      <c r="L184" s="1093"/>
      <c r="M184" s="1093"/>
      <c r="N184" s="1093"/>
      <c r="O184" s="1093"/>
      <c r="P184" s="1093"/>
      <c r="Q184" s="1093"/>
      <c r="R184" s="1093"/>
      <c r="S184" s="1093"/>
      <c r="T184" s="1093"/>
    </row>
    <row r="185" spans="1:20" s="31" customFormat="1" ht="15" customHeight="1">
      <c r="B185" s="32"/>
      <c r="C185" s="1093"/>
      <c r="D185" s="1093"/>
      <c r="E185" s="1093"/>
      <c r="F185" s="1093"/>
      <c r="G185" s="1093"/>
      <c r="H185" s="1093"/>
      <c r="I185" s="1093"/>
      <c r="J185" s="1093"/>
      <c r="K185" s="1093"/>
      <c r="L185" s="1093"/>
      <c r="M185" s="1093"/>
      <c r="N185" s="1093"/>
      <c r="O185" s="1093"/>
      <c r="P185" s="1093"/>
      <c r="Q185" s="1093"/>
      <c r="R185" s="1093"/>
      <c r="S185" s="1093"/>
      <c r="T185" s="1093"/>
    </row>
    <row r="186" spans="1:20" s="31" customFormat="1" ht="15" customHeight="1">
      <c r="B186" s="32" t="s">
        <v>725</v>
      </c>
      <c r="C186" s="1093" t="s">
        <v>1455</v>
      </c>
      <c r="D186" s="1093"/>
      <c r="E186" s="1093"/>
      <c r="F186" s="1093"/>
      <c r="G186" s="1093"/>
      <c r="H186" s="1093"/>
      <c r="I186" s="1093"/>
      <c r="J186" s="1093"/>
      <c r="K186" s="1093"/>
      <c r="L186" s="1093"/>
      <c r="M186" s="1093"/>
      <c r="N186" s="1093"/>
      <c r="O186" s="1093"/>
      <c r="P186" s="1093"/>
      <c r="Q186" s="1093"/>
      <c r="R186" s="1093"/>
      <c r="S186" s="1093"/>
      <c r="T186" s="1093"/>
    </row>
    <row r="187" spans="1:20" s="31" customFormat="1" ht="15" customHeight="1">
      <c r="B187" s="32"/>
      <c r="C187" s="1093"/>
      <c r="D187" s="1093"/>
      <c r="E187" s="1093"/>
      <c r="F187" s="1093"/>
      <c r="G187" s="1093"/>
      <c r="H187" s="1093"/>
      <c r="I187" s="1093"/>
      <c r="J187" s="1093"/>
      <c r="K187" s="1093"/>
      <c r="L187" s="1093"/>
      <c r="M187" s="1093"/>
      <c r="N187" s="1093"/>
      <c r="O187" s="1093"/>
      <c r="P187" s="1093"/>
      <c r="Q187" s="1093"/>
      <c r="R187" s="1093"/>
      <c r="S187" s="1093"/>
      <c r="T187" s="1093"/>
    </row>
    <row r="188" spans="1:20" s="31" customFormat="1" ht="15" customHeight="1">
      <c r="B188" s="32" t="s">
        <v>1440</v>
      </c>
      <c r="C188" s="1093" t="s">
        <v>1456</v>
      </c>
      <c r="D188" s="1093"/>
      <c r="E188" s="1093"/>
      <c r="F188" s="1093"/>
      <c r="G188" s="1093"/>
      <c r="H188" s="1093"/>
      <c r="I188" s="1093"/>
      <c r="J188" s="1093"/>
      <c r="K188" s="1093"/>
      <c r="L188" s="1093"/>
      <c r="M188" s="1093"/>
      <c r="N188" s="1093"/>
      <c r="O188" s="1093"/>
      <c r="P188" s="1093"/>
      <c r="Q188" s="1093"/>
      <c r="R188" s="1093"/>
      <c r="S188" s="1093"/>
      <c r="T188" s="1093"/>
    </row>
    <row r="189" spans="1:20" s="31" customFormat="1" ht="15" customHeight="1">
      <c r="B189" s="32"/>
      <c r="C189" s="1093"/>
      <c r="D189" s="1093"/>
      <c r="E189" s="1093"/>
      <c r="F189" s="1093"/>
      <c r="G189" s="1093"/>
      <c r="H189" s="1093"/>
      <c r="I189" s="1093"/>
      <c r="J189" s="1093"/>
      <c r="K189" s="1093"/>
      <c r="L189" s="1093"/>
      <c r="M189" s="1093"/>
      <c r="N189" s="1093"/>
      <c r="O189" s="1093"/>
      <c r="P189" s="1093"/>
      <c r="Q189" s="1093"/>
      <c r="R189" s="1093"/>
      <c r="S189" s="1093"/>
      <c r="T189" s="1093"/>
    </row>
    <row r="190" spans="1:20" s="31" customFormat="1" ht="15" customHeight="1">
      <c r="B190" s="32"/>
      <c r="C190" s="32"/>
    </row>
    <row r="191" spans="1:20" s="31" customFormat="1" ht="15" customHeight="1">
      <c r="A191" s="31" t="s">
        <v>1457</v>
      </c>
      <c r="B191" s="32"/>
      <c r="C191" s="32"/>
    </row>
    <row r="192" spans="1:20" s="31" customFormat="1" ht="15" customHeight="1">
      <c r="A192" s="31" t="s">
        <v>822</v>
      </c>
      <c r="B192" s="32"/>
      <c r="C192" s="1093" t="s">
        <v>1458</v>
      </c>
      <c r="D192" s="1093"/>
      <c r="E192" s="1093"/>
      <c r="F192" s="1093"/>
      <c r="G192" s="1093"/>
      <c r="H192" s="1093"/>
      <c r="I192" s="1093"/>
      <c r="J192" s="1093"/>
      <c r="K192" s="1093"/>
      <c r="L192" s="1093"/>
      <c r="M192" s="1093"/>
      <c r="N192" s="1093"/>
      <c r="O192" s="1093"/>
      <c r="P192" s="1093"/>
      <c r="Q192" s="1093"/>
      <c r="R192" s="1093"/>
      <c r="S192" s="1093"/>
      <c r="T192" s="1093"/>
    </row>
    <row r="193" spans="1:20" s="31" customFormat="1" ht="15" customHeight="1">
      <c r="B193" s="32"/>
      <c r="C193" s="1093"/>
      <c r="D193" s="1093"/>
      <c r="E193" s="1093"/>
      <c r="F193" s="1093"/>
      <c r="G193" s="1093"/>
      <c r="H193" s="1093"/>
      <c r="I193" s="1093"/>
      <c r="J193" s="1093"/>
      <c r="K193" s="1093"/>
      <c r="L193" s="1093"/>
      <c r="M193" s="1093"/>
      <c r="N193" s="1093"/>
      <c r="O193" s="1093"/>
      <c r="P193" s="1093"/>
      <c r="Q193" s="1093"/>
      <c r="R193" s="1093"/>
      <c r="S193" s="1093"/>
      <c r="T193" s="1093"/>
    </row>
    <row r="194" spans="1:20" s="31" customFormat="1" ht="15" customHeight="1">
      <c r="B194" s="32" t="s">
        <v>725</v>
      </c>
      <c r="C194" s="1093" t="s">
        <v>1459</v>
      </c>
      <c r="D194" s="1093"/>
      <c r="E194" s="1093"/>
      <c r="F194" s="1093"/>
      <c r="G194" s="1093"/>
      <c r="H194" s="1093"/>
      <c r="I194" s="1093"/>
      <c r="J194" s="1093"/>
      <c r="K194" s="1093"/>
      <c r="L194" s="1093"/>
      <c r="M194" s="1093"/>
      <c r="N194" s="1093"/>
      <c r="O194" s="1093"/>
      <c r="P194" s="1093"/>
      <c r="Q194" s="1093"/>
      <c r="R194" s="1093"/>
      <c r="S194" s="1093"/>
      <c r="T194" s="1093"/>
    </row>
    <row r="195" spans="1:20" s="31" customFormat="1" ht="15" customHeight="1">
      <c r="B195" s="32"/>
      <c r="C195" s="1093"/>
      <c r="D195" s="1093"/>
      <c r="E195" s="1093"/>
      <c r="F195" s="1093"/>
      <c r="G195" s="1093"/>
      <c r="H195" s="1093"/>
      <c r="I195" s="1093"/>
      <c r="J195" s="1093"/>
      <c r="K195" s="1093"/>
      <c r="L195" s="1093"/>
      <c r="M195" s="1093"/>
      <c r="N195" s="1093"/>
      <c r="O195" s="1093"/>
      <c r="P195" s="1093"/>
      <c r="Q195" s="1093"/>
      <c r="R195" s="1093"/>
      <c r="S195" s="1093"/>
      <c r="T195" s="1093"/>
    </row>
    <row r="196" spans="1:20" s="31" customFormat="1" ht="15" customHeight="1">
      <c r="B196" s="32"/>
      <c r="C196" s="1093"/>
      <c r="D196" s="1093"/>
      <c r="E196" s="1093"/>
      <c r="F196" s="1093"/>
      <c r="G196" s="1093"/>
      <c r="H196" s="1093"/>
      <c r="I196" s="1093"/>
      <c r="J196" s="1093"/>
      <c r="K196" s="1093"/>
      <c r="L196" s="1093"/>
      <c r="M196" s="1093"/>
      <c r="N196" s="1093"/>
      <c r="O196" s="1093"/>
      <c r="P196" s="1093"/>
      <c r="Q196" s="1093"/>
      <c r="R196" s="1093"/>
      <c r="S196" s="1093"/>
      <c r="T196" s="1093"/>
    </row>
    <row r="197" spans="1:20" s="31" customFormat="1" ht="15" customHeight="1">
      <c r="B197" s="32"/>
      <c r="C197" s="32"/>
    </row>
    <row r="198" spans="1:20" s="31" customFormat="1" ht="15" customHeight="1">
      <c r="A198" s="31" t="s">
        <v>1460</v>
      </c>
      <c r="B198" s="32"/>
      <c r="C198" s="32"/>
    </row>
    <row r="199" spans="1:20" s="31" customFormat="1" ht="15" customHeight="1">
      <c r="A199" s="31" t="s">
        <v>834</v>
      </c>
      <c r="B199" s="32"/>
      <c r="C199" s="1093" t="s">
        <v>1461</v>
      </c>
      <c r="D199" s="1093"/>
      <c r="E199" s="1093"/>
      <c r="F199" s="1093"/>
      <c r="G199" s="1093"/>
      <c r="H199" s="1093"/>
      <c r="I199" s="1093"/>
      <c r="J199" s="1093"/>
      <c r="K199" s="1093"/>
      <c r="L199" s="1093"/>
      <c r="M199" s="1093"/>
      <c r="N199" s="1093"/>
      <c r="O199" s="1093"/>
      <c r="P199" s="1093"/>
      <c r="Q199" s="1093"/>
      <c r="R199" s="1093"/>
      <c r="S199" s="1093"/>
      <c r="T199" s="1093"/>
    </row>
    <row r="200" spans="1:20" s="31" customFormat="1" ht="15" customHeight="1">
      <c r="B200" s="32"/>
      <c r="C200" s="1093"/>
      <c r="D200" s="1093"/>
      <c r="E200" s="1093"/>
      <c r="F200" s="1093"/>
      <c r="G200" s="1093"/>
      <c r="H200" s="1093"/>
      <c r="I200" s="1093"/>
      <c r="J200" s="1093"/>
      <c r="K200" s="1093"/>
      <c r="L200" s="1093"/>
      <c r="M200" s="1093"/>
      <c r="N200" s="1093"/>
      <c r="O200" s="1093"/>
      <c r="P200" s="1093"/>
      <c r="Q200" s="1093"/>
      <c r="R200" s="1093"/>
      <c r="S200" s="1093"/>
      <c r="T200" s="1093"/>
    </row>
    <row r="201" spans="1:20" s="31" customFormat="1" ht="15" customHeight="1">
      <c r="B201" s="32"/>
      <c r="C201" s="1093"/>
      <c r="D201" s="1093"/>
      <c r="E201" s="1093"/>
      <c r="F201" s="1093"/>
      <c r="G201" s="1093"/>
      <c r="H201" s="1093"/>
      <c r="I201" s="1093"/>
      <c r="J201" s="1093"/>
      <c r="K201" s="1093"/>
      <c r="L201" s="1093"/>
      <c r="M201" s="1093"/>
      <c r="N201" s="1093"/>
      <c r="O201" s="1093"/>
      <c r="P201" s="1093"/>
      <c r="Q201" s="1093"/>
      <c r="R201" s="1093"/>
      <c r="S201" s="1093"/>
      <c r="T201" s="1093"/>
    </row>
    <row r="202" spans="1:20" s="31" customFormat="1" ht="60" customHeight="1">
      <c r="B202" s="32" t="s">
        <v>725</v>
      </c>
      <c r="C202" s="1093" t="s">
        <v>1711</v>
      </c>
      <c r="D202" s="1093"/>
      <c r="E202" s="1093"/>
      <c r="F202" s="1093"/>
      <c r="G202" s="1093"/>
      <c r="H202" s="1093"/>
      <c r="I202" s="1093"/>
      <c r="J202" s="1093"/>
      <c r="K202" s="1093"/>
      <c r="L202" s="1093"/>
      <c r="M202" s="1093"/>
      <c r="N202" s="1093"/>
      <c r="O202" s="1093"/>
      <c r="P202" s="1093"/>
      <c r="Q202" s="1093"/>
      <c r="R202" s="1093"/>
      <c r="S202" s="1093"/>
      <c r="T202" s="1093"/>
    </row>
    <row r="203" spans="1:20" s="31" customFormat="1" ht="60" customHeight="1">
      <c r="B203" s="32" t="s">
        <v>741</v>
      </c>
      <c r="C203" s="1093" t="s">
        <v>1462</v>
      </c>
      <c r="D203" s="1093"/>
      <c r="E203" s="1093"/>
      <c r="F203" s="1093"/>
      <c r="G203" s="1093"/>
      <c r="H203" s="1093"/>
      <c r="I203" s="1093"/>
      <c r="J203" s="1093"/>
      <c r="K203" s="1093"/>
      <c r="L203" s="1093"/>
      <c r="M203" s="1093"/>
      <c r="N203" s="1093"/>
      <c r="O203" s="1093"/>
      <c r="P203" s="1093"/>
      <c r="Q203" s="1093"/>
      <c r="R203" s="1093"/>
      <c r="S203" s="1093"/>
      <c r="T203" s="1093"/>
    </row>
    <row r="204" spans="1:20" s="31" customFormat="1" ht="15" customHeight="1">
      <c r="B204" s="32"/>
      <c r="C204" s="32"/>
    </row>
    <row r="205" spans="1:20" s="31" customFormat="1" ht="15" customHeight="1">
      <c r="A205" s="31" t="s">
        <v>1463</v>
      </c>
      <c r="B205" s="32"/>
      <c r="C205" s="32"/>
    </row>
    <row r="206" spans="1:20" s="31" customFormat="1" ht="15" customHeight="1">
      <c r="A206" s="31" t="s">
        <v>841</v>
      </c>
      <c r="B206" s="32"/>
      <c r="C206" s="1093" t="s">
        <v>1464</v>
      </c>
      <c r="D206" s="1093"/>
      <c r="E206" s="1093"/>
      <c r="F206" s="1093"/>
      <c r="G206" s="1093"/>
      <c r="H206" s="1093"/>
      <c r="I206" s="1093"/>
      <c r="J206" s="1093"/>
      <c r="K206" s="1093"/>
      <c r="L206" s="1093"/>
      <c r="M206" s="1093"/>
      <c r="N206" s="1093"/>
      <c r="O206" s="1093"/>
      <c r="P206" s="1093"/>
      <c r="Q206" s="1093"/>
      <c r="R206" s="1093"/>
      <c r="S206" s="1093"/>
      <c r="T206" s="1093"/>
    </row>
    <row r="207" spans="1:20" s="31" customFormat="1" ht="15" customHeight="1">
      <c r="B207" s="32"/>
      <c r="C207" s="1093"/>
      <c r="D207" s="1093"/>
      <c r="E207" s="1093"/>
      <c r="F207" s="1093"/>
      <c r="G207" s="1093"/>
      <c r="H207" s="1093"/>
      <c r="I207" s="1093"/>
      <c r="J207" s="1093"/>
      <c r="K207" s="1093"/>
      <c r="L207" s="1093"/>
      <c r="M207" s="1093"/>
      <c r="N207" s="1093"/>
      <c r="O207" s="1093"/>
      <c r="P207" s="1093"/>
      <c r="Q207" s="1093"/>
      <c r="R207" s="1093"/>
      <c r="S207" s="1093"/>
      <c r="T207" s="1093"/>
    </row>
    <row r="208" spans="1:20" s="31" customFormat="1" ht="15" customHeight="1">
      <c r="B208" s="32"/>
      <c r="C208" s="1093"/>
      <c r="D208" s="1093"/>
      <c r="E208" s="1093"/>
      <c r="F208" s="1093"/>
      <c r="G208" s="1093"/>
      <c r="H208" s="1093"/>
      <c r="I208" s="1093"/>
      <c r="J208" s="1093"/>
      <c r="K208" s="1093"/>
      <c r="L208" s="1093"/>
      <c r="M208" s="1093"/>
      <c r="N208" s="1093"/>
      <c r="O208" s="1093"/>
      <c r="P208" s="1093"/>
      <c r="Q208" s="1093"/>
      <c r="R208" s="1093"/>
      <c r="S208" s="1093"/>
      <c r="T208" s="1093"/>
    </row>
    <row r="209" spans="1:23" s="31" customFormat="1" ht="15" customHeight="1">
      <c r="B209" s="32" t="s">
        <v>725</v>
      </c>
      <c r="C209" s="1093" t="s">
        <v>1465</v>
      </c>
      <c r="D209" s="1093"/>
      <c r="E209" s="1093"/>
      <c r="F209" s="1093"/>
      <c r="G209" s="1093"/>
      <c r="H209" s="1093"/>
      <c r="I209" s="1093"/>
      <c r="J209" s="1093"/>
      <c r="K209" s="1093"/>
      <c r="L209" s="1093"/>
      <c r="M209" s="1093"/>
      <c r="N209" s="1093"/>
      <c r="O209" s="1093"/>
      <c r="P209" s="1093"/>
      <c r="Q209" s="1093"/>
      <c r="R209" s="1093"/>
      <c r="S209" s="1093"/>
      <c r="T209" s="1093"/>
    </row>
    <row r="210" spans="1:23" s="31" customFormat="1" ht="15" customHeight="1">
      <c r="B210" s="32"/>
      <c r="C210" s="1093"/>
      <c r="D210" s="1093"/>
      <c r="E210" s="1093"/>
      <c r="F210" s="1093"/>
      <c r="G210" s="1093"/>
      <c r="H210" s="1093"/>
      <c r="I210" s="1093"/>
      <c r="J210" s="1093"/>
      <c r="K210" s="1093"/>
      <c r="L210" s="1093"/>
      <c r="M210" s="1093"/>
      <c r="N210" s="1093"/>
      <c r="O210" s="1093"/>
      <c r="P210" s="1093"/>
      <c r="Q210" s="1093"/>
      <c r="R210" s="1093"/>
      <c r="S210" s="1093"/>
      <c r="T210" s="1093"/>
    </row>
    <row r="211" spans="1:23" s="31" customFormat="1" ht="15" customHeight="1">
      <c r="B211" s="32"/>
      <c r="C211" s="1093"/>
      <c r="D211" s="1093"/>
      <c r="E211" s="1093"/>
      <c r="F211" s="1093"/>
      <c r="G211" s="1093"/>
      <c r="H211" s="1093"/>
      <c r="I211" s="1093"/>
      <c r="J211" s="1093"/>
      <c r="K211" s="1093"/>
      <c r="L211" s="1093"/>
      <c r="M211" s="1093"/>
      <c r="N211" s="1093"/>
      <c r="O211" s="1093"/>
      <c r="P211" s="1093"/>
      <c r="Q211" s="1093"/>
      <c r="R211" s="1093"/>
      <c r="S211" s="1093"/>
      <c r="T211" s="1093"/>
    </row>
    <row r="212" spans="1:23" s="31" customFormat="1" ht="15" customHeight="1">
      <c r="B212" s="32"/>
      <c r="C212" s="32"/>
    </row>
    <row r="213" spans="1:23" s="31" customFormat="1" ht="15" customHeight="1">
      <c r="A213" s="31" t="s">
        <v>1466</v>
      </c>
      <c r="B213" s="32"/>
      <c r="C213" s="32"/>
    </row>
    <row r="214" spans="1:23" s="31" customFormat="1" ht="15" customHeight="1">
      <c r="A214" s="31" t="s">
        <v>845</v>
      </c>
      <c r="B214" s="32"/>
      <c r="C214" s="1093" t="s">
        <v>1467</v>
      </c>
      <c r="D214" s="1093"/>
      <c r="E214" s="1093"/>
      <c r="F214" s="1093"/>
      <c r="G214" s="1093"/>
      <c r="H214" s="1093"/>
      <c r="I214" s="1093"/>
      <c r="J214" s="1093"/>
      <c r="K214" s="1093"/>
      <c r="L214" s="1093"/>
      <c r="M214" s="1093"/>
      <c r="N214" s="1093"/>
      <c r="O214" s="1093"/>
      <c r="P214" s="1093"/>
      <c r="Q214" s="1093"/>
      <c r="R214" s="1093"/>
      <c r="S214" s="1093"/>
      <c r="T214" s="1093"/>
    </row>
    <row r="215" spans="1:23" s="31" customFormat="1" ht="15" customHeight="1">
      <c r="B215" s="32"/>
      <c r="C215" s="1093"/>
      <c r="D215" s="1093"/>
      <c r="E215" s="1093"/>
      <c r="F215" s="1093"/>
      <c r="G215" s="1093"/>
      <c r="H215" s="1093"/>
      <c r="I215" s="1093"/>
      <c r="J215" s="1093"/>
      <c r="K215" s="1093"/>
      <c r="L215" s="1093"/>
      <c r="M215" s="1093"/>
      <c r="N215" s="1093"/>
      <c r="O215" s="1093"/>
      <c r="P215" s="1093"/>
      <c r="Q215" s="1093"/>
      <c r="R215" s="1093"/>
      <c r="S215" s="1093"/>
      <c r="T215" s="1093"/>
    </row>
    <row r="216" spans="1:23" s="31" customFormat="1" ht="15" customHeight="1">
      <c r="B216" s="1233" t="s">
        <v>745</v>
      </c>
      <c r="C216" s="1233"/>
      <c r="D216" s="31" t="s">
        <v>1468</v>
      </c>
    </row>
    <row r="217" spans="1:23" s="31" customFormat="1" ht="15" customHeight="1">
      <c r="B217" s="1227" t="s">
        <v>747</v>
      </c>
      <c r="C217" s="1227"/>
      <c r="D217" s="31" t="s">
        <v>1469</v>
      </c>
    </row>
    <row r="218" spans="1:23" s="31" customFormat="1" ht="15" customHeight="1">
      <c r="B218" s="1227" t="s">
        <v>775</v>
      </c>
      <c r="C218" s="1227"/>
      <c r="D218" s="31" t="s">
        <v>1470</v>
      </c>
    </row>
    <row r="219" spans="1:23" s="31" customFormat="1" ht="15" customHeight="1">
      <c r="B219" s="32" t="s">
        <v>725</v>
      </c>
      <c r="C219" s="1093" t="s">
        <v>1471</v>
      </c>
      <c r="D219" s="1093"/>
      <c r="E219" s="1093"/>
      <c r="F219" s="1093"/>
      <c r="G219" s="1093"/>
      <c r="H219" s="1093"/>
      <c r="I219" s="1093"/>
      <c r="J219" s="1093"/>
      <c r="K219" s="1093"/>
      <c r="L219" s="1093"/>
      <c r="M219" s="1093"/>
      <c r="N219" s="1093"/>
      <c r="O219" s="1093"/>
      <c r="P219" s="1093"/>
      <c r="Q219" s="1093"/>
      <c r="R219" s="1093"/>
      <c r="S219" s="1093"/>
      <c r="T219" s="1093"/>
    </row>
    <row r="220" spans="1:23" s="31" customFormat="1" ht="15" customHeight="1">
      <c r="B220" s="32"/>
      <c r="C220" s="1093"/>
      <c r="D220" s="1093"/>
      <c r="E220" s="1093"/>
      <c r="F220" s="1093"/>
      <c r="G220" s="1093"/>
      <c r="H220" s="1093"/>
      <c r="I220" s="1093"/>
      <c r="J220" s="1093"/>
      <c r="K220" s="1093"/>
      <c r="L220" s="1093"/>
      <c r="M220" s="1093"/>
      <c r="N220" s="1093"/>
      <c r="O220" s="1093"/>
      <c r="P220" s="1093"/>
      <c r="Q220" s="1093"/>
      <c r="R220" s="1093"/>
      <c r="S220" s="1093"/>
      <c r="T220" s="1093"/>
    </row>
    <row r="221" spans="1:23" s="31" customFormat="1" ht="15" customHeight="1">
      <c r="B221" s="32"/>
      <c r="C221" s="1093"/>
      <c r="D221" s="1093"/>
      <c r="E221" s="1093"/>
      <c r="F221" s="1093"/>
      <c r="G221" s="1093"/>
      <c r="H221" s="1093"/>
      <c r="I221" s="1093"/>
      <c r="J221" s="1093"/>
      <c r="K221" s="1093"/>
      <c r="L221" s="1093"/>
      <c r="M221" s="1093"/>
      <c r="N221" s="1093"/>
      <c r="O221" s="1093"/>
      <c r="P221" s="1093"/>
      <c r="Q221" s="1093"/>
      <c r="R221" s="1093"/>
      <c r="S221" s="1093"/>
      <c r="T221" s="1093"/>
    </row>
    <row r="222" spans="1:23" s="31" customFormat="1" ht="15" customHeight="1">
      <c r="B222" s="32"/>
      <c r="C222" s="32"/>
    </row>
    <row r="223" spans="1:23" s="31" customFormat="1" ht="15" customHeight="1">
      <c r="A223" s="31" t="s">
        <v>1472</v>
      </c>
      <c r="B223" s="32"/>
      <c r="C223" s="32"/>
      <c r="W223" s="196"/>
    </row>
    <row r="224" spans="1:23" s="31" customFormat="1" ht="15" customHeight="1">
      <c r="A224" s="31" t="s">
        <v>848</v>
      </c>
      <c r="B224" s="32"/>
      <c r="C224" s="1093" t="s">
        <v>1473</v>
      </c>
      <c r="D224" s="1093"/>
      <c r="E224" s="1093"/>
      <c r="F224" s="1093"/>
      <c r="G224" s="1093"/>
      <c r="H224" s="1093"/>
      <c r="I224" s="1093"/>
      <c r="J224" s="1093"/>
      <c r="K224" s="1093"/>
      <c r="L224" s="1093"/>
      <c r="M224" s="1093"/>
      <c r="N224" s="1093"/>
      <c r="O224" s="1093"/>
      <c r="P224" s="1093"/>
      <c r="Q224" s="1093"/>
      <c r="R224" s="1093"/>
      <c r="S224" s="1093"/>
      <c r="T224" s="1093"/>
    </row>
    <row r="225" spans="1:41" s="31" customFormat="1" ht="15" customHeight="1">
      <c r="B225" s="32"/>
      <c r="C225" s="1093"/>
      <c r="D225" s="1093"/>
      <c r="E225" s="1093"/>
      <c r="F225" s="1093"/>
      <c r="G225" s="1093"/>
      <c r="H225" s="1093"/>
      <c r="I225" s="1093"/>
      <c r="J225" s="1093"/>
      <c r="K225" s="1093"/>
      <c r="L225" s="1093"/>
      <c r="M225" s="1093"/>
      <c r="N225" s="1093"/>
      <c r="O225" s="1093"/>
      <c r="P225" s="1093"/>
      <c r="Q225" s="1093"/>
      <c r="R225" s="1093"/>
      <c r="S225" s="1093"/>
      <c r="T225" s="1093"/>
    </row>
    <row r="226" spans="1:41" s="31" customFormat="1" ht="15" customHeight="1">
      <c r="B226" s="32"/>
      <c r="C226" s="1093"/>
      <c r="D226" s="1093"/>
      <c r="E226" s="1093"/>
      <c r="F226" s="1093"/>
      <c r="G226" s="1093"/>
      <c r="H226" s="1093"/>
      <c r="I226" s="1093"/>
      <c r="J226" s="1093"/>
      <c r="K226" s="1093"/>
      <c r="L226" s="1093"/>
      <c r="M226" s="1093"/>
      <c r="N226" s="1093"/>
      <c r="O226" s="1093"/>
      <c r="P226" s="1093"/>
      <c r="Q226" s="1093"/>
      <c r="R226" s="1093"/>
      <c r="S226" s="1093"/>
      <c r="T226" s="1093"/>
    </row>
    <row r="227" spans="1:41" s="31" customFormat="1" ht="15" customHeight="1">
      <c r="B227" s="32" t="s">
        <v>725</v>
      </c>
      <c r="C227" s="1093" t="s">
        <v>1474</v>
      </c>
      <c r="D227" s="1093"/>
      <c r="E227" s="1093"/>
      <c r="F227" s="1093"/>
      <c r="G227" s="1093"/>
      <c r="H227" s="1093"/>
      <c r="I227" s="1093"/>
      <c r="J227" s="1093"/>
      <c r="K227" s="1093"/>
      <c r="L227" s="1093"/>
      <c r="M227" s="1093"/>
      <c r="N227" s="1093"/>
      <c r="O227" s="1093"/>
      <c r="P227" s="1093"/>
      <c r="Q227" s="1093"/>
      <c r="R227" s="1093"/>
      <c r="S227" s="1093"/>
      <c r="T227" s="1093"/>
    </row>
    <row r="228" spans="1:41" s="31" customFormat="1" ht="15" customHeight="1">
      <c r="B228" s="32"/>
      <c r="C228" s="1093"/>
      <c r="D228" s="1093"/>
      <c r="E228" s="1093"/>
      <c r="F228" s="1093"/>
      <c r="G228" s="1093"/>
      <c r="H228" s="1093"/>
      <c r="I228" s="1093"/>
      <c r="J228" s="1093"/>
      <c r="K228" s="1093"/>
      <c r="L228" s="1093"/>
      <c r="M228" s="1093"/>
      <c r="N228" s="1093"/>
      <c r="O228" s="1093"/>
      <c r="P228" s="1093"/>
      <c r="Q228" s="1093"/>
      <c r="R228" s="1093"/>
      <c r="S228" s="1093"/>
      <c r="T228" s="1093"/>
    </row>
    <row r="229" spans="1:41" s="31" customFormat="1" ht="15" customHeight="1">
      <c r="B229" s="32"/>
      <c r="C229" s="1093"/>
      <c r="D229" s="1093"/>
      <c r="E229" s="1093"/>
      <c r="F229" s="1093"/>
      <c r="G229" s="1093"/>
      <c r="H229" s="1093"/>
      <c r="I229" s="1093"/>
      <c r="J229" s="1093"/>
      <c r="K229" s="1093"/>
      <c r="L229" s="1093"/>
      <c r="M229" s="1093"/>
      <c r="N229" s="1093"/>
      <c r="O229" s="1093"/>
      <c r="P229" s="1093"/>
      <c r="Q229" s="1093"/>
      <c r="R229" s="1093"/>
      <c r="S229" s="1093"/>
      <c r="T229" s="1093"/>
    </row>
    <row r="230" spans="1:41" s="31" customFormat="1" ht="15" customHeight="1">
      <c r="B230" s="32"/>
      <c r="C230" s="1093"/>
      <c r="D230" s="1093"/>
      <c r="E230" s="1093"/>
      <c r="F230" s="1093"/>
      <c r="G230" s="1093"/>
      <c r="H230" s="1093"/>
      <c r="I230" s="1093"/>
      <c r="J230" s="1093"/>
      <c r="K230" s="1093"/>
      <c r="L230" s="1093"/>
      <c r="M230" s="1093"/>
      <c r="N230" s="1093"/>
      <c r="O230" s="1093"/>
      <c r="P230" s="1093"/>
      <c r="Q230" s="1093"/>
      <c r="R230" s="1093"/>
      <c r="S230" s="1093"/>
      <c r="T230" s="1093"/>
    </row>
    <row r="231" spans="1:41" s="31" customFormat="1" ht="15" customHeight="1">
      <c r="B231" s="32"/>
      <c r="C231" s="513"/>
      <c r="D231" s="513"/>
      <c r="E231" s="513"/>
      <c r="F231" s="513"/>
      <c r="G231" s="513"/>
      <c r="H231" s="513"/>
      <c r="I231" s="513"/>
      <c r="J231" s="513"/>
      <c r="K231" s="513"/>
      <c r="L231" s="513"/>
      <c r="M231" s="513"/>
      <c r="N231" s="513"/>
      <c r="O231" s="513"/>
      <c r="P231" s="513"/>
      <c r="Q231" s="513"/>
      <c r="R231" s="513"/>
      <c r="S231" s="513"/>
      <c r="T231" s="513"/>
    </row>
    <row r="232" spans="1:41" s="31" customFormat="1" ht="15" customHeight="1">
      <c r="A232" s="32" t="s">
        <v>1764</v>
      </c>
      <c r="B232" s="661"/>
      <c r="C232" s="661"/>
      <c r="D232" s="661"/>
      <c r="E232" s="661"/>
      <c r="F232" s="662"/>
      <c r="G232" s="662"/>
      <c r="H232" s="662"/>
      <c r="I232" s="662"/>
      <c r="J232" s="662"/>
      <c r="K232" s="662"/>
      <c r="L232" s="662"/>
      <c r="M232" s="662"/>
      <c r="N232" s="662"/>
      <c r="O232" s="662"/>
      <c r="P232" s="662"/>
      <c r="Q232" s="662"/>
      <c r="R232" s="662"/>
      <c r="S232" s="662"/>
      <c r="T232" s="73"/>
      <c r="U232" s="196"/>
      <c r="W232" s="196"/>
      <c r="X232" s="512"/>
      <c r="Y232" s="512"/>
    </row>
    <row r="233" spans="1:41" s="31" customFormat="1" ht="15" customHeight="1">
      <c r="A233" s="31" t="s">
        <v>851</v>
      </c>
      <c r="B233" s="32"/>
      <c r="C233" s="1018" t="s">
        <v>1794</v>
      </c>
      <c r="D233" s="1018"/>
      <c r="E233" s="1018"/>
      <c r="F233" s="1018"/>
      <c r="G233" s="1018"/>
      <c r="H233" s="1018"/>
      <c r="I233" s="1018"/>
      <c r="J233" s="1018"/>
      <c r="K233" s="1018"/>
      <c r="L233" s="1018"/>
      <c r="M233" s="1018"/>
      <c r="N233" s="1018"/>
      <c r="O233" s="1018"/>
      <c r="P233" s="1018"/>
      <c r="Q233" s="1018"/>
      <c r="R233" s="1018"/>
      <c r="S233" s="1018"/>
      <c r="T233" s="1018"/>
      <c r="V233" s="196"/>
      <c r="W233" s="33"/>
      <c r="X233" s="33"/>
      <c r="Y233" s="33"/>
      <c r="Z233" s="33"/>
      <c r="AA233" s="33"/>
      <c r="AB233" s="33"/>
      <c r="AC233" s="33"/>
      <c r="AD233" s="33"/>
      <c r="AE233" s="33"/>
      <c r="AF233" s="33"/>
      <c r="AG233" s="33"/>
      <c r="AH233" s="33"/>
      <c r="AI233" s="33"/>
      <c r="AJ233" s="33"/>
      <c r="AK233" s="33"/>
      <c r="AL233" s="33"/>
      <c r="AM233" s="33"/>
      <c r="AN233" s="33"/>
    </row>
    <row r="234" spans="1:41" s="31" customFormat="1" ht="15" customHeight="1">
      <c r="C234" s="1018"/>
      <c r="D234" s="1018"/>
      <c r="E234" s="1018"/>
      <c r="F234" s="1018"/>
      <c r="G234" s="1018"/>
      <c r="H234" s="1018"/>
      <c r="I234" s="1018"/>
      <c r="J234" s="1018"/>
      <c r="K234" s="1018"/>
      <c r="L234" s="1018"/>
      <c r="M234" s="1018"/>
      <c r="N234" s="1018"/>
      <c r="O234" s="1018"/>
      <c r="P234" s="1018"/>
      <c r="Q234" s="1018"/>
      <c r="R234" s="1018"/>
      <c r="S234" s="1018"/>
      <c r="T234" s="1018"/>
      <c r="W234" s="196"/>
    </row>
    <row r="235" spans="1:41" s="31" customFormat="1" ht="15" customHeight="1">
      <c r="A235" s="663"/>
      <c r="B235" s="717"/>
      <c r="C235" s="1018" t="s">
        <v>1835</v>
      </c>
      <c r="D235" s="1018"/>
      <c r="E235" s="1018"/>
      <c r="F235" s="1018"/>
      <c r="G235" s="1018"/>
      <c r="H235" s="1018"/>
      <c r="I235" s="1018"/>
      <c r="J235" s="1018"/>
      <c r="K235" s="1018"/>
      <c r="L235" s="1018"/>
      <c r="M235" s="1018"/>
      <c r="N235" s="1018"/>
      <c r="O235" s="1018"/>
      <c r="P235" s="1018"/>
      <c r="Q235" s="1018"/>
      <c r="R235" s="1018"/>
      <c r="S235" s="1018"/>
      <c r="T235" s="1018"/>
      <c r="V235" s="196"/>
      <c r="W235" s="33"/>
      <c r="X235" s="33"/>
      <c r="Y235" s="33"/>
      <c r="Z235" s="33"/>
      <c r="AA235" s="33"/>
      <c r="AB235" s="33"/>
      <c r="AC235" s="33"/>
      <c r="AD235" s="33"/>
      <c r="AE235" s="33"/>
      <c r="AF235" s="33"/>
      <c r="AG235" s="33"/>
      <c r="AH235" s="33"/>
      <c r="AI235" s="33"/>
      <c r="AJ235" s="33"/>
      <c r="AK235" s="33"/>
      <c r="AL235" s="33"/>
      <c r="AM235" s="33"/>
      <c r="AN235" s="33"/>
      <c r="AO235" s="33"/>
    </row>
    <row r="236" spans="1:41" s="31" customFormat="1" ht="15" customHeight="1">
      <c r="A236" s="663"/>
      <c r="B236" s="717"/>
      <c r="C236" s="1018"/>
      <c r="D236" s="1018"/>
      <c r="E236" s="1018"/>
      <c r="F236" s="1018"/>
      <c r="G236" s="1018"/>
      <c r="H236" s="1018"/>
      <c r="I236" s="1018"/>
      <c r="J236" s="1018"/>
      <c r="K236" s="1018"/>
      <c r="L236" s="1018"/>
      <c r="M236" s="1018"/>
      <c r="N236" s="1018"/>
      <c r="O236" s="1018"/>
      <c r="P236" s="1018"/>
      <c r="Q236" s="1018"/>
      <c r="R236" s="1018"/>
      <c r="S236" s="1018"/>
      <c r="T236" s="1018"/>
      <c r="V236" s="196"/>
      <c r="W236" s="33"/>
      <c r="X236" s="33"/>
      <c r="Y236" s="33"/>
      <c r="Z236" s="33"/>
      <c r="AA236" s="33"/>
      <c r="AB236" s="33"/>
      <c r="AC236" s="33"/>
      <c r="AD236" s="33"/>
      <c r="AE236" s="33"/>
      <c r="AF236" s="33"/>
      <c r="AG236" s="33"/>
      <c r="AH236" s="33"/>
      <c r="AI236" s="33"/>
      <c r="AJ236" s="33"/>
      <c r="AK236" s="33"/>
      <c r="AL236" s="33"/>
      <c r="AM236" s="33"/>
      <c r="AN236" s="33"/>
      <c r="AO236" s="33"/>
    </row>
    <row r="237" spans="1:41" s="31" customFormat="1" ht="15" customHeight="1">
      <c r="A237" s="663"/>
      <c r="C237" s="718" t="s">
        <v>1771</v>
      </c>
      <c r="D237" s="718"/>
      <c r="E237" s="718"/>
      <c r="F237" s="718"/>
      <c r="G237" s="718"/>
      <c r="H237" s="718"/>
      <c r="I237" s="718"/>
      <c r="J237" s="718"/>
      <c r="K237" s="718"/>
      <c r="L237" s="718"/>
      <c r="M237" s="718"/>
      <c r="N237" s="718"/>
      <c r="O237" s="718"/>
      <c r="P237" s="718"/>
      <c r="Q237" s="718"/>
      <c r="R237" s="718"/>
      <c r="S237" s="718"/>
      <c r="T237" s="713"/>
      <c r="V237" s="196"/>
      <c r="W237" s="33"/>
      <c r="X237" s="33"/>
      <c r="Y237" s="33"/>
      <c r="Z237" s="33"/>
      <c r="AA237" s="33"/>
      <c r="AB237" s="33"/>
      <c r="AC237" s="33"/>
      <c r="AD237" s="33"/>
      <c r="AE237" s="33"/>
      <c r="AF237" s="33"/>
      <c r="AG237" s="33"/>
      <c r="AH237" s="33"/>
      <c r="AI237" s="33"/>
      <c r="AJ237" s="33"/>
      <c r="AK237" s="33"/>
      <c r="AL237" s="33"/>
      <c r="AM237" s="33"/>
      <c r="AN237" s="33"/>
      <c r="AO237" s="33"/>
    </row>
    <row r="238" spans="1:41" s="31" customFormat="1" ht="15" customHeight="1">
      <c r="A238" s="663"/>
      <c r="B238" s="719"/>
      <c r="C238" s="1018" t="s">
        <v>1772</v>
      </c>
      <c r="D238" s="1018"/>
      <c r="E238" s="1018"/>
      <c r="F238" s="1018"/>
      <c r="G238" s="1018"/>
      <c r="H238" s="1018"/>
      <c r="I238" s="1018"/>
      <c r="J238" s="1018"/>
      <c r="K238" s="1018"/>
      <c r="L238" s="1018"/>
      <c r="M238" s="1018"/>
      <c r="N238" s="1018"/>
      <c r="O238" s="1018"/>
      <c r="P238" s="1018"/>
      <c r="Q238" s="1018"/>
      <c r="R238" s="1018"/>
      <c r="S238" s="1018"/>
      <c r="T238" s="1018"/>
      <c r="V238" s="196"/>
      <c r="W238" s="33"/>
      <c r="X238" s="33"/>
      <c r="Y238" s="33"/>
      <c r="Z238" s="33"/>
      <c r="AA238" s="33"/>
      <c r="AB238" s="33"/>
      <c r="AC238" s="33"/>
      <c r="AD238" s="33"/>
      <c r="AE238" s="33"/>
      <c r="AF238" s="33"/>
      <c r="AG238" s="33"/>
      <c r="AH238" s="33"/>
      <c r="AI238" s="33"/>
      <c r="AJ238" s="33"/>
      <c r="AK238" s="33"/>
      <c r="AL238" s="33"/>
      <c r="AM238" s="33"/>
      <c r="AN238" s="33"/>
      <c r="AO238" s="33"/>
    </row>
    <row r="239" spans="1:41" s="31" customFormat="1" ht="15" customHeight="1">
      <c r="A239" s="663"/>
      <c r="B239" s="719"/>
      <c r="C239" s="1018"/>
      <c r="D239" s="1018"/>
      <c r="E239" s="1018"/>
      <c r="F239" s="1018"/>
      <c r="G239" s="1018"/>
      <c r="H239" s="1018"/>
      <c r="I239" s="1018"/>
      <c r="J239" s="1018"/>
      <c r="K239" s="1018"/>
      <c r="L239" s="1018"/>
      <c r="M239" s="1018"/>
      <c r="N239" s="1018"/>
      <c r="O239" s="1018"/>
      <c r="P239" s="1018"/>
      <c r="Q239" s="1018"/>
      <c r="R239" s="1018"/>
      <c r="S239" s="1018"/>
      <c r="T239" s="1018"/>
      <c r="V239" s="196"/>
      <c r="W239" s="33"/>
      <c r="X239" s="33"/>
      <c r="Y239" s="33"/>
      <c r="Z239" s="33"/>
      <c r="AA239" s="33"/>
      <c r="AB239" s="33"/>
      <c r="AC239" s="33"/>
      <c r="AD239" s="33"/>
      <c r="AE239" s="33"/>
      <c r="AF239" s="33"/>
      <c r="AG239" s="33"/>
      <c r="AH239" s="33"/>
      <c r="AI239" s="33"/>
      <c r="AJ239" s="33"/>
      <c r="AK239" s="33"/>
      <c r="AL239" s="33"/>
      <c r="AM239" s="33"/>
      <c r="AN239" s="33"/>
      <c r="AO239" s="33"/>
    </row>
    <row r="240" spans="1:41" s="31" customFormat="1" ht="15" customHeight="1">
      <c r="A240" s="663"/>
      <c r="B240" s="719"/>
      <c r="C240" s="1018" t="s">
        <v>1830</v>
      </c>
      <c r="D240" s="1019"/>
      <c r="E240" s="1019"/>
      <c r="F240" s="1019"/>
      <c r="G240" s="1019"/>
      <c r="H240" s="1019"/>
      <c r="I240" s="1019"/>
      <c r="J240" s="1019"/>
      <c r="K240" s="1019"/>
      <c r="L240" s="1019"/>
      <c r="M240" s="1019"/>
      <c r="N240" s="1019"/>
      <c r="O240" s="1019"/>
      <c r="P240" s="1019"/>
      <c r="Q240" s="1019"/>
      <c r="R240" s="1019"/>
      <c r="S240" s="1019"/>
      <c r="T240" s="1019"/>
      <c r="V240" s="196"/>
      <c r="W240" s="33"/>
      <c r="X240" s="33"/>
      <c r="Y240" s="33"/>
      <c r="Z240" s="33"/>
      <c r="AA240" s="33"/>
      <c r="AB240" s="33"/>
      <c r="AC240" s="33"/>
      <c r="AD240" s="33"/>
      <c r="AE240" s="33"/>
      <c r="AF240" s="33"/>
      <c r="AG240" s="33"/>
      <c r="AH240" s="33"/>
      <c r="AI240" s="33"/>
      <c r="AJ240" s="33"/>
      <c r="AK240" s="33"/>
      <c r="AL240" s="33"/>
      <c r="AM240" s="33"/>
      <c r="AN240" s="33"/>
      <c r="AO240" s="33"/>
    </row>
    <row r="241" spans="1:41" s="31" customFormat="1" ht="15" customHeight="1">
      <c r="A241" s="663"/>
      <c r="B241" s="719"/>
      <c r="C241" s="1019"/>
      <c r="D241" s="1019"/>
      <c r="E241" s="1019"/>
      <c r="F241" s="1019"/>
      <c r="G241" s="1019"/>
      <c r="H241" s="1019"/>
      <c r="I241" s="1019"/>
      <c r="J241" s="1019"/>
      <c r="K241" s="1019"/>
      <c r="L241" s="1019"/>
      <c r="M241" s="1019"/>
      <c r="N241" s="1019"/>
      <c r="O241" s="1019"/>
      <c r="P241" s="1019"/>
      <c r="Q241" s="1019"/>
      <c r="R241" s="1019"/>
      <c r="S241" s="1019"/>
      <c r="T241" s="1019"/>
      <c r="V241" s="196"/>
      <c r="W241" s="33"/>
      <c r="X241" s="33"/>
      <c r="Y241" s="33"/>
      <c r="Z241" s="33"/>
      <c r="AA241" s="33"/>
      <c r="AB241" s="33"/>
      <c r="AC241" s="33"/>
      <c r="AD241" s="33"/>
      <c r="AE241" s="33"/>
      <c r="AF241" s="33"/>
      <c r="AG241" s="33"/>
      <c r="AH241" s="33"/>
      <c r="AI241" s="33"/>
      <c r="AJ241" s="33"/>
      <c r="AK241" s="33"/>
      <c r="AL241" s="33"/>
      <c r="AM241" s="33"/>
      <c r="AN241" s="33"/>
      <c r="AO241" s="33"/>
    </row>
    <row r="242" spans="1:41" s="31" customFormat="1" ht="15" customHeight="1">
      <c r="A242" s="665"/>
      <c r="B242" s="718"/>
      <c r="C242" s="1018" t="s">
        <v>1789</v>
      </c>
      <c r="D242" s="1018"/>
      <c r="E242" s="1018"/>
      <c r="F242" s="1018"/>
      <c r="G242" s="1018"/>
      <c r="H242" s="1018"/>
      <c r="I242" s="1018"/>
      <c r="J242" s="1018"/>
      <c r="K242" s="1018"/>
      <c r="L242" s="1018"/>
      <c r="M242" s="1018"/>
      <c r="N242" s="1018"/>
      <c r="O242" s="1018"/>
      <c r="P242" s="1018"/>
      <c r="Q242" s="1018"/>
      <c r="R242" s="1018"/>
      <c r="S242" s="1018"/>
      <c r="T242" s="1018"/>
      <c r="V242" s="196"/>
      <c r="W242" s="33"/>
      <c r="X242" s="33"/>
      <c r="Y242" s="33"/>
      <c r="Z242" s="33"/>
      <c r="AA242" s="33"/>
      <c r="AB242" s="33"/>
      <c r="AC242" s="33"/>
      <c r="AD242" s="33"/>
      <c r="AE242" s="33"/>
      <c r="AF242" s="33"/>
      <c r="AG242" s="33"/>
      <c r="AH242" s="33"/>
      <c r="AI242" s="33"/>
      <c r="AJ242" s="33"/>
      <c r="AK242" s="33"/>
      <c r="AL242" s="33"/>
      <c r="AM242" s="33"/>
      <c r="AN242" s="33"/>
      <c r="AO242" s="33"/>
    </row>
    <row r="243" spans="1:41" s="31" customFormat="1" ht="15" customHeight="1">
      <c r="A243" s="665"/>
      <c r="B243" s="718"/>
      <c r="C243" s="1018"/>
      <c r="D243" s="1018"/>
      <c r="E243" s="1018"/>
      <c r="F243" s="1018"/>
      <c r="G243" s="1018"/>
      <c r="H243" s="1018"/>
      <c r="I243" s="1018"/>
      <c r="J243" s="1018"/>
      <c r="K243" s="1018"/>
      <c r="L243" s="1018"/>
      <c r="M243" s="1018"/>
      <c r="N243" s="1018"/>
      <c r="O243" s="1018"/>
      <c r="P243" s="1018"/>
      <c r="Q243" s="1018"/>
      <c r="R243" s="1018"/>
      <c r="S243" s="1018"/>
      <c r="T243" s="1018"/>
      <c r="V243" s="196"/>
      <c r="W243" s="33"/>
      <c r="X243" s="33"/>
      <c r="Y243" s="33"/>
      <c r="Z243" s="33"/>
      <c r="AA243" s="33"/>
      <c r="AB243" s="33"/>
      <c r="AC243" s="33"/>
      <c r="AD243" s="33"/>
      <c r="AE243" s="33"/>
      <c r="AF243" s="33"/>
      <c r="AG243" s="33"/>
      <c r="AH243" s="33"/>
      <c r="AI243" s="33"/>
      <c r="AJ243" s="33"/>
      <c r="AK243" s="33"/>
      <c r="AL243" s="33"/>
      <c r="AM243" s="33"/>
      <c r="AN243" s="33"/>
      <c r="AO243" s="33"/>
    </row>
    <row r="244" spans="1:41" s="31" customFormat="1" ht="15" customHeight="1">
      <c r="A244" s="32"/>
      <c r="B244" s="664" t="s">
        <v>725</v>
      </c>
      <c r="C244" s="1020" t="s">
        <v>1836</v>
      </c>
      <c r="D244" s="1020"/>
      <c r="E244" s="1020"/>
      <c r="F244" s="1020"/>
      <c r="G244" s="1020"/>
      <c r="H244" s="1020"/>
      <c r="I244" s="1020"/>
      <c r="J244" s="1020"/>
      <c r="K244" s="1020"/>
      <c r="L244" s="1020"/>
      <c r="M244" s="1020"/>
      <c r="N244" s="1020"/>
      <c r="O244" s="1020"/>
      <c r="P244" s="1020"/>
      <c r="Q244" s="1020"/>
      <c r="R244" s="1020"/>
      <c r="S244" s="1020"/>
      <c r="T244" s="1020"/>
      <c r="W244" s="196"/>
      <c r="X244" s="196"/>
      <c r="Y244" s="512"/>
      <c r="Z244" s="512"/>
    </row>
    <row r="245" spans="1:41" s="31" customFormat="1" ht="15" customHeight="1">
      <c r="A245" s="32"/>
      <c r="B245" s="664"/>
      <c r="C245" s="1020"/>
      <c r="D245" s="1020"/>
      <c r="E245" s="1020"/>
      <c r="F245" s="1020"/>
      <c r="G245" s="1020"/>
      <c r="H245" s="1020"/>
      <c r="I245" s="1020"/>
      <c r="J245" s="1020"/>
      <c r="K245" s="1020"/>
      <c r="L245" s="1020"/>
      <c r="M245" s="1020"/>
      <c r="N245" s="1020"/>
      <c r="O245" s="1020"/>
      <c r="P245" s="1020"/>
      <c r="Q245" s="1020"/>
      <c r="R245" s="1020"/>
      <c r="S245" s="1020"/>
      <c r="T245" s="1020"/>
      <c r="W245" s="196"/>
      <c r="X245" s="196"/>
      <c r="Y245" s="512"/>
      <c r="Z245" s="512"/>
    </row>
    <row r="246" spans="1:41" s="31" customFormat="1" ht="15" customHeight="1">
      <c r="A246" s="32"/>
      <c r="B246" s="664" t="s">
        <v>741</v>
      </c>
      <c r="C246" s="1020" t="s">
        <v>1790</v>
      </c>
      <c r="D246" s="1020"/>
      <c r="E246" s="1020"/>
      <c r="F246" s="1020"/>
      <c r="G246" s="1020"/>
      <c r="H246" s="1020"/>
      <c r="I246" s="1020"/>
      <c r="J246" s="1020"/>
      <c r="K246" s="1020"/>
      <c r="L246" s="1020"/>
      <c r="M246" s="1020"/>
      <c r="N246" s="1020"/>
      <c r="O246" s="1020"/>
      <c r="P246" s="1020"/>
      <c r="Q246" s="1020"/>
      <c r="R246" s="1020"/>
      <c r="S246" s="1020"/>
      <c r="T246" s="1020"/>
      <c r="W246" s="196"/>
      <c r="X246" s="196"/>
      <c r="Y246" s="512"/>
      <c r="Z246" s="512"/>
    </row>
    <row r="247" spans="1:41" s="31" customFormat="1" ht="15" customHeight="1">
      <c r="A247" s="32"/>
      <c r="B247" s="664"/>
      <c r="C247" s="1020"/>
      <c r="D247" s="1020"/>
      <c r="E247" s="1020"/>
      <c r="F247" s="1020"/>
      <c r="G247" s="1020"/>
      <c r="H247" s="1020"/>
      <c r="I247" s="1020"/>
      <c r="J247" s="1020"/>
      <c r="K247" s="1020"/>
      <c r="L247" s="1020"/>
      <c r="M247" s="1020"/>
      <c r="N247" s="1020"/>
      <c r="O247" s="1020"/>
      <c r="P247" s="1020"/>
      <c r="Q247" s="1020"/>
      <c r="R247" s="1020"/>
      <c r="S247" s="1020"/>
      <c r="T247" s="1020"/>
      <c r="W247" s="196"/>
      <c r="X247" s="196"/>
      <c r="Y247" s="512"/>
      <c r="Z247" s="512"/>
    </row>
    <row r="248" spans="1:41" s="31" customFormat="1" ht="15" customHeight="1">
      <c r="A248" s="32"/>
      <c r="B248" s="664"/>
      <c r="C248" s="1020"/>
      <c r="D248" s="1020"/>
      <c r="E248" s="1020"/>
      <c r="F248" s="1020"/>
      <c r="G248" s="1020"/>
      <c r="H248" s="1020"/>
      <c r="I248" s="1020"/>
      <c r="J248" s="1020"/>
      <c r="K248" s="1020"/>
      <c r="L248" s="1020"/>
      <c r="M248" s="1020"/>
      <c r="N248" s="1020"/>
      <c r="O248" s="1020"/>
      <c r="P248" s="1020"/>
      <c r="Q248" s="1020"/>
      <c r="R248" s="1020"/>
      <c r="S248" s="1020"/>
      <c r="T248" s="1020"/>
      <c r="W248" s="196"/>
      <c r="X248" s="196"/>
      <c r="Y248" s="512"/>
      <c r="Z248" s="512"/>
    </row>
    <row r="249" spans="1:41" s="31" customFormat="1" ht="15" customHeight="1">
      <c r="A249" s="665"/>
      <c r="B249" s="749" t="s">
        <v>743</v>
      </c>
      <c r="C249" s="1018" t="s">
        <v>1791</v>
      </c>
      <c r="D249" s="1018"/>
      <c r="E249" s="1018"/>
      <c r="F249" s="1018"/>
      <c r="G249" s="1018"/>
      <c r="H249" s="1018"/>
      <c r="I249" s="1018"/>
      <c r="J249" s="1018"/>
      <c r="K249" s="1018"/>
      <c r="L249" s="1018"/>
      <c r="M249" s="1018"/>
      <c r="N249" s="1018"/>
      <c r="O249" s="1018"/>
      <c r="P249" s="1018"/>
      <c r="Q249" s="1018"/>
      <c r="R249" s="1018"/>
      <c r="S249" s="1018"/>
      <c r="T249" s="1018"/>
      <c r="V249" s="196"/>
      <c r="W249" s="33"/>
      <c r="X249" s="33"/>
      <c r="Y249" s="33"/>
      <c r="Z249" s="33"/>
      <c r="AA249" s="33"/>
      <c r="AB249" s="33"/>
      <c r="AC249" s="33"/>
      <c r="AD249" s="33"/>
      <c r="AE249" s="33"/>
      <c r="AF249" s="33"/>
      <c r="AG249" s="33"/>
      <c r="AH249" s="33"/>
      <c r="AI249" s="33"/>
      <c r="AJ249" s="33"/>
      <c r="AK249" s="33"/>
      <c r="AL249" s="33"/>
      <c r="AM249" s="33"/>
      <c r="AN249" s="33"/>
      <c r="AO249" s="33"/>
    </row>
    <row r="250" spans="1:41" s="31" customFormat="1" ht="15" customHeight="1">
      <c r="A250" s="665"/>
      <c r="B250" s="718"/>
      <c r="C250" s="1018"/>
      <c r="D250" s="1018"/>
      <c r="E250" s="1018"/>
      <c r="F250" s="1018"/>
      <c r="G250" s="1018"/>
      <c r="H250" s="1018"/>
      <c r="I250" s="1018"/>
      <c r="J250" s="1018"/>
      <c r="K250" s="1018"/>
      <c r="L250" s="1018"/>
      <c r="M250" s="1018"/>
      <c r="N250" s="1018"/>
      <c r="O250" s="1018"/>
      <c r="P250" s="1018"/>
      <c r="Q250" s="1018"/>
      <c r="R250" s="1018"/>
      <c r="S250" s="1018"/>
      <c r="T250" s="1018"/>
      <c r="V250" s="196"/>
      <c r="W250" s="33"/>
      <c r="X250" s="33"/>
      <c r="Y250" s="33"/>
      <c r="Z250" s="33"/>
      <c r="AA250" s="33"/>
      <c r="AB250" s="33"/>
      <c r="AC250" s="33"/>
      <c r="AD250" s="33"/>
      <c r="AE250" s="33"/>
      <c r="AF250" s="33"/>
      <c r="AG250" s="33"/>
      <c r="AH250" s="33"/>
      <c r="AI250" s="33"/>
      <c r="AJ250" s="33"/>
      <c r="AK250" s="33"/>
      <c r="AL250" s="33"/>
      <c r="AM250" s="33"/>
      <c r="AN250" s="33"/>
      <c r="AO250" s="33"/>
    </row>
    <row r="251" spans="1:41" s="31" customFormat="1" ht="15" customHeight="1">
      <c r="B251" s="32"/>
      <c r="C251" s="32"/>
    </row>
    <row r="252" spans="1:41" s="31" customFormat="1" ht="15" customHeight="1">
      <c r="A252" s="31" t="s">
        <v>1475</v>
      </c>
      <c r="B252" s="32"/>
      <c r="C252" s="32"/>
    </row>
    <row r="253" spans="1:41" s="31" customFormat="1" ht="15" customHeight="1">
      <c r="A253" s="31" t="s">
        <v>1605</v>
      </c>
      <c r="B253" s="32"/>
      <c r="C253" s="1093" t="s">
        <v>1714</v>
      </c>
      <c r="D253" s="1093"/>
      <c r="E253" s="1093"/>
      <c r="F253" s="1093"/>
      <c r="G253" s="1093"/>
      <c r="H253" s="1093"/>
      <c r="I253" s="1093"/>
      <c r="J253" s="1093"/>
      <c r="K253" s="1093"/>
      <c r="L253" s="1093"/>
      <c r="M253" s="1093"/>
      <c r="N253" s="1093"/>
      <c r="O253" s="1093"/>
      <c r="P253" s="1093"/>
      <c r="Q253" s="1093"/>
      <c r="R253" s="1093"/>
      <c r="S253" s="1093"/>
      <c r="T253" s="1093"/>
    </row>
    <row r="254" spans="1:41" s="31" customFormat="1" ht="15" customHeight="1">
      <c r="B254" s="32"/>
      <c r="C254" s="1093"/>
      <c r="D254" s="1093"/>
      <c r="E254" s="1093"/>
      <c r="F254" s="1093"/>
      <c r="G254" s="1093"/>
      <c r="H254" s="1093"/>
      <c r="I254" s="1093"/>
      <c r="J254" s="1093"/>
      <c r="K254" s="1093"/>
      <c r="L254" s="1093"/>
      <c r="M254" s="1093"/>
      <c r="N254" s="1093"/>
      <c r="O254" s="1093"/>
      <c r="P254" s="1093"/>
      <c r="Q254" s="1093"/>
      <c r="R254" s="1093"/>
      <c r="S254" s="1093"/>
      <c r="T254" s="1093"/>
    </row>
    <row r="255" spans="1:41" s="31" customFormat="1" ht="15" customHeight="1">
      <c r="B255" s="32"/>
      <c r="C255" s="1093"/>
      <c r="D255" s="1093"/>
      <c r="E255" s="1093"/>
      <c r="F255" s="1093"/>
      <c r="G255" s="1093"/>
      <c r="H255" s="1093"/>
      <c r="I255" s="1093"/>
      <c r="J255" s="1093"/>
      <c r="K255" s="1093"/>
      <c r="L255" s="1093"/>
      <c r="M255" s="1093"/>
      <c r="N255" s="1093"/>
      <c r="O255" s="1093"/>
      <c r="P255" s="1093"/>
      <c r="Q255" s="1093"/>
      <c r="R255" s="1093"/>
      <c r="S255" s="1093"/>
      <c r="T255" s="1093"/>
    </row>
    <row r="256" spans="1:41" s="31" customFormat="1" ht="15" customHeight="1">
      <c r="B256" s="32"/>
      <c r="C256" s="1093"/>
      <c r="D256" s="1093"/>
      <c r="E256" s="1093"/>
      <c r="F256" s="1093"/>
      <c r="G256" s="1093"/>
      <c r="H256" s="1093"/>
      <c r="I256" s="1093"/>
      <c r="J256" s="1093"/>
      <c r="K256" s="1093"/>
      <c r="L256" s="1093"/>
      <c r="M256" s="1093"/>
      <c r="N256" s="1093"/>
      <c r="O256" s="1093"/>
      <c r="P256" s="1093"/>
      <c r="Q256" s="1093"/>
      <c r="R256" s="1093"/>
      <c r="S256" s="1093"/>
      <c r="T256" s="1093"/>
    </row>
    <row r="257" spans="1:23" s="31" customFormat="1" ht="15" customHeight="1">
      <c r="B257" s="32" t="s">
        <v>725</v>
      </c>
      <c r="C257" s="32" t="s">
        <v>1476</v>
      </c>
    </row>
    <row r="258" spans="1:23" s="31" customFormat="1" ht="15" customHeight="1">
      <c r="B258" s="32"/>
      <c r="C258" s="32"/>
    </row>
    <row r="259" spans="1:23" s="31" customFormat="1" ht="15" customHeight="1">
      <c r="A259" s="31" t="s">
        <v>1477</v>
      </c>
      <c r="B259" s="32"/>
      <c r="C259" s="32"/>
    </row>
    <row r="260" spans="1:23" s="31" customFormat="1" ht="15" customHeight="1">
      <c r="A260" s="31" t="s">
        <v>1792</v>
      </c>
      <c r="B260" s="32"/>
      <c r="C260" s="1013" t="s">
        <v>1478</v>
      </c>
      <c r="D260" s="1013"/>
      <c r="E260" s="1013"/>
      <c r="F260" s="1013"/>
      <c r="G260" s="1013"/>
      <c r="H260" s="1013"/>
      <c r="I260" s="1013"/>
      <c r="J260" s="1013"/>
      <c r="K260" s="1013"/>
      <c r="L260" s="1013"/>
      <c r="M260" s="1013"/>
      <c r="N260" s="1013"/>
      <c r="O260" s="1013"/>
      <c r="P260" s="1013"/>
      <c r="Q260" s="1013"/>
      <c r="R260" s="1013"/>
      <c r="S260" s="1013"/>
      <c r="T260" s="1013"/>
      <c r="W260" s="1013"/>
    </row>
    <row r="261" spans="1:23" s="31" customFormat="1" ht="15" customHeight="1">
      <c r="B261" s="32"/>
      <c r="C261" s="1013"/>
      <c r="D261" s="1013"/>
      <c r="E261" s="1013"/>
      <c r="F261" s="1013"/>
      <c r="G261" s="1013"/>
      <c r="H261" s="1013"/>
      <c r="I261" s="1013"/>
      <c r="J261" s="1013"/>
      <c r="K261" s="1013"/>
      <c r="L261" s="1013"/>
      <c r="M261" s="1013"/>
      <c r="N261" s="1013"/>
      <c r="O261" s="1013"/>
      <c r="P261" s="1013"/>
      <c r="Q261" s="1013"/>
      <c r="R261" s="1013"/>
      <c r="S261" s="1013"/>
      <c r="T261" s="1013"/>
      <c r="W261" s="1013"/>
    </row>
    <row r="262" spans="1:23" s="31" customFormat="1" ht="15" customHeight="1">
      <c r="B262" s="32"/>
      <c r="C262" s="1013"/>
      <c r="D262" s="1013"/>
      <c r="E262" s="1013"/>
      <c r="F262" s="1013"/>
      <c r="G262" s="1013"/>
      <c r="H262" s="1013"/>
      <c r="I262" s="1013"/>
      <c r="J262" s="1013"/>
      <c r="K262" s="1013"/>
      <c r="L262" s="1013"/>
      <c r="M262" s="1013"/>
      <c r="N262" s="1013"/>
      <c r="O262" s="1013"/>
      <c r="P262" s="1013"/>
      <c r="Q262" s="1013"/>
      <c r="R262" s="1013"/>
      <c r="S262" s="1013"/>
      <c r="T262" s="1013"/>
      <c r="W262" s="1013"/>
    </row>
    <row r="263" spans="1:23" s="31" customFormat="1" ht="15" customHeight="1">
      <c r="B263" s="32"/>
      <c r="C263" s="1013"/>
      <c r="D263" s="1013"/>
      <c r="E263" s="1013"/>
      <c r="F263" s="1013"/>
      <c r="G263" s="1013"/>
      <c r="H263" s="1013"/>
      <c r="I263" s="1013"/>
      <c r="J263" s="1013"/>
      <c r="K263" s="1013"/>
      <c r="L263" s="1013"/>
      <c r="M263" s="1013"/>
      <c r="N263" s="1013"/>
      <c r="O263" s="1013"/>
      <c r="P263" s="1013"/>
      <c r="Q263" s="1013"/>
      <c r="R263" s="1013"/>
      <c r="S263" s="1013"/>
      <c r="T263" s="1013"/>
      <c r="W263" s="512"/>
    </row>
    <row r="264" spans="1:23" s="31" customFormat="1" ht="15" customHeight="1">
      <c r="B264" s="32"/>
      <c r="C264" s="512"/>
      <c r="D264" s="512"/>
      <c r="E264" s="512"/>
      <c r="F264" s="512"/>
      <c r="G264" s="512"/>
      <c r="H264" s="512"/>
      <c r="I264" s="512"/>
      <c r="J264" s="512"/>
      <c r="K264" s="512"/>
      <c r="L264" s="512"/>
      <c r="M264" s="512"/>
      <c r="N264" s="512"/>
      <c r="O264" s="512"/>
      <c r="P264" s="512"/>
      <c r="Q264" s="512"/>
      <c r="R264" s="512"/>
      <c r="S264" s="512"/>
      <c r="T264" s="512"/>
    </row>
    <row r="265" spans="1:23" s="31" customFormat="1" ht="15" customHeight="1">
      <c r="A265" s="31" t="s">
        <v>1356</v>
      </c>
      <c r="B265" s="32"/>
      <c r="C265" s="32"/>
    </row>
    <row r="266" spans="1:23" s="31" customFormat="1" ht="15" customHeight="1">
      <c r="A266" s="31" t="s">
        <v>1703</v>
      </c>
      <c r="B266" s="32"/>
      <c r="C266" s="1093" t="s">
        <v>1480</v>
      </c>
      <c r="D266" s="1093"/>
      <c r="E266" s="1093"/>
      <c r="F266" s="1093"/>
      <c r="G266" s="1093"/>
      <c r="H266" s="1093"/>
      <c r="I266" s="1093"/>
      <c r="J266" s="1093"/>
      <c r="K266" s="1093"/>
      <c r="L266" s="1093"/>
      <c r="M266" s="1093"/>
      <c r="N266" s="1093"/>
      <c r="O266" s="1093"/>
      <c r="P266" s="1093"/>
      <c r="Q266" s="1093"/>
      <c r="R266" s="1093"/>
      <c r="S266" s="1093"/>
      <c r="T266" s="1093"/>
    </row>
    <row r="267" spans="1:23" s="31" customFormat="1" ht="15" customHeight="1">
      <c r="B267" s="32"/>
      <c r="C267" s="1093"/>
      <c r="D267" s="1093"/>
      <c r="E267" s="1093"/>
      <c r="F267" s="1093"/>
      <c r="G267" s="1093"/>
      <c r="H267" s="1093"/>
      <c r="I267" s="1093"/>
      <c r="J267" s="1093"/>
      <c r="K267" s="1093"/>
      <c r="L267" s="1093"/>
      <c r="M267" s="1093"/>
      <c r="N267" s="1093"/>
      <c r="O267" s="1093"/>
      <c r="P267" s="1093"/>
      <c r="Q267" s="1093"/>
      <c r="R267" s="1093"/>
      <c r="S267" s="1093"/>
      <c r="T267" s="1093"/>
    </row>
    <row r="268" spans="1:23" s="31" customFormat="1" ht="15" customHeight="1">
      <c r="B268" s="1233" t="s">
        <v>745</v>
      </c>
      <c r="C268" s="1233"/>
      <c r="D268" s="31" t="s">
        <v>1481</v>
      </c>
      <c r="H268" s="31" t="s">
        <v>1482</v>
      </c>
    </row>
    <row r="269" spans="1:23" s="31" customFormat="1" ht="15" customHeight="1">
      <c r="B269" s="1227" t="s">
        <v>747</v>
      </c>
      <c r="C269" s="1227"/>
      <c r="D269" s="31" t="s">
        <v>1483</v>
      </c>
      <c r="H269" s="31" t="s">
        <v>1484</v>
      </c>
    </row>
    <row r="270" spans="1:23" s="31" customFormat="1" ht="15" customHeight="1">
      <c r="B270" s="1227" t="s">
        <v>775</v>
      </c>
      <c r="C270" s="1227"/>
      <c r="D270" s="31" t="s">
        <v>1485</v>
      </c>
      <c r="H270" s="31" t="s">
        <v>1486</v>
      </c>
    </row>
    <row r="271" spans="1:23" s="31" customFormat="1" ht="15" customHeight="1">
      <c r="B271" s="32" t="s">
        <v>725</v>
      </c>
      <c r="C271" s="1093" t="s">
        <v>1487</v>
      </c>
      <c r="D271" s="1093"/>
      <c r="E271" s="1093"/>
      <c r="F271" s="1093"/>
      <c r="G271" s="1093"/>
      <c r="H271" s="1093"/>
      <c r="I271" s="1093"/>
      <c r="J271" s="1093"/>
      <c r="K271" s="1093"/>
      <c r="L271" s="1093"/>
      <c r="M271" s="1093"/>
      <c r="N271" s="1093"/>
      <c r="O271" s="1093"/>
      <c r="P271" s="1093"/>
      <c r="Q271" s="1093"/>
      <c r="R271" s="1093"/>
      <c r="S271" s="1093"/>
      <c r="T271" s="1093"/>
    </row>
    <row r="272" spans="1:23" s="31" customFormat="1" ht="15" customHeight="1">
      <c r="B272" s="32"/>
      <c r="C272" s="1093"/>
      <c r="D272" s="1093"/>
      <c r="E272" s="1093"/>
      <c r="F272" s="1093"/>
      <c r="G272" s="1093"/>
      <c r="H272" s="1093"/>
      <c r="I272" s="1093"/>
      <c r="J272" s="1093"/>
      <c r="K272" s="1093"/>
      <c r="L272" s="1093"/>
      <c r="M272" s="1093"/>
      <c r="N272" s="1093"/>
      <c r="O272" s="1093"/>
      <c r="P272" s="1093"/>
      <c r="Q272" s="1093"/>
      <c r="R272" s="1093"/>
      <c r="S272" s="1093"/>
      <c r="T272" s="1093"/>
    </row>
    <row r="273" spans="1:21" s="31" customFormat="1" ht="15" customHeight="1">
      <c r="B273" s="32"/>
      <c r="C273" s="1093"/>
      <c r="D273" s="1093"/>
      <c r="E273" s="1093"/>
      <c r="F273" s="1093"/>
      <c r="G273" s="1093"/>
      <c r="H273" s="1093"/>
      <c r="I273" s="1093"/>
      <c r="J273" s="1093"/>
      <c r="K273" s="1093"/>
      <c r="L273" s="1093"/>
      <c r="M273" s="1093"/>
      <c r="N273" s="1093"/>
      <c r="O273" s="1093"/>
      <c r="P273" s="1093"/>
      <c r="Q273" s="1093"/>
      <c r="R273" s="1093"/>
      <c r="S273" s="1093"/>
      <c r="T273" s="1093"/>
    </row>
    <row r="274" spans="1:21" s="31" customFormat="1" ht="15" customHeight="1">
      <c r="B274" s="32"/>
      <c r="C274" s="1093"/>
      <c r="D274" s="1093"/>
      <c r="E274" s="1093"/>
      <c r="F274" s="1093"/>
      <c r="G274" s="1093"/>
      <c r="H274" s="1093"/>
      <c r="I274" s="1093"/>
      <c r="J274" s="1093"/>
      <c r="K274" s="1093"/>
      <c r="L274" s="1093"/>
      <c r="M274" s="1093"/>
      <c r="N274" s="1093"/>
      <c r="O274" s="1093"/>
      <c r="P274" s="1093"/>
      <c r="Q274" s="1093"/>
      <c r="R274" s="1093"/>
      <c r="S274" s="1093"/>
      <c r="T274" s="1093"/>
    </row>
    <row r="275" spans="1:21" s="31" customFormat="1" ht="15" customHeight="1">
      <c r="B275" s="32" t="s">
        <v>741</v>
      </c>
      <c r="C275" s="1093" t="s">
        <v>1488</v>
      </c>
      <c r="D275" s="1093"/>
      <c r="E275" s="1093"/>
      <c r="F275" s="1093"/>
      <c r="G275" s="1093"/>
      <c r="H275" s="1093"/>
      <c r="I275" s="1093"/>
      <c r="J275" s="1093"/>
      <c r="K275" s="1093"/>
      <c r="L275" s="1093"/>
      <c r="M275" s="1093"/>
      <c r="N275" s="1093"/>
      <c r="O275" s="1093"/>
      <c r="P275" s="1093"/>
      <c r="Q275" s="1093"/>
      <c r="R275" s="1093"/>
      <c r="S275" s="1093"/>
      <c r="T275" s="1093"/>
    </row>
    <row r="276" spans="1:21" s="31" customFormat="1" ht="15" customHeight="1">
      <c r="B276" s="32"/>
      <c r="C276" s="1093"/>
      <c r="D276" s="1093"/>
      <c r="E276" s="1093"/>
      <c r="F276" s="1093"/>
      <c r="G276" s="1093"/>
      <c r="H276" s="1093"/>
      <c r="I276" s="1093"/>
      <c r="J276" s="1093"/>
      <c r="K276" s="1093"/>
      <c r="L276" s="1093"/>
      <c r="M276" s="1093"/>
      <c r="N276" s="1093"/>
      <c r="O276" s="1093"/>
      <c r="P276" s="1093"/>
      <c r="Q276" s="1093"/>
      <c r="R276" s="1093"/>
      <c r="S276" s="1093"/>
      <c r="T276" s="1093"/>
    </row>
    <row r="277" spans="1:21" s="31" customFormat="1" ht="15" customHeight="1">
      <c r="B277" s="32" t="s">
        <v>743</v>
      </c>
      <c r="C277" s="1013" t="str">
        <f>"　この規程の定める事項の他、運営に関する重要事項は、"&amp;【マスター】!C22&amp;"と事業所の管理者との協議に基づき定めるものとする。"</f>
        <v>　この規程の定める事項の他、運営に関する重要事項は、株式会社ケアサポートと事業所の管理者との協議に基づき定めるものとする。</v>
      </c>
      <c r="D277" s="1013"/>
      <c r="E277" s="1013"/>
      <c r="F277" s="1013"/>
      <c r="G277" s="1013"/>
      <c r="H277" s="1013"/>
      <c r="I277" s="1013"/>
      <c r="J277" s="1013"/>
      <c r="K277" s="1013"/>
      <c r="L277" s="1013"/>
      <c r="M277" s="1013"/>
      <c r="N277" s="1013"/>
      <c r="O277" s="1013"/>
      <c r="P277" s="1013"/>
      <c r="Q277" s="1013"/>
      <c r="R277" s="1013"/>
      <c r="S277" s="1013"/>
      <c r="T277" s="1013"/>
    </row>
    <row r="278" spans="1:21" s="31" customFormat="1" ht="15" customHeight="1">
      <c r="B278" s="32"/>
      <c r="C278" s="1013"/>
      <c r="D278" s="1013"/>
      <c r="E278" s="1013"/>
      <c r="F278" s="1013"/>
      <c r="G278" s="1013"/>
      <c r="H278" s="1013"/>
      <c r="I278" s="1013"/>
      <c r="J278" s="1013"/>
      <c r="K278" s="1013"/>
      <c r="L278" s="1013"/>
      <c r="M278" s="1013"/>
      <c r="N278" s="1013"/>
      <c r="O278" s="1013"/>
      <c r="P278" s="1013"/>
      <c r="Q278" s="1013"/>
      <c r="R278" s="1013"/>
      <c r="S278" s="1013"/>
      <c r="T278" s="1013"/>
    </row>
    <row r="279" spans="1:21" s="31" customFormat="1" ht="15" customHeight="1">
      <c r="B279" s="32"/>
      <c r="C279" s="32"/>
    </row>
    <row r="280" spans="1:21" s="31" customFormat="1" ht="15" customHeight="1">
      <c r="A280" s="31" t="s">
        <v>1700</v>
      </c>
      <c r="B280" s="32"/>
      <c r="C280" s="32"/>
      <c r="U280" s="196"/>
    </row>
    <row r="281" spans="1:21" s="31" customFormat="1" ht="50.1" customHeight="1">
      <c r="A281" s="31" t="s">
        <v>1765</v>
      </c>
      <c r="B281" s="32"/>
      <c r="C281" s="1093" t="s">
        <v>1701</v>
      </c>
      <c r="D281" s="1093"/>
      <c r="E281" s="1093"/>
      <c r="F281" s="1093"/>
      <c r="G281" s="1093"/>
      <c r="H281" s="1093"/>
      <c r="I281" s="1093"/>
      <c r="J281" s="1093"/>
      <c r="K281" s="1093"/>
      <c r="L281" s="1093"/>
      <c r="M281" s="1093"/>
      <c r="N281" s="1093"/>
      <c r="O281" s="1093"/>
      <c r="P281" s="1093"/>
      <c r="Q281" s="1093"/>
      <c r="R281" s="1093"/>
      <c r="S281" s="1093"/>
      <c r="T281" s="1093"/>
    </row>
    <row r="282" spans="1:21" s="31" customFormat="1" ht="49.35" customHeight="1">
      <c r="B282" s="32" t="s">
        <v>725</v>
      </c>
      <c r="C282" s="1093" t="s">
        <v>1878</v>
      </c>
      <c r="D282" s="2123"/>
      <c r="E282" s="2123"/>
      <c r="F282" s="2123"/>
      <c r="G282" s="2123"/>
      <c r="H282" s="2123"/>
      <c r="I282" s="2123"/>
      <c r="J282" s="2123"/>
      <c r="K282" s="2123"/>
      <c r="L282" s="2123"/>
      <c r="M282" s="2123"/>
      <c r="N282" s="2123"/>
      <c r="O282" s="2123"/>
      <c r="P282" s="2123"/>
      <c r="Q282" s="2123"/>
      <c r="R282" s="2123"/>
      <c r="S282" s="2123"/>
      <c r="T282" s="2123"/>
    </row>
    <row r="283" spans="1:21" s="31" customFormat="1" ht="15" customHeight="1">
      <c r="B283" s="32" t="s">
        <v>741</v>
      </c>
      <c r="C283" s="2123" t="s">
        <v>1702</v>
      </c>
      <c r="D283" s="2123"/>
      <c r="E283" s="2123"/>
      <c r="F283" s="2123"/>
      <c r="G283" s="2123"/>
      <c r="H283" s="2123"/>
      <c r="I283" s="2123"/>
      <c r="J283" s="2123"/>
      <c r="K283" s="2123"/>
      <c r="L283" s="2123"/>
      <c r="M283" s="2123"/>
      <c r="N283" s="2123"/>
      <c r="O283" s="2123"/>
      <c r="P283" s="2123"/>
      <c r="Q283" s="2123"/>
      <c r="R283" s="2123"/>
      <c r="S283" s="2123"/>
      <c r="T283" s="2123"/>
    </row>
    <row r="284" spans="1:21" s="31" customFormat="1" ht="15" customHeight="1">
      <c r="B284" s="32" t="s">
        <v>743</v>
      </c>
      <c r="C284" s="1013" t="s">
        <v>1704</v>
      </c>
      <c r="D284" s="1013"/>
      <c r="E284" s="1013"/>
      <c r="F284" s="1013"/>
      <c r="G284" s="1013"/>
      <c r="H284" s="1013"/>
      <c r="I284" s="1013"/>
      <c r="J284" s="1013"/>
      <c r="K284" s="1013"/>
      <c r="L284" s="1013"/>
      <c r="M284" s="1013"/>
      <c r="N284" s="1013"/>
      <c r="O284" s="1013"/>
      <c r="P284" s="1013"/>
      <c r="Q284" s="1013"/>
      <c r="R284" s="1013"/>
      <c r="S284" s="1013"/>
      <c r="T284" s="1013"/>
    </row>
    <row r="285" spans="1:21" s="31" customFormat="1" ht="15" customHeight="1">
      <c r="B285" s="32"/>
      <c r="C285" s="1013"/>
      <c r="D285" s="1013"/>
      <c r="E285" s="1013"/>
      <c r="F285" s="1013"/>
      <c r="G285" s="1013"/>
      <c r="H285" s="1013"/>
      <c r="I285" s="1013"/>
      <c r="J285" s="1013"/>
      <c r="K285" s="1013"/>
      <c r="L285" s="1013"/>
      <c r="M285" s="1013"/>
      <c r="N285" s="1013"/>
      <c r="O285" s="1013"/>
      <c r="P285" s="1013"/>
      <c r="Q285" s="1013"/>
      <c r="R285" s="1013"/>
      <c r="S285" s="1013"/>
      <c r="T285" s="1013"/>
    </row>
    <row r="286" spans="1:21" s="31" customFormat="1" ht="15" customHeight="1">
      <c r="B286" s="32"/>
      <c r="C286" s="32"/>
    </row>
    <row r="287" spans="1:21" s="31" customFormat="1" ht="15" customHeight="1">
      <c r="A287" s="31" t="s">
        <v>1490</v>
      </c>
      <c r="B287" s="32"/>
      <c r="C287" s="32"/>
    </row>
    <row r="288" spans="1:21" s="31" customFormat="1" ht="15" customHeight="1">
      <c r="B288" s="31" t="s">
        <v>1491</v>
      </c>
      <c r="C288" s="32"/>
      <c r="E288" s="165" t="str">
        <f>DBCS(【マスター】!D103)</f>
        <v>令和</v>
      </c>
      <c r="F288" s="166" t="str">
        <f>DBCS(IF(【マスター】!D103="","",【マスター】!E103))</f>
        <v>１</v>
      </c>
      <c r="G288" s="165" t="str">
        <f>DBCS(IF(【マスター】!$D$103="","",【マスター】!F103))</f>
        <v>年</v>
      </c>
      <c r="H288" s="166" t="str">
        <f>DBCS(IF(【マスター】!$D$103="","",【マスター】!G103))</f>
        <v>６</v>
      </c>
      <c r="I288" s="165" t="str">
        <f>DBCS(IF(【マスター】!$D$103="","",【マスター】!H103))</f>
        <v>月</v>
      </c>
      <c r="J288" s="166" t="str">
        <f>DBCS(IF(【マスター】!$D$103="","",【マスター】!I103))</f>
        <v>１</v>
      </c>
      <c r="K288" s="165" t="str">
        <f>DBCS(IF(【マスター】!$D$103="","",【マスター】!J103))</f>
        <v>日</v>
      </c>
      <c r="L288" s="31" t="s">
        <v>1492</v>
      </c>
    </row>
    <row r="289" spans="1:20" s="31" customFormat="1" ht="15" customHeight="1">
      <c r="A289" s="3"/>
      <c r="B289" s="83"/>
      <c r="C289" s="83"/>
      <c r="D289" s="3"/>
      <c r="E289" s="165" t="str">
        <f>DBCS(【マスター】!D105)</f>
        <v>令和</v>
      </c>
      <c r="F289" s="166" t="str">
        <f>DBCS(IF(【マスター】!D105="","",【マスター】!E105))</f>
        <v>１</v>
      </c>
      <c r="G289" s="165" t="str">
        <f>DBCS(IF(【マスター】!D105="","",【マスター】!F105))</f>
        <v>年</v>
      </c>
      <c r="H289" s="166" t="str">
        <f>DBCS(IF(【マスター】!D105="","",【マスター】!G105))</f>
        <v>８</v>
      </c>
      <c r="I289" s="165" t="str">
        <f>DBCS(IF(【マスター】!D105="","",【マスター】!H105))</f>
        <v>月</v>
      </c>
      <c r="J289" s="166" t="str">
        <f>DBCS(IF(【マスター】!D105="","",【マスター】!I105))</f>
        <v>１</v>
      </c>
      <c r="K289" s="165" t="str">
        <f>DBCS(IF(【マスター】!D105="","",【マスター】!J105))</f>
        <v>日</v>
      </c>
      <c r="L289" s="31" t="str">
        <f>IF(【マスター】!D105=0,"","改訂")</f>
        <v>改訂</v>
      </c>
      <c r="O289" s="3"/>
      <c r="P289" s="3"/>
      <c r="Q289" s="3"/>
      <c r="R289" s="3"/>
      <c r="S289" s="3"/>
      <c r="T289" s="3"/>
    </row>
    <row r="290" spans="1:20" s="31" customFormat="1" ht="15" customHeight="1">
      <c r="A290" s="3"/>
      <c r="B290" s="83"/>
      <c r="C290" s="83"/>
      <c r="D290" s="3"/>
      <c r="E290" s="165" t="str">
        <f>DBCS(【マスター】!D106)</f>
        <v>令和</v>
      </c>
      <c r="F290" s="166" t="str">
        <f>DBCS(IF(【マスター】!D106="","",【マスター】!E106))</f>
        <v>２</v>
      </c>
      <c r="G290" s="165" t="str">
        <f>DBCS(IF(【マスター】!D106="","",【マスター】!F106))</f>
        <v>年</v>
      </c>
      <c r="H290" s="166" t="str">
        <f>DBCS(IF(【マスター】!D106="","",【マスター】!G106))</f>
        <v>１</v>
      </c>
      <c r="I290" s="165" t="str">
        <f>DBCS(IF(【マスター】!D106="","",【マスター】!H106))</f>
        <v>月</v>
      </c>
      <c r="J290" s="166" t="str">
        <f>DBCS(IF(【マスター】!D106="","",【マスター】!I106))</f>
        <v>１</v>
      </c>
      <c r="K290" s="165" t="str">
        <f>DBCS(IF(【マスター】!D106="","",【マスター】!J106))</f>
        <v>日</v>
      </c>
      <c r="L290" s="31" t="str">
        <f>IF(【マスター】!D106=0,"","改訂")</f>
        <v>改訂</v>
      </c>
      <c r="O290" s="3"/>
      <c r="P290" s="3"/>
      <c r="Q290" s="3"/>
      <c r="R290" s="3"/>
      <c r="S290" s="3"/>
      <c r="T290" s="3"/>
    </row>
    <row r="291" spans="1:20" s="31" customFormat="1" ht="15" customHeight="1">
      <c r="A291" s="3"/>
      <c r="B291" s="83"/>
      <c r="C291" s="83"/>
      <c r="D291" s="3"/>
      <c r="E291" s="165" t="str">
        <f>DBCS(【マスター】!D107)</f>
        <v>令和</v>
      </c>
      <c r="F291" s="166" t="str">
        <f>DBCS(IF(【マスター】!D107="","",【マスター】!E107))</f>
        <v>２</v>
      </c>
      <c r="G291" s="165" t="str">
        <f>DBCS(IF(【マスター】!D107="","",【マスター】!F107))</f>
        <v>年</v>
      </c>
      <c r="H291" s="166" t="str">
        <f>DBCS(IF(【マスター】!D107="","",【マスター】!G107))</f>
        <v>３</v>
      </c>
      <c r="I291" s="165" t="str">
        <f>DBCS(IF(【マスター】!D107="","",【マスター】!H107))</f>
        <v>月</v>
      </c>
      <c r="J291" s="166" t="str">
        <f>DBCS(IF(【マスター】!D107="","",【マスター】!I107))</f>
        <v>１</v>
      </c>
      <c r="K291" s="165" t="str">
        <f>DBCS(IF(【マスター】!D107="","",【マスター】!J107))</f>
        <v>日</v>
      </c>
      <c r="L291" s="31" t="str">
        <f>IF(【マスター】!D107=0,"","改訂")</f>
        <v>改訂</v>
      </c>
      <c r="O291" s="3"/>
      <c r="P291" s="3"/>
      <c r="Q291" s="3"/>
      <c r="R291" s="3"/>
      <c r="S291" s="3"/>
      <c r="T291" s="3"/>
    </row>
    <row r="292" spans="1:20" s="31" customFormat="1" ht="15" customHeight="1">
      <c r="A292" s="3"/>
      <c r="B292" s="83"/>
      <c r="C292" s="83"/>
      <c r="D292" s="3"/>
      <c r="E292" s="165" t="str">
        <f>DBCS(【マスター】!D108)</f>
        <v>令和</v>
      </c>
      <c r="F292" s="166" t="str">
        <f>DBCS(IF(【マスター】!D108="","",【マスター】!E108))</f>
        <v>２</v>
      </c>
      <c r="G292" s="165" t="str">
        <f>DBCS(IF(【マスター】!D108="","",【マスター】!F108))</f>
        <v>年</v>
      </c>
      <c r="H292" s="166" t="str">
        <f>DBCS(IF(【マスター】!D108="","",【マスター】!G108))</f>
        <v>８</v>
      </c>
      <c r="I292" s="165" t="str">
        <f>DBCS(IF(【マスター】!D108="","",【マスター】!H108))</f>
        <v>月</v>
      </c>
      <c r="J292" s="166" t="str">
        <f>DBCS(IF(【マスター】!D108="","",【マスター】!I108))</f>
        <v>１</v>
      </c>
      <c r="K292" s="165" t="str">
        <f>DBCS(IF(【マスター】!D108="","",【マスター】!J108))</f>
        <v>日</v>
      </c>
      <c r="L292" s="31" t="str">
        <f>IF(【マスター】!D108=0,"","改訂")</f>
        <v>改訂</v>
      </c>
      <c r="O292" s="3"/>
      <c r="P292" s="3"/>
      <c r="Q292" s="3"/>
      <c r="R292" s="3"/>
      <c r="S292" s="3"/>
      <c r="T292" s="3"/>
    </row>
    <row r="293" spans="1:20" s="31" customFormat="1" ht="15" customHeight="1">
      <c r="A293" s="3"/>
      <c r="B293" s="83"/>
      <c r="C293" s="83"/>
      <c r="D293" s="3"/>
      <c r="E293" s="165" t="str">
        <f>DBCS(【マスター】!D109)</f>
        <v>令和</v>
      </c>
      <c r="F293" s="166" t="str">
        <f>DBCS(IF(【マスター】!D109="","",【マスター】!E109))</f>
        <v>２</v>
      </c>
      <c r="G293" s="165" t="str">
        <f>DBCS(IF(【マスター】!D109="","",【マスター】!F109))</f>
        <v>年</v>
      </c>
      <c r="H293" s="166" t="str">
        <f>DBCS(IF(【マスター】!D109="","",【マスター】!G109))</f>
        <v>１０</v>
      </c>
      <c r="I293" s="165" t="str">
        <f>DBCS(IF(【マスター】!D109="","",【マスター】!H109))</f>
        <v>月</v>
      </c>
      <c r="J293" s="166" t="str">
        <f>DBCS(IF(【マスター】!D109="","",【マスター】!I109))</f>
        <v>１</v>
      </c>
      <c r="K293" s="165" t="str">
        <f>DBCS(IF(【マスター】!D109="","",【マスター】!J109))</f>
        <v>日</v>
      </c>
      <c r="L293" s="31" t="str">
        <f>IF(【マスター】!D109=0,"","改訂")</f>
        <v>改訂</v>
      </c>
      <c r="O293" s="3"/>
      <c r="P293" s="3"/>
      <c r="Q293" s="3"/>
      <c r="R293" s="3"/>
      <c r="S293" s="3"/>
      <c r="T293" s="3"/>
    </row>
    <row r="294" spans="1:20" s="31" customFormat="1" ht="15" customHeight="1">
      <c r="A294" s="3"/>
      <c r="B294" s="83"/>
      <c r="C294" s="83"/>
      <c r="D294" s="3"/>
      <c r="E294" s="165" t="str">
        <f>DBCS(【マスター】!D110)</f>
        <v>令和</v>
      </c>
      <c r="F294" s="166" t="str">
        <f>DBCS(IF(【マスター】!D110="","",【マスター】!E110))</f>
        <v>４</v>
      </c>
      <c r="G294" s="165" t="str">
        <f>DBCS(IF(【マスター】!D110="","",【マスター】!F110))</f>
        <v>年</v>
      </c>
      <c r="H294" s="166" t="str">
        <f>DBCS(IF(【マスター】!D110="","",【マスター】!G110))</f>
        <v>８</v>
      </c>
      <c r="I294" s="165" t="str">
        <f>DBCS(IF(【マスター】!D110="","",【マスター】!H110))</f>
        <v>月</v>
      </c>
      <c r="J294" s="166" t="str">
        <f>DBCS(IF(【マスター】!D110="","",【マスター】!I110))</f>
        <v>１</v>
      </c>
      <c r="K294" s="165" t="str">
        <f>DBCS(IF(【マスター】!D110="","",【マスター】!J110))</f>
        <v>日</v>
      </c>
      <c r="L294" s="31" t="str">
        <f>IF(【マスター】!D110=0,"","改訂")</f>
        <v>改訂</v>
      </c>
      <c r="O294" s="3"/>
      <c r="P294" s="3"/>
      <c r="Q294" s="3"/>
      <c r="R294" s="3"/>
      <c r="S294" s="3"/>
      <c r="T294" s="3"/>
    </row>
    <row r="295" spans="1:20" s="31" customFormat="1" ht="15" customHeight="1">
      <c r="A295" s="3"/>
      <c r="B295" s="83"/>
      <c r="C295" s="83"/>
      <c r="D295" s="3"/>
      <c r="E295" s="165" t="str">
        <f>DBCS(【マスター】!D111)</f>
        <v>令和</v>
      </c>
      <c r="F295" s="166" t="str">
        <f>DBCS(IF(【マスター】!D111="","",【マスター】!E111))</f>
        <v>４</v>
      </c>
      <c r="G295" s="165" t="str">
        <f>DBCS(IF(【マスター】!D111="","",【マスター】!F111))</f>
        <v>年</v>
      </c>
      <c r="H295" s="166" t="str">
        <f>DBCS(IF(【マスター】!D111="","",【マスター】!G111))</f>
        <v>１０</v>
      </c>
      <c r="I295" s="165" t="str">
        <f>DBCS(IF(【マスター】!D111="","",【マスター】!H111))</f>
        <v>月</v>
      </c>
      <c r="J295" s="166" t="str">
        <f>DBCS(IF(【マスター】!D111="","",【マスター】!I111))</f>
        <v>１</v>
      </c>
      <c r="K295" s="165" t="str">
        <f>DBCS(IF(【マスター】!D111="","",【マスター】!J111))</f>
        <v>日</v>
      </c>
      <c r="L295" s="31" t="str">
        <f>IF(【マスター】!D111=0,"","改訂")</f>
        <v>改訂</v>
      </c>
      <c r="O295" s="3"/>
      <c r="P295" s="3"/>
      <c r="Q295" s="3"/>
      <c r="R295" s="3"/>
      <c r="S295" s="3"/>
      <c r="T295" s="3"/>
    </row>
    <row r="296" spans="1:20" s="31" customFormat="1" ht="15" customHeight="1">
      <c r="A296" s="3"/>
      <c r="B296" s="83"/>
      <c r="C296" s="83"/>
      <c r="D296" s="3"/>
      <c r="E296" s="165" t="str">
        <f>DBCS(【マスター】!D112)</f>
        <v>令和</v>
      </c>
      <c r="F296" s="166" t="str">
        <f>DBCS(IF(【マスター】!D112="","",【マスター】!E112))</f>
        <v>５</v>
      </c>
      <c r="G296" s="165" t="str">
        <f>DBCS(IF(【マスター】!D112="","",【マスター】!F112))</f>
        <v>年</v>
      </c>
      <c r="H296" s="166" t="str">
        <f>DBCS(IF(【マスター】!D112="","",【マスター】!G112))</f>
        <v>４</v>
      </c>
      <c r="I296" s="165" t="str">
        <f>DBCS(IF(【マスター】!D112="","",【マスター】!H112))</f>
        <v>月</v>
      </c>
      <c r="J296" s="166" t="str">
        <f>DBCS(IF(【マスター】!D112="","",【マスター】!I112))</f>
        <v>１</v>
      </c>
      <c r="K296" s="165" t="str">
        <f>DBCS(IF(【マスター】!D112="","",【マスター】!J112))</f>
        <v>日</v>
      </c>
      <c r="L296" s="31" t="str">
        <f>IF(【マスター】!D112=0,"","改訂")</f>
        <v>改訂</v>
      </c>
      <c r="O296" s="3"/>
      <c r="P296" s="3"/>
      <c r="Q296" s="3"/>
      <c r="R296" s="3"/>
      <c r="S296" s="3"/>
      <c r="T296" s="3"/>
    </row>
    <row r="297" spans="1:20" s="31" customFormat="1" ht="15" customHeight="1">
      <c r="A297" s="3"/>
      <c r="B297" s="83"/>
      <c r="C297" s="83"/>
      <c r="D297" s="3"/>
      <c r="E297" s="165" t="str">
        <f>DBCS(【マスター】!D113)</f>
        <v>令和</v>
      </c>
      <c r="F297" s="166" t="str">
        <f>DBCS(IF(【マスター】!D113="","",【マスター】!E113))</f>
        <v>６</v>
      </c>
      <c r="G297" s="165" t="str">
        <f>DBCS(IF(【マスター】!D113="","",【マスター】!F113))</f>
        <v>年</v>
      </c>
      <c r="H297" s="166" t="str">
        <f>DBCS(IF(【マスター】!D113="","",【マスター】!G113))</f>
        <v>４</v>
      </c>
      <c r="I297" s="165" t="str">
        <f>DBCS(IF(【マスター】!D113="","",【マスター】!H113))</f>
        <v>月</v>
      </c>
      <c r="J297" s="166" t="str">
        <f>DBCS(IF(【マスター】!D113="","",【マスター】!I113))</f>
        <v>１</v>
      </c>
      <c r="K297" s="165" t="str">
        <f>DBCS(IF(【マスター】!D113="","",【マスター】!J113))</f>
        <v>日</v>
      </c>
      <c r="L297" s="31" t="str">
        <f>IF(【マスター】!D113=0,"","改訂")</f>
        <v>改訂</v>
      </c>
      <c r="O297" s="3"/>
      <c r="P297" s="3"/>
      <c r="Q297" s="3"/>
      <c r="R297" s="3"/>
      <c r="S297" s="3"/>
      <c r="T297" s="3"/>
    </row>
    <row r="298" spans="1:20" s="31" customFormat="1" ht="15" customHeight="1">
      <c r="A298" s="3"/>
      <c r="B298" s="83"/>
      <c r="C298" s="83"/>
      <c r="D298" s="3"/>
      <c r="E298" s="165" t="str">
        <f>DBCS(【マスター】!D114)</f>
        <v>令和</v>
      </c>
      <c r="F298" s="166" t="str">
        <f>DBCS(IF(【マスター】!D114="","",【マスター】!E114))</f>
        <v>６</v>
      </c>
      <c r="G298" s="165" t="str">
        <f>DBCS(IF(【マスター】!D114="","",【マスター】!F114))</f>
        <v>年</v>
      </c>
      <c r="H298" s="166" t="e">
        <f>DBCS(IF(【マスター】!D114="","",【マスター】!#REF!))</f>
        <v>#REF!</v>
      </c>
      <c r="I298" s="165" t="str">
        <f>DBCS(IF(【マスター】!D114="","",【マスター】!H114))</f>
        <v>月</v>
      </c>
      <c r="J298" s="166" t="str">
        <f>DBCS(IF(【マスター】!D114="","",【マスター】!I114))</f>
        <v>１</v>
      </c>
      <c r="K298" s="165" t="str">
        <f>DBCS(IF(【マスター】!D114="","",【マスター】!J114))</f>
        <v>日</v>
      </c>
      <c r="L298" s="31" t="str">
        <f>IF(【マスター】!D114=0,"","改訂")</f>
        <v>改訂</v>
      </c>
      <c r="O298" s="3"/>
      <c r="P298" s="3"/>
      <c r="Q298" s="3"/>
      <c r="R298" s="3"/>
      <c r="S298" s="3"/>
      <c r="T298" s="3"/>
    </row>
    <row r="299" spans="1:20" s="31" customFormat="1" ht="15" customHeight="1">
      <c r="A299" s="3"/>
      <c r="B299" s="83"/>
      <c r="C299" s="83"/>
      <c r="D299" s="3"/>
      <c r="E299" s="165" t="str">
        <f>DBCS(【マスター】!D115)</f>
        <v>令和</v>
      </c>
      <c r="F299" s="166" t="str">
        <f>DBCS(IF(【マスター】!D115="","",【マスター】!E115))</f>
        <v>７</v>
      </c>
      <c r="G299" s="165" t="str">
        <f>DBCS(IF(【マスター】!D115="","",【マスター】!F115))</f>
        <v>年</v>
      </c>
      <c r="H299" s="166" t="str">
        <f>DBCS(IF(【マスター】!D115="","",【マスター】!G114))</f>
        <v>６</v>
      </c>
      <c r="I299" s="165" t="str">
        <f>DBCS(IF(【マスター】!D115="","",【マスター】!H115))</f>
        <v>月</v>
      </c>
      <c r="J299" s="166" t="str">
        <f>DBCS(IF(【マスター】!D115="","",【マスター】!I115))</f>
        <v>１</v>
      </c>
      <c r="K299" s="165" t="str">
        <f>DBCS(IF(【マスター】!D115="","",【マスター】!J115))</f>
        <v>日</v>
      </c>
      <c r="L299" s="31" t="str">
        <f>IF(【マスター】!D115=0,"","改訂")</f>
        <v>改訂</v>
      </c>
      <c r="O299" s="3"/>
      <c r="P299" s="3"/>
      <c r="Q299" s="3"/>
      <c r="R299" s="3"/>
      <c r="S299" s="3"/>
      <c r="T299" s="3"/>
    </row>
    <row r="300" spans="1:20" s="31" customFormat="1" ht="15" customHeight="1">
      <c r="A300" s="3"/>
      <c r="B300" s="83"/>
      <c r="C300" s="83"/>
      <c r="D300" s="3"/>
      <c r="E300" s="165" t="str">
        <f>DBCS(【マスター】!D116)</f>
        <v/>
      </c>
      <c r="F300" s="166" t="str">
        <f>DBCS(IF(【マスター】!D116="","",【マスター】!E116))</f>
        <v/>
      </c>
      <c r="G300" s="165" t="str">
        <f>DBCS(IF(【マスター】!D116="","",【マスター】!F116))</f>
        <v/>
      </c>
      <c r="H300" s="166" t="str">
        <f>DBCS(IF(【マスター】!D116="","",【マスター】!G116))</f>
        <v/>
      </c>
      <c r="I300" s="165" t="str">
        <f>DBCS(IF(【マスター】!D116="","",【マスター】!H116))</f>
        <v/>
      </c>
      <c r="J300" s="166" t="str">
        <f>DBCS(IF(【マスター】!D116="","",【マスター】!I116))</f>
        <v/>
      </c>
      <c r="K300" s="165" t="str">
        <f>DBCS(IF(【マスター】!D116="","",【マスター】!J116))</f>
        <v/>
      </c>
      <c r="L300" s="31" t="str">
        <f>IF(【マスター】!D116=0,"","改訂")</f>
        <v/>
      </c>
      <c r="O300" s="3"/>
      <c r="P300" s="3"/>
      <c r="Q300" s="3"/>
      <c r="R300" s="3"/>
      <c r="S300" s="3"/>
      <c r="T300" s="3"/>
    </row>
    <row r="301" spans="1:20" s="31" customFormat="1" ht="15" customHeight="1">
      <c r="A301" s="3"/>
      <c r="B301" s="83"/>
      <c r="C301" s="83"/>
      <c r="D301" s="3"/>
      <c r="E301" s="165" t="str">
        <f>DBCS(【マスター】!D117)</f>
        <v/>
      </c>
      <c r="F301" s="166" t="str">
        <f>DBCS(IF(【マスター】!D117="","",【マスター】!E117))</f>
        <v/>
      </c>
      <c r="G301" s="165" t="str">
        <f>DBCS(IF(【マスター】!D117="","",【マスター】!F117))</f>
        <v/>
      </c>
      <c r="H301" s="166" t="str">
        <f>DBCS(IF(【マスター】!D117="","",【マスター】!G117))</f>
        <v/>
      </c>
      <c r="I301" s="165" t="str">
        <f>DBCS(IF(【マスター】!D117="","",【マスター】!H117))</f>
        <v/>
      </c>
      <c r="J301" s="166" t="str">
        <f>DBCS(IF(【マスター】!D117="","",【マスター】!I117))</f>
        <v/>
      </c>
      <c r="K301" s="165" t="str">
        <f>DBCS(IF(【マスター】!D117="","",【マスター】!J117))</f>
        <v/>
      </c>
      <c r="L301" s="31" t="str">
        <f>IF(【マスター】!D117=0,"","改訂")</f>
        <v/>
      </c>
      <c r="O301" s="3"/>
      <c r="P301" s="3"/>
      <c r="Q301" s="3"/>
      <c r="R301" s="3"/>
      <c r="S301" s="3"/>
      <c r="T301" s="3"/>
    </row>
    <row r="302" spans="1:20" s="31" customFormat="1" ht="15" customHeight="1">
      <c r="A302" s="3"/>
      <c r="B302" s="83"/>
      <c r="C302" s="83"/>
      <c r="D302" s="3"/>
      <c r="E302" s="165" t="str">
        <f>DBCS(【マスター】!D118)</f>
        <v/>
      </c>
      <c r="F302" s="166" t="str">
        <f>DBCS(IF(【マスター】!D118="","",【マスター】!E118))</f>
        <v/>
      </c>
      <c r="G302" s="165" t="str">
        <f>DBCS(IF(【マスター】!D118="","",【マスター】!F118))</f>
        <v/>
      </c>
      <c r="H302" s="166" t="str">
        <f>DBCS(IF(【マスター】!D118="","",【マスター】!G118))</f>
        <v/>
      </c>
      <c r="I302" s="165" t="str">
        <f>DBCS(IF(【マスター】!D118="","",【マスター】!H118))</f>
        <v/>
      </c>
      <c r="J302" s="166" t="str">
        <f>DBCS(IF(【マスター】!D118="","",【マスター】!I118))</f>
        <v/>
      </c>
      <c r="K302" s="165" t="str">
        <f>DBCS(IF(【マスター】!D118="","",【マスター】!J118))</f>
        <v/>
      </c>
      <c r="L302" s="31" t="str">
        <f>IF(【マスター】!D118=0,"","改訂")</f>
        <v/>
      </c>
      <c r="O302" s="3"/>
      <c r="P302" s="3"/>
      <c r="Q302" s="3"/>
      <c r="R302" s="3"/>
      <c r="S302" s="3"/>
      <c r="T302" s="3"/>
    </row>
    <row r="303" spans="1:20" s="31" customFormat="1" ht="15" customHeight="1">
      <c r="A303" s="3"/>
      <c r="B303" s="83"/>
      <c r="C303" s="83"/>
      <c r="D303" s="3"/>
      <c r="E303" s="165" t="str">
        <f>DBCS(【マスター】!D119)</f>
        <v/>
      </c>
      <c r="F303" s="166" t="str">
        <f>DBCS(IF(【マスター】!D119="","",【マスター】!E119))</f>
        <v/>
      </c>
      <c r="G303" s="165" t="str">
        <f>DBCS(IF(【マスター】!D119="","",【マスター】!F119))</f>
        <v/>
      </c>
      <c r="H303" s="166" t="str">
        <f>DBCS(IF(【マスター】!D119="","",【マスター】!G119))</f>
        <v/>
      </c>
      <c r="I303" s="165" t="str">
        <f>DBCS(IF(【マスター】!D119="","",【マスター】!H119))</f>
        <v/>
      </c>
      <c r="J303" s="166" t="str">
        <f>DBCS(IF(【マスター】!D119="","",【マスター】!I119))</f>
        <v/>
      </c>
      <c r="K303" s="165" t="str">
        <f>DBCS(IF(【マスター】!D119="","",【マスター】!J119))</f>
        <v/>
      </c>
      <c r="L303" s="31" t="str">
        <f>IF(【マスター】!D119=0,"","改訂")</f>
        <v/>
      </c>
      <c r="O303" s="3"/>
      <c r="P303" s="3"/>
      <c r="Q303" s="3"/>
      <c r="R303" s="3"/>
      <c r="S303" s="3"/>
      <c r="T303" s="3"/>
    </row>
    <row r="304" spans="1:20" s="31" customFormat="1" ht="15" customHeight="1">
      <c r="A304" s="3"/>
      <c r="B304" s="83"/>
      <c r="C304" s="83"/>
      <c r="D304" s="3"/>
      <c r="E304" s="165" t="str">
        <f>DBCS(【マスター】!D120)</f>
        <v/>
      </c>
      <c r="F304" s="166" t="str">
        <f>DBCS(IF(【マスター】!D120="","",【マスター】!E120))</f>
        <v/>
      </c>
      <c r="G304" s="165" t="str">
        <f>DBCS(IF(【マスター】!D120="","",【マスター】!F120))</f>
        <v/>
      </c>
      <c r="H304" s="166" t="str">
        <f>DBCS(IF(【マスター】!D120="","",【マスター】!G120))</f>
        <v/>
      </c>
      <c r="I304" s="165" t="str">
        <f>DBCS(IF(【マスター】!D120="","",【マスター】!H120))</f>
        <v/>
      </c>
      <c r="J304" s="166" t="str">
        <f>DBCS(IF(【マスター】!D120="","",【マスター】!I120))</f>
        <v/>
      </c>
      <c r="K304" s="165" t="str">
        <f>DBCS(IF(【マスター】!D120="","",【マスター】!J120))</f>
        <v/>
      </c>
      <c r="L304" s="31" t="str">
        <f>IF(【マスター】!D120=0,"","改訂")</f>
        <v/>
      </c>
      <c r="O304" s="3"/>
      <c r="P304" s="3"/>
      <c r="Q304" s="3"/>
      <c r="R304" s="3"/>
      <c r="S304" s="3"/>
      <c r="T304" s="3"/>
    </row>
    <row r="305" spans="1:20" s="31" customFormat="1" ht="15" customHeight="1">
      <c r="A305" s="3"/>
      <c r="B305" s="83"/>
      <c r="C305" s="83"/>
      <c r="D305" s="3"/>
      <c r="E305" s="165" t="str">
        <f>DBCS(【マスター】!D121)</f>
        <v/>
      </c>
      <c r="F305" s="166" t="str">
        <f>DBCS(IF(【マスター】!D121="","",【マスター】!E121))</f>
        <v/>
      </c>
      <c r="G305" s="165" t="str">
        <f>DBCS(IF(【マスター】!D121="","",【マスター】!F121))</f>
        <v/>
      </c>
      <c r="H305" s="166" t="str">
        <f>DBCS(IF(【マスター】!D121="","",【マスター】!G121))</f>
        <v/>
      </c>
      <c r="I305" s="165" t="str">
        <f>DBCS(IF(【マスター】!D121="","",【マスター】!H121))</f>
        <v/>
      </c>
      <c r="J305" s="166" t="str">
        <f>DBCS(IF(【マスター】!D121="","",【マスター】!I121))</f>
        <v/>
      </c>
      <c r="K305" s="165" t="str">
        <f>DBCS(IF(【マスター】!D121="","",【マスター】!J121))</f>
        <v/>
      </c>
      <c r="L305" s="31" t="str">
        <f>IF(【マスター】!D121=0,"","改訂")</f>
        <v/>
      </c>
      <c r="O305" s="3"/>
      <c r="P305" s="3"/>
      <c r="Q305" s="3"/>
      <c r="R305" s="3"/>
      <c r="S305" s="3"/>
      <c r="T305" s="3"/>
    </row>
    <row r="306" spans="1:20" s="31" customFormat="1" ht="15" customHeight="1">
      <c r="A306" s="3"/>
      <c r="B306" s="83"/>
      <c r="C306" s="83"/>
      <c r="D306" s="3"/>
      <c r="E306" s="165" t="str">
        <f>DBCS(【マスター】!D122)</f>
        <v/>
      </c>
      <c r="F306" s="166" t="str">
        <f>DBCS(IF(【マスター】!D122="","",【マスター】!E122))</f>
        <v/>
      </c>
      <c r="G306" s="165" t="str">
        <f>DBCS(IF(【マスター】!D122="","",【マスター】!F122))</f>
        <v/>
      </c>
      <c r="H306" s="166" t="str">
        <f>DBCS(IF(【マスター】!D122="","",【マスター】!G122))</f>
        <v/>
      </c>
      <c r="I306" s="165" t="str">
        <f>DBCS(IF(【マスター】!D122="","",【マスター】!H122))</f>
        <v/>
      </c>
      <c r="J306" s="166" t="str">
        <f>DBCS(IF(【マスター】!D122="","",【マスター】!I122))</f>
        <v/>
      </c>
      <c r="K306" s="165" t="str">
        <f>DBCS(IF(【マスター】!D122="","",【マスター】!J122))</f>
        <v/>
      </c>
      <c r="L306" s="31" t="str">
        <f>IF(【マスター】!D122=0,"","改訂")</f>
        <v/>
      </c>
      <c r="O306" s="3"/>
      <c r="P306" s="3"/>
      <c r="Q306" s="3"/>
      <c r="R306" s="3"/>
      <c r="S306" s="3"/>
      <c r="T306" s="3"/>
    </row>
    <row r="307" spans="1:20" s="31" customFormat="1" ht="15" customHeight="1">
      <c r="A307" s="3"/>
      <c r="B307" s="83"/>
      <c r="C307" s="83"/>
      <c r="D307" s="3"/>
      <c r="E307" s="165" t="str">
        <f>DBCS(【マスター】!D123)</f>
        <v/>
      </c>
      <c r="F307" s="166" t="str">
        <f>DBCS(IF(【マスター】!D123="","",【マスター】!E123))</f>
        <v/>
      </c>
      <c r="G307" s="165" t="str">
        <f>DBCS(IF(【マスター】!D123="","",【マスター】!F123))</f>
        <v/>
      </c>
      <c r="H307" s="166" t="str">
        <f>DBCS(IF(【マスター】!D123="","",【マスター】!G123))</f>
        <v/>
      </c>
      <c r="I307" s="165" t="str">
        <f>DBCS(IF(【マスター】!D123="","",【マスター】!H123))</f>
        <v/>
      </c>
      <c r="J307" s="166" t="str">
        <f>DBCS(IF(【マスター】!D123="","",【マスター】!I123))</f>
        <v/>
      </c>
      <c r="K307" s="165" t="str">
        <f>DBCS(IF(【マスター】!D123="","",【マスター】!J123))</f>
        <v/>
      </c>
      <c r="L307" s="31" t="str">
        <f>IF(【マスター】!D123=0,"","改訂")</f>
        <v/>
      </c>
      <c r="O307" s="3"/>
      <c r="P307" s="3"/>
      <c r="Q307" s="3"/>
      <c r="R307" s="3"/>
      <c r="S307" s="3"/>
      <c r="T307" s="3"/>
    </row>
    <row r="308" spans="1:20" s="31" customFormat="1" ht="15" customHeight="1">
      <c r="A308" s="3"/>
      <c r="B308" s="83"/>
      <c r="C308" s="83"/>
      <c r="D308" s="3"/>
      <c r="E308" s="165" t="str">
        <f>DBCS(【マスター】!D124)</f>
        <v/>
      </c>
      <c r="F308" s="166" t="str">
        <f>DBCS(IF(【マスター】!D124="","",【マスター】!E124))</f>
        <v/>
      </c>
      <c r="G308" s="165" t="str">
        <f>DBCS(IF(【マスター】!D124="","",【マスター】!F124))</f>
        <v/>
      </c>
      <c r="H308" s="166" t="str">
        <f>DBCS(IF(【マスター】!D124="","",【マスター】!G124))</f>
        <v/>
      </c>
      <c r="I308" s="165" t="str">
        <f>DBCS(IF(【マスター】!D124="","",【マスター】!H124))</f>
        <v/>
      </c>
      <c r="J308" s="166" t="str">
        <f>DBCS(IF(【マスター】!D124="","",【マスター】!I124))</f>
        <v/>
      </c>
      <c r="K308" s="165" t="str">
        <f>DBCS(IF(【マスター】!D124="","",【マスター】!J124))</f>
        <v/>
      </c>
      <c r="L308" s="31" t="str">
        <f>IF(【マスター】!D124=0,"","改訂")</f>
        <v/>
      </c>
      <c r="O308" s="3"/>
      <c r="P308" s="3"/>
      <c r="Q308" s="3"/>
      <c r="R308" s="3"/>
      <c r="S308" s="3"/>
      <c r="T308" s="3"/>
    </row>
    <row r="309" spans="1:20" s="31" customFormat="1" ht="15" customHeight="1">
      <c r="A309" s="3"/>
      <c r="B309" s="83"/>
      <c r="C309" s="83"/>
      <c r="D309" s="3"/>
      <c r="E309" s="165" t="str">
        <f>DBCS(【マスター】!D125)</f>
        <v/>
      </c>
      <c r="F309" s="166" t="str">
        <f>DBCS(IF(【マスター】!D125="","",【マスター】!E125))</f>
        <v/>
      </c>
      <c r="G309" s="165" t="str">
        <f>DBCS(IF(【マスター】!D125="","",【マスター】!F125))</f>
        <v/>
      </c>
      <c r="H309" s="166" t="str">
        <f>DBCS(IF(【マスター】!D125="","",【マスター】!G125))</f>
        <v/>
      </c>
      <c r="I309" s="165" t="str">
        <f>DBCS(IF(【マスター】!D125="","",【マスター】!H125))</f>
        <v/>
      </c>
      <c r="J309" s="166" t="str">
        <f>DBCS(IF(【マスター】!D125="","",【マスター】!I125))</f>
        <v/>
      </c>
      <c r="K309" s="165" t="str">
        <f>DBCS(IF(【マスター】!D125="","",【マスター】!J125))</f>
        <v/>
      </c>
      <c r="L309" s="31" t="str">
        <f>IF(【マスター】!D125=0,"","改訂")</f>
        <v/>
      </c>
      <c r="O309" s="3"/>
      <c r="P309" s="3"/>
      <c r="Q309" s="3"/>
      <c r="R309" s="3"/>
      <c r="S309" s="3"/>
      <c r="T309" s="3"/>
    </row>
    <row r="310" spans="1:20" s="31" customFormat="1" ht="15" customHeight="1">
      <c r="A310" s="3"/>
      <c r="B310" s="83"/>
      <c r="C310" s="83"/>
      <c r="D310" s="3"/>
      <c r="E310" s="165" t="str">
        <f>DBCS(【マスター】!D126)</f>
        <v/>
      </c>
      <c r="F310" s="166" t="str">
        <f>DBCS(IF(【マスター】!D126="","",【マスター】!E126))</f>
        <v/>
      </c>
      <c r="G310" s="165" t="str">
        <f>DBCS(IF(【マスター】!D126="","",【マスター】!F126))</f>
        <v/>
      </c>
      <c r="H310" s="166" t="str">
        <f>DBCS(IF(【マスター】!D126="","",【マスター】!G126))</f>
        <v/>
      </c>
      <c r="I310" s="165" t="str">
        <f>DBCS(IF(【マスター】!D126="","",【マスター】!H126))</f>
        <v/>
      </c>
      <c r="J310" s="166" t="str">
        <f>DBCS(IF(【マスター】!D126="","",【マスター】!I126))</f>
        <v/>
      </c>
      <c r="K310" s="165" t="str">
        <f>DBCS(IF(【マスター】!D126="","",【マスター】!J126))</f>
        <v/>
      </c>
      <c r="L310" s="31" t="str">
        <f>IF(【マスター】!D126=0,"","改訂")</f>
        <v/>
      </c>
      <c r="O310" s="3"/>
      <c r="P310" s="3"/>
      <c r="Q310" s="3"/>
      <c r="R310" s="3"/>
      <c r="S310" s="3"/>
      <c r="T310" s="3"/>
    </row>
    <row r="311" spans="1:20" s="31" customFormat="1" ht="15" customHeight="1">
      <c r="A311" s="3"/>
      <c r="B311" s="83"/>
      <c r="C311" s="83"/>
      <c r="D311" s="3"/>
      <c r="E311" s="165" t="str">
        <f>DBCS(【マスター】!D127)</f>
        <v/>
      </c>
      <c r="F311" s="166" t="str">
        <f>DBCS(IF(【マスター】!D127="","",【マスター】!E127))</f>
        <v/>
      </c>
      <c r="G311" s="165" t="str">
        <f>DBCS(IF(【マスター】!D127="","",【マスター】!F127))</f>
        <v/>
      </c>
      <c r="H311" s="166" t="str">
        <f>DBCS(IF(【マスター】!D127="","",【マスター】!G127))</f>
        <v/>
      </c>
      <c r="I311" s="165" t="str">
        <f>DBCS(IF(【マスター】!D127="","",【マスター】!H127))</f>
        <v/>
      </c>
      <c r="J311" s="166" t="str">
        <f>DBCS(IF(【マスター】!D127="","",【マスター】!I127))</f>
        <v/>
      </c>
      <c r="K311" s="165" t="str">
        <f>DBCS(IF(【マスター】!D127="","",【マスター】!J127))</f>
        <v/>
      </c>
      <c r="L311" s="31" t="str">
        <f>IF(【マスター】!D127=0,"","改訂")</f>
        <v/>
      </c>
      <c r="O311" s="3"/>
      <c r="P311" s="3"/>
      <c r="Q311" s="3"/>
      <c r="R311" s="3"/>
      <c r="S311" s="3"/>
      <c r="T311" s="3"/>
    </row>
    <row r="312" spans="1:20" s="31" customFormat="1" ht="15" customHeight="1">
      <c r="A312" s="3"/>
      <c r="B312" s="83"/>
      <c r="C312" s="83"/>
      <c r="D312" s="3"/>
      <c r="E312" s="165" t="str">
        <f>DBCS(【マスター】!D128)</f>
        <v/>
      </c>
      <c r="F312" s="166" t="str">
        <f>DBCS(IF(【マスター】!D128="","",【マスター】!E128))</f>
        <v/>
      </c>
      <c r="G312" s="165" t="str">
        <f>DBCS(IF(【マスター】!D128="","",【マスター】!F128))</f>
        <v/>
      </c>
      <c r="H312" s="166" t="str">
        <f>DBCS(IF(【マスター】!D128="","",【マスター】!G128))</f>
        <v/>
      </c>
      <c r="I312" s="165" t="str">
        <f>DBCS(IF(【マスター】!D128="","",【マスター】!H128))</f>
        <v/>
      </c>
      <c r="J312" s="166" t="str">
        <f>DBCS(IF(【マスター】!D128="","",【マスター】!I128))</f>
        <v/>
      </c>
      <c r="K312" s="165" t="str">
        <f>DBCS(IF(【マスター】!D128="","",【マスター】!J128))</f>
        <v/>
      </c>
      <c r="L312" s="31" t="str">
        <f>IF(【マスター】!D128=0,"","改訂")</f>
        <v/>
      </c>
      <c r="O312" s="3"/>
      <c r="P312" s="3"/>
      <c r="Q312" s="3"/>
      <c r="R312" s="3"/>
      <c r="S312" s="3"/>
      <c r="T312" s="3"/>
    </row>
    <row r="313" spans="1:20" ht="15" customHeight="1">
      <c r="E313" s="165" t="str">
        <f>DBCS(【マスター】!D129)</f>
        <v/>
      </c>
      <c r="F313" s="166" t="str">
        <f>DBCS(IF(【マスター】!D129="","",【マスター】!E129))</f>
        <v/>
      </c>
      <c r="G313" s="165" t="str">
        <f>DBCS(IF(【マスター】!D129="","",【マスター】!F129))</f>
        <v/>
      </c>
      <c r="H313" s="166" t="str">
        <f>DBCS(IF(【マスター】!D129="","",【マスター】!G129))</f>
        <v/>
      </c>
      <c r="I313" s="165" t="str">
        <f>DBCS(IF(【マスター】!D129="","",【マスター】!H129))</f>
        <v/>
      </c>
      <c r="J313" s="166" t="str">
        <f>DBCS(IF(【マスター】!D129="","",【マスター】!I129))</f>
        <v/>
      </c>
      <c r="K313" s="165" t="str">
        <f>DBCS(IF(【マスター】!D129="","",【マスター】!J129))</f>
        <v/>
      </c>
      <c r="L313" s="31" t="str">
        <f>IF(【マスター】!D129=0,"","改訂")</f>
        <v/>
      </c>
      <c r="M313" s="31"/>
      <c r="N313" s="31"/>
      <c r="O313" s="3"/>
      <c r="P313" s="3"/>
    </row>
    <row r="314" spans="1:20" ht="15" customHeight="1">
      <c r="E314" s="165" t="str">
        <f>DBCS(【マスター】!D130)</f>
        <v/>
      </c>
      <c r="F314" s="166" t="str">
        <f>DBCS(IF(【マスター】!D130="","",【マスター】!E130))</f>
        <v/>
      </c>
      <c r="G314" s="165" t="str">
        <f>DBCS(IF(【マスター】!D130="","",【マスター】!F130))</f>
        <v/>
      </c>
      <c r="H314" s="166" t="str">
        <f>DBCS(IF(【マスター】!D130="","",【マスター】!G130))</f>
        <v/>
      </c>
      <c r="I314" s="165" t="str">
        <f>DBCS(IF(【マスター】!D130="","",【マスター】!H130))</f>
        <v/>
      </c>
      <c r="J314" s="166" t="str">
        <f>DBCS(IF(【マスター】!D130="","",【マスター】!I130))</f>
        <v/>
      </c>
      <c r="K314" s="165" t="str">
        <f>DBCS(IF(【マスター】!D130="","",【マスター】!J130))</f>
        <v/>
      </c>
      <c r="L314" s="31" t="str">
        <f>IF(【マスター】!D130=0,"","改訂")</f>
        <v/>
      </c>
      <c r="M314" s="31"/>
      <c r="N314" s="31"/>
      <c r="O314" s="3"/>
      <c r="P314" s="3"/>
    </row>
    <row r="315" spans="1:20" ht="15" customHeight="1">
      <c r="E315" s="165" t="str">
        <f>DBCS(【マスター】!D131)</f>
        <v/>
      </c>
      <c r="F315" s="166" t="str">
        <f>DBCS(IF(【マスター】!D131="","",【マスター】!E131))</f>
        <v/>
      </c>
      <c r="G315" s="165" t="str">
        <f>DBCS(IF(【マスター】!D131="","",【マスター】!F131))</f>
        <v/>
      </c>
      <c r="H315" s="166" t="str">
        <f>DBCS(IF(【マスター】!D131="","",【マスター】!G131))</f>
        <v/>
      </c>
      <c r="I315" s="165" t="str">
        <f>DBCS(IF(【マスター】!D131="","",【マスター】!H131))</f>
        <v/>
      </c>
      <c r="J315" s="166" t="str">
        <f>DBCS(IF(【マスター】!D131="","",【マスター】!I131))</f>
        <v/>
      </c>
      <c r="K315" s="165" t="str">
        <f>DBCS(IF(【マスター】!D131="","",【マスター】!J131))</f>
        <v/>
      </c>
      <c r="L315" s="31" t="str">
        <f>IF(【マスター】!D131=0,"","改訂")</f>
        <v/>
      </c>
      <c r="M315" s="31"/>
      <c r="N315" s="31"/>
      <c r="O315" s="3"/>
      <c r="P315" s="3"/>
    </row>
    <row r="316" spans="1:20" ht="15" customHeight="1">
      <c r="E316" s="165" t="str">
        <f>DBCS(【マスター】!D132)</f>
        <v/>
      </c>
      <c r="F316" s="166" t="str">
        <f>DBCS(IF(【マスター】!D132="","",【マスター】!E132))</f>
        <v/>
      </c>
      <c r="G316" s="165" t="str">
        <f>DBCS(IF(【マスター】!D132="","",【マスター】!F132))</f>
        <v/>
      </c>
      <c r="H316" s="166" t="str">
        <f>DBCS(IF(【マスター】!D132="","",【マスター】!G132))</f>
        <v/>
      </c>
      <c r="I316" s="165" t="str">
        <f>DBCS(IF(【マスター】!D132="","",【マスター】!H132))</f>
        <v/>
      </c>
      <c r="J316" s="166" t="str">
        <f>DBCS(IF(【マスター】!D132="","",【マスター】!I132))</f>
        <v/>
      </c>
      <c r="K316" s="165" t="str">
        <f>DBCS(IF(【マスター】!D132="","",【マスター】!J132))</f>
        <v/>
      </c>
      <c r="L316" s="31" t="str">
        <f>IF(【マスター】!D132=0,"","改訂")</f>
        <v/>
      </c>
      <c r="M316" s="31"/>
      <c r="N316" s="31"/>
      <c r="O316" s="3"/>
      <c r="P316" s="3"/>
    </row>
    <row r="317" spans="1:20" ht="15" customHeight="1">
      <c r="E317" s="165" t="str">
        <f>DBCS(【マスター】!D133)</f>
        <v/>
      </c>
      <c r="F317" s="166" t="str">
        <f>DBCS(IF(【マスター】!D133="","",【マスター】!E133))</f>
        <v/>
      </c>
      <c r="G317" s="165" t="str">
        <f>DBCS(IF(【マスター】!D133="","",【マスター】!F133))</f>
        <v/>
      </c>
      <c r="H317" s="166" t="str">
        <f>DBCS(IF(【マスター】!D133="","",【マスター】!G133))</f>
        <v/>
      </c>
      <c r="I317" s="165" t="str">
        <f>DBCS(IF(【マスター】!D133="","",【マスター】!H133))</f>
        <v/>
      </c>
      <c r="J317" s="166" t="str">
        <f>DBCS(IF(【マスター】!D133="","",【マスター】!I133))</f>
        <v/>
      </c>
      <c r="K317" s="165" t="str">
        <f>DBCS(IF(【マスター】!D133="","",【マスター】!J133))</f>
        <v/>
      </c>
      <c r="L317" s="31" t="str">
        <f>IF(【マスター】!D133=0,"","改訂")</f>
        <v/>
      </c>
      <c r="M317" s="31"/>
      <c r="N317" s="31"/>
      <c r="O317" s="3"/>
      <c r="P317" s="3"/>
    </row>
    <row r="318" spans="1:20" ht="15" customHeight="1">
      <c r="E318" s="165" t="str">
        <f>DBCS(【マスター】!D134)</f>
        <v/>
      </c>
      <c r="F318" s="166" t="str">
        <f>DBCS(IF(【マスター】!D134="","",【マスター】!E134))</f>
        <v/>
      </c>
      <c r="G318" s="165" t="str">
        <f>DBCS(IF(【マスター】!D134="","",【マスター】!F134))</f>
        <v/>
      </c>
      <c r="H318" s="166" t="str">
        <f>DBCS(IF(【マスター】!D134="","",【マスター】!G134))</f>
        <v/>
      </c>
      <c r="I318" s="165" t="str">
        <f>DBCS(IF(【マスター】!D134="","",【マスター】!H134))</f>
        <v/>
      </c>
      <c r="J318" s="166" t="str">
        <f>DBCS(IF(【マスター】!D134="","",【マスター】!I134))</f>
        <v/>
      </c>
      <c r="K318" s="165" t="str">
        <f>DBCS(IF(【マスター】!D134="","",【マスター】!J134))</f>
        <v/>
      </c>
      <c r="L318" s="31" t="str">
        <f>IF(【マスター】!D134=0,"","改訂")</f>
        <v/>
      </c>
      <c r="M318" s="31"/>
      <c r="N318" s="31"/>
      <c r="O318" s="3"/>
      <c r="P318" s="3"/>
    </row>
    <row r="319" spans="1:20" ht="15" customHeight="1">
      <c r="E319" s="165" t="str">
        <f>DBCS(【マスター】!D135)</f>
        <v/>
      </c>
      <c r="F319" s="166" t="str">
        <f>DBCS(IF(【マスター】!D135="","",【マスター】!E135))</f>
        <v/>
      </c>
      <c r="G319" s="165" t="str">
        <f>DBCS(IF(【マスター】!D135="","",【マスター】!F135))</f>
        <v/>
      </c>
      <c r="H319" s="166" t="str">
        <f>DBCS(IF(【マスター】!D135="","",【マスター】!G135))</f>
        <v/>
      </c>
      <c r="I319" s="165" t="str">
        <f>DBCS(IF(【マスター】!D135="","",【マスター】!H135))</f>
        <v/>
      </c>
      <c r="J319" s="166" t="str">
        <f>DBCS(IF(【マスター】!D135="","",【マスター】!I135))</f>
        <v/>
      </c>
      <c r="K319" s="165" t="str">
        <f>DBCS(IF(【マスター】!D135="","",【マスター】!J135))</f>
        <v/>
      </c>
      <c r="L319" s="31" t="str">
        <f>IF(【マスター】!D135=0,"","改訂")</f>
        <v/>
      </c>
      <c r="M319" s="31"/>
      <c r="N319" s="31"/>
      <c r="O319" s="3"/>
      <c r="P319" s="3"/>
    </row>
    <row r="320" spans="1:20" ht="15" customHeight="1">
      <c r="E320" s="165" t="str">
        <f>DBCS(【マスター】!D136)</f>
        <v/>
      </c>
      <c r="F320" s="166" t="str">
        <f>DBCS(IF(【マスター】!D136="","",【マスター】!E136))</f>
        <v/>
      </c>
      <c r="G320" s="165" t="str">
        <f>DBCS(IF(【マスター】!D136="","",【マスター】!F136))</f>
        <v/>
      </c>
      <c r="H320" s="166" t="str">
        <f>DBCS(IF(【マスター】!D136="","",【マスター】!G136))</f>
        <v/>
      </c>
      <c r="I320" s="165" t="str">
        <f>DBCS(IF(【マスター】!D136="","",【マスター】!H136))</f>
        <v/>
      </c>
      <c r="J320" s="166" t="str">
        <f>DBCS(IF(【マスター】!D136="","",【マスター】!I136))</f>
        <v/>
      </c>
      <c r="K320" s="165" t="str">
        <f>DBCS(IF(【マスター】!D136="","",【マスター】!J136))</f>
        <v/>
      </c>
      <c r="L320" s="31" t="str">
        <f>IF(【マスター】!D136=0,"","改訂")</f>
        <v/>
      </c>
      <c r="M320" s="31"/>
      <c r="N320" s="31"/>
      <c r="O320" s="3"/>
      <c r="P320" s="3"/>
    </row>
    <row r="321" spans="5:16" ht="15" customHeight="1">
      <c r="E321" s="165" t="str">
        <f>DBCS(【マスター】!D137)</f>
        <v/>
      </c>
      <c r="F321" s="166" t="str">
        <f>DBCS(IF(【マスター】!D137="","",【マスター】!E137))</f>
        <v/>
      </c>
      <c r="G321" s="165" t="str">
        <f>DBCS(IF(【マスター】!D137="","",【マスター】!F137))</f>
        <v/>
      </c>
      <c r="H321" s="166" t="str">
        <f>DBCS(IF(【マスター】!D137="","",【マスター】!G137))</f>
        <v/>
      </c>
      <c r="I321" s="165" t="str">
        <f>DBCS(IF(【マスター】!D137="","",【マスター】!H137))</f>
        <v/>
      </c>
      <c r="J321" s="166" t="str">
        <f>DBCS(IF(【マスター】!D137="","",【マスター】!I137))</f>
        <v/>
      </c>
      <c r="K321" s="165" t="str">
        <f>DBCS(IF(【マスター】!D137="","",【マスター】!J137))</f>
        <v/>
      </c>
      <c r="L321" s="31" t="str">
        <f>IF(【マスター】!D137=0,"","改訂")</f>
        <v/>
      </c>
      <c r="M321" s="3"/>
      <c r="N321" s="3"/>
      <c r="O321" s="3"/>
      <c r="P321" s="3"/>
    </row>
    <row r="322" spans="5:16" ht="15" customHeight="1">
      <c r="E322" s="165" t="str">
        <f>DBCS(【マスター】!D138)</f>
        <v/>
      </c>
      <c r="F322" s="166" t="str">
        <f>DBCS(IF(【マスター】!D138="","",【マスター】!E138))</f>
        <v/>
      </c>
      <c r="G322" s="165" t="str">
        <f>DBCS(IF(【マスター】!D138="","",【マスター】!F138))</f>
        <v/>
      </c>
      <c r="H322" s="166" t="str">
        <f>DBCS(IF(【マスター】!D138="","",【マスター】!G138))</f>
        <v/>
      </c>
      <c r="I322" s="165" t="str">
        <f>DBCS(IF(【マスター】!D138="","",【マスター】!H138))</f>
        <v/>
      </c>
      <c r="J322" s="166" t="str">
        <f>DBCS(IF(【マスター】!D138="","",【マスター】!I138))</f>
        <v/>
      </c>
      <c r="K322" s="165" t="str">
        <f>DBCS(IF(【マスター】!D138="","",【マスター】!J138))</f>
        <v/>
      </c>
      <c r="L322" s="31" t="str">
        <f>IF(【マスター】!D138=0,"","改訂")</f>
        <v/>
      </c>
      <c r="M322" s="3"/>
      <c r="N322" s="3"/>
      <c r="O322" s="3"/>
      <c r="P322" s="3"/>
    </row>
    <row r="323" spans="5:16" ht="15" customHeight="1">
      <c r="E323" s="165" t="str">
        <f>DBCS(【マスター】!D139)</f>
        <v/>
      </c>
      <c r="F323" s="166" t="str">
        <f>DBCS(IF(【マスター】!D139="","",【マスター】!E139))</f>
        <v/>
      </c>
      <c r="G323" s="165" t="str">
        <f>DBCS(IF(【マスター】!D139="","",【マスター】!F139))</f>
        <v/>
      </c>
      <c r="H323" s="166" t="str">
        <f>DBCS(IF(【マスター】!D139="","",【マスター】!G139))</f>
        <v/>
      </c>
      <c r="I323" s="165" t="str">
        <f>DBCS(IF(【マスター】!D139="","",【マスター】!H139))</f>
        <v/>
      </c>
      <c r="J323" s="166" t="str">
        <f>DBCS(IF(【マスター】!D139="","",【マスター】!I139))</f>
        <v/>
      </c>
      <c r="K323" s="165" t="str">
        <f>DBCS(IF(【マスター】!D139="","",【マスター】!J139))</f>
        <v/>
      </c>
      <c r="L323" s="31" t="str">
        <f>IF(【マスター】!D139=0,"","改訂")</f>
        <v/>
      </c>
      <c r="M323" s="3"/>
      <c r="N323" s="3"/>
      <c r="O323" s="3"/>
      <c r="P323" s="31"/>
    </row>
    <row r="324" spans="5:16" ht="15" customHeight="1">
      <c r="E324" s="165" t="str">
        <f>DBCS(【マスター】!D140)</f>
        <v/>
      </c>
      <c r="F324" s="166" t="str">
        <f>DBCS(IF(【マスター】!D140="","",【マスター】!E140))</f>
        <v/>
      </c>
      <c r="G324" s="165" t="str">
        <f>DBCS(IF(【マスター】!D140="","",【マスター】!F140))</f>
        <v/>
      </c>
      <c r="H324" s="166" t="str">
        <f>DBCS(IF(【マスター】!D140="","",【マスター】!G140))</f>
        <v/>
      </c>
      <c r="I324" s="165" t="str">
        <f>DBCS(IF(【マスター】!D140="","",【マスター】!H140))</f>
        <v/>
      </c>
      <c r="J324" s="166" t="str">
        <f>DBCS(IF(【マスター】!D140="","",【マスター】!I140))</f>
        <v/>
      </c>
      <c r="K324" s="165" t="str">
        <f>DBCS(IF(【マスター】!D140="","",【マスター】!J140))</f>
        <v/>
      </c>
      <c r="L324" s="31" t="str">
        <f>IF(【マスター】!D140=0,"","改訂")</f>
        <v/>
      </c>
      <c r="M324" s="3"/>
      <c r="N324" s="3"/>
      <c r="O324" s="3"/>
      <c r="P324" s="31"/>
    </row>
    <row r="325" spans="5:16" ht="15" customHeight="1">
      <c r="E325" s="165" t="str">
        <f>DBCS(【マスター】!D141)</f>
        <v/>
      </c>
      <c r="F325" s="166" t="str">
        <f>DBCS(IF(【マスター】!D141="","",【マスター】!E141))</f>
        <v/>
      </c>
      <c r="G325" s="165" t="str">
        <f>DBCS(IF(【マスター】!D141="","",【マスター】!F141))</f>
        <v/>
      </c>
      <c r="H325" s="166" t="str">
        <f>DBCS(IF(【マスター】!D141="","",【マスター】!G141))</f>
        <v/>
      </c>
      <c r="I325" s="165" t="str">
        <f>DBCS(IF(【マスター】!D141="","",【マスター】!H141))</f>
        <v/>
      </c>
      <c r="J325" s="166" t="str">
        <f>DBCS(IF(【マスター】!D141="","",【マスター】!I141))</f>
        <v/>
      </c>
      <c r="K325" s="165" t="str">
        <f>DBCS(IF(【マスター】!D141="","",【マスター】!J141))</f>
        <v/>
      </c>
      <c r="L325" s="31" t="str">
        <f>IF(【マスター】!D141=0,"","改訂")</f>
        <v/>
      </c>
      <c r="M325" s="3"/>
      <c r="N325" s="3"/>
      <c r="O325" s="3"/>
      <c r="P325" s="31"/>
    </row>
    <row r="326" spans="5:16" ht="15" customHeight="1">
      <c r="E326" s="165" t="str">
        <f>DBCS(【マスター】!D142)</f>
        <v/>
      </c>
      <c r="F326" s="166" t="str">
        <f>DBCS(IF(【マスター】!D142="","",【マスター】!E142))</f>
        <v/>
      </c>
      <c r="G326" s="165" t="str">
        <f>DBCS(IF(【マスター】!D142="","",【マスター】!F142))</f>
        <v/>
      </c>
      <c r="H326" s="166" t="str">
        <f>DBCS(IF(【マスター】!D142="","",【マスター】!G142))</f>
        <v/>
      </c>
      <c r="I326" s="165" t="str">
        <f>DBCS(IF(【マスター】!D142="","",【マスター】!H142))</f>
        <v/>
      </c>
      <c r="J326" s="166" t="str">
        <f>DBCS(IF(【マスター】!D142="","",【マスター】!I142))</f>
        <v/>
      </c>
      <c r="K326" s="165" t="str">
        <f>DBCS(IF(【マスター】!D142="","",【マスター】!J142))</f>
        <v/>
      </c>
      <c r="L326" s="31" t="str">
        <f>IF(【マスター】!D142=0,"","改訂")</f>
        <v/>
      </c>
      <c r="M326" s="3"/>
      <c r="N326" s="3"/>
      <c r="O326" s="3"/>
      <c r="P326" s="31"/>
    </row>
    <row r="327" spans="5:16" ht="15" customHeight="1">
      <c r="E327" s="165" t="str">
        <f>DBCS(【マスター】!D143)</f>
        <v/>
      </c>
      <c r="F327" s="166" t="str">
        <f>DBCS(IF(【マスター】!D143="","",【マスター】!E143))</f>
        <v/>
      </c>
      <c r="G327" s="165" t="str">
        <f>DBCS(IF(【マスター】!D143="","",【マスター】!F143))</f>
        <v/>
      </c>
      <c r="H327" s="166" t="str">
        <f>DBCS(IF(【マスター】!D143="","",【マスター】!G143))</f>
        <v/>
      </c>
      <c r="I327" s="165" t="str">
        <f>DBCS(IF(【マスター】!D143="","",【マスター】!H143))</f>
        <v/>
      </c>
      <c r="J327" s="166" t="str">
        <f>DBCS(IF(【マスター】!D143="","",【マスター】!I143))</f>
        <v/>
      </c>
      <c r="K327" s="165" t="str">
        <f>DBCS(IF(【マスター】!D143="","",【マスター】!J143))</f>
        <v/>
      </c>
      <c r="L327" s="31" t="str">
        <f>IF(【マスター】!D143=0,"","改訂")</f>
        <v/>
      </c>
      <c r="M327" s="3"/>
      <c r="N327" s="3"/>
      <c r="O327" s="3"/>
      <c r="P327" s="31"/>
    </row>
    <row r="328" spans="5:16" ht="15" customHeight="1">
      <c r="E328" s="165" t="str">
        <f>DBCS(【マスター】!D144)</f>
        <v/>
      </c>
      <c r="F328" s="166" t="str">
        <f>DBCS(IF(【マスター】!D144="","",【マスター】!E144))</f>
        <v/>
      </c>
      <c r="G328" s="165" t="str">
        <f>DBCS(IF(【マスター】!D144="","",【マスター】!F144))</f>
        <v/>
      </c>
      <c r="H328" s="166" t="str">
        <f>DBCS(IF(【マスター】!D144="","",【マスター】!G144))</f>
        <v/>
      </c>
      <c r="I328" s="165" t="str">
        <f>DBCS(IF(【マスター】!D144="","",【マスター】!H144))</f>
        <v/>
      </c>
      <c r="J328" s="166" t="str">
        <f>DBCS(IF(【マスター】!D144="","",【マスター】!I144))</f>
        <v/>
      </c>
      <c r="K328" s="165" t="str">
        <f>DBCS(IF(【マスター】!D144="","",【マスター】!J144))</f>
        <v/>
      </c>
      <c r="L328" s="31" t="str">
        <f>IF(【マスター】!D144=0,"","改訂")</f>
        <v/>
      </c>
      <c r="M328" s="3"/>
      <c r="N328" s="3"/>
      <c r="O328" s="3"/>
    </row>
    <row r="329" spans="5:16" ht="15" customHeight="1">
      <c r="E329" s="165" t="str">
        <f>DBCS(【マスター】!D145)</f>
        <v/>
      </c>
      <c r="F329" s="166" t="str">
        <f>DBCS(IF(【マスター】!D145="","",【マスター】!E145))</f>
        <v/>
      </c>
      <c r="G329" s="165" t="str">
        <f>DBCS(IF(【マスター】!D145="","",【マスター】!F145))</f>
        <v/>
      </c>
      <c r="H329" s="166" t="str">
        <f>DBCS(IF(【マスター】!D145="","",【マスター】!G145))</f>
        <v/>
      </c>
      <c r="I329" s="165" t="str">
        <f>DBCS(IF(【マスター】!D145="","",【マスター】!H145))</f>
        <v/>
      </c>
      <c r="J329" s="166" t="str">
        <f>DBCS(IF(【マスター】!D145="","",【マスター】!I145))</f>
        <v/>
      </c>
      <c r="K329" s="165" t="str">
        <f>DBCS(IF(【マスター】!D145="","",【マスター】!J145))</f>
        <v/>
      </c>
      <c r="L329" s="31" t="str">
        <f>IF(【マスター】!D145=0,"","改訂")</f>
        <v/>
      </c>
      <c r="M329" s="3"/>
      <c r="N329" s="3"/>
      <c r="O329" s="3"/>
    </row>
    <row r="330" spans="5:16" ht="15" customHeight="1">
      <c r="E330" s="165" t="str">
        <f>DBCS(【マスター】!D146)</f>
        <v/>
      </c>
      <c r="F330" s="166" t="str">
        <f>DBCS(IF(【マスター】!D146="","",【マスター】!E146))</f>
        <v/>
      </c>
      <c r="G330" s="165" t="str">
        <f>DBCS(IF(【マスター】!D146="","",【マスター】!F146))</f>
        <v/>
      </c>
      <c r="H330" s="166" t="str">
        <f>DBCS(IF(【マスター】!D146="","",【マスター】!G146))</f>
        <v/>
      </c>
      <c r="I330" s="165" t="str">
        <f>DBCS(IF(【マスター】!D146="","",【マスター】!H146))</f>
        <v/>
      </c>
      <c r="J330" s="166" t="str">
        <f>DBCS(IF(【マスター】!D146="","",【マスター】!I146))</f>
        <v/>
      </c>
      <c r="K330" s="165" t="str">
        <f>DBCS(IF(【マスター】!D146="","",【マスター】!J146))</f>
        <v/>
      </c>
      <c r="L330" s="31" t="str">
        <f>IF(【マスター】!D146=0,"","改訂")</f>
        <v/>
      </c>
      <c r="M330" s="3"/>
      <c r="N330" s="3"/>
      <c r="O330" s="3"/>
    </row>
    <row r="331" spans="5:16" ht="15" customHeight="1">
      <c r="E331" s="165" t="str">
        <f>DBCS(【マスター】!D147)</f>
        <v/>
      </c>
      <c r="F331" s="166" t="str">
        <f>DBCS(IF(【マスター】!D147="","",【マスター】!E147))</f>
        <v/>
      </c>
      <c r="G331" s="165" t="str">
        <f>DBCS(IF(【マスター】!D147="","",【マスター】!F147))</f>
        <v/>
      </c>
      <c r="H331" s="166" t="str">
        <f>DBCS(IF(【マスター】!D147="","",【マスター】!G147))</f>
        <v/>
      </c>
      <c r="I331" s="165" t="str">
        <f>DBCS(IF(【マスター】!D147="","",【マスター】!H147))</f>
        <v/>
      </c>
      <c r="J331" s="166" t="str">
        <f>DBCS(IF(【マスター】!D147="","",【マスター】!I147))</f>
        <v/>
      </c>
      <c r="K331" s="165" t="str">
        <f>DBCS(IF(【マスター】!D147="","",【マスター】!J147))</f>
        <v/>
      </c>
      <c r="L331" s="31" t="str">
        <f>IF(【マスター】!D147=0,"","改訂")</f>
        <v/>
      </c>
      <c r="M331" s="3"/>
      <c r="N331" s="3"/>
      <c r="O331" s="3"/>
    </row>
    <row r="332" spans="5:16" ht="15" customHeight="1">
      <c r="E332" s="165" t="str">
        <f>DBCS(【マスター】!D148)</f>
        <v/>
      </c>
      <c r="F332" s="166" t="str">
        <f>DBCS(IF(【マスター】!D148="","",【マスター】!E148))</f>
        <v/>
      </c>
      <c r="G332" s="165" t="str">
        <f>DBCS(IF(【マスター】!D148="","",【マスター】!F148))</f>
        <v/>
      </c>
      <c r="H332" s="166" t="str">
        <f>DBCS(IF(【マスター】!D148="","",【マスター】!G148))</f>
        <v/>
      </c>
      <c r="I332" s="165" t="str">
        <f>DBCS(IF(【マスター】!D148="","",【マスター】!H148))</f>
        <v/>
      </c>
      <c r="J332" s="166" t="str">
        <f>DBCS(IF(【マスター】!D148="","",【マスター】!I148))</f>
        <v/>
      </c>
      <c r="K332" s="165" t="str">
        <f>DBCS(IF(【マスター】!D148="","",【マスター】!J148))</f>
        <v/>
      </c>
      <c r="L332" s="31" t="str">
        <f>IF(【マスター】!D148=0,"","改訂")</f>
        <v/>
      </c>
      <c r="M332" s="3"/>
      <c r="N332" s="3"/>
      <c r="O332" s="3"/>
    </row>
  </sheetData>
  <sheetProtection selectLockedCells="1"/>
  <mergeCells count="112">
    <mergeCell ref="W260:W262"/>
    <mergeCell ref="A2:T3"/>
    <mergeCell ref="A4:T5"/>
    <mergeCell ref="B269:C269"/>
    <mergeCell ref="C160:T162"/>
    <mergeCell ref="C124:T126"/>
    <mergeCell ref="C130:T130"/>
    <mergeCell ref="C139:T141"/>
    <mergeCell ref="C142:T143"/>
    <mergeCell ref="C144:T146"/>
    <mergeCell ref="C147:T148"/>
    <mergeCell ref="C149:T151"/>
    <mergeCell ref="C152:T153"/>
    <mergeCell ref="C156:T156"/>
    <mergeCell ref="D157:S157"/>
    <mergeCell ref="C132:T133"/>
    <mergeCell ref="B56:C56"/>
    <mergeCell ref="D58:T59"/>
    <mergeCell ref="C202:T202"/>
    <mergeCell ref="C165:T165"/>
    <mergeCell ref="C166:T167"/>
    <mergeCell ref="C168:T170"/>
    <mergeCell ref="C171:T172"/>
    <mergeCell ref="C175:T176"/>
    <mergeCell ref="C271:T274"/>
    <mergeCell ref="C275:T276"/>
    <mergeCell ref="C277:T278"/>
    <mergeCell ref="B268:C268"/>
    <mergeCell ref="C203:T203"/>
    <mergeCell ref="C206:T208"/>
    <mergeCell ref="C209:T211"/>
    <mergeCell ref="C214:T215"/>
    <mergeCell ref="B216:C216"/>
    <mergeCell ref="B217:C217"/>
    <mergeCell ref="B218:C218"/>
    <mergeCell ref="C219:T221"/>
    <mergeCell ref="C224:T226"/>
    <mergeCell ref="C227:T230"/>
    <mergeCell ref="C266:T267"/>
    <mergeCell ref="C253:T256"/>
    <mergeCell ref="B270:C270"/>
    <mergeCell ref="C260:T263"/>
    <mergeCell ref="C233:T234"/>
    <mergeCell ref="C235:T236"/>
    <mergeCell ref="C238:T239"/>
    <mergeCell ref="C240:T241"/>
    <mergeCell ref="C242:T243"/>
    <mergeCell ref="C244:T245"/>
    <mergeCell ref="C8:T8"/>
    <mergeCell ref="C11:T15"/>
    <mergeCell ref="C16:T17"/>
    <mergeCell ref="C18:T19"/>
    <mergeCell ref="C20:T22"/>
    <mergeCell ref="C23:T26"/>
    <mergeCell ref="C27:T29"/>
    <mergeCell ref="C32:T32"/>
    <mergeCell ref="D54:T55"/>
    <mergeCell ref="B34:C34"/>
    <mergeCell ref="D34:E34"/>
    <mergeCell ref="F34:T34"/>
    <mergeCell ref="C37:T37"/>
    <mergeCell ref="B38:C38"/>
    <mergeCell ref="D39:T41"/>
    <mergeCell ref="B42:C42"/>
    <mergeCell ref="D44:T47"/>
    <mergeCell ref="B48:C48"/>
    <mergeCell ref="D50:T51"/>
    <mergeCell ref="B52:C52"/>
    <mergeCell ref="C281:T281"/>
    <mergeCell ref="C282:T282"/>
    <mergeCell ref="C283:T283"/>
    <mergeCell ref="C284:T285"/>
    <mergeCell ref="B33:C33"/>
    <mergeCell ref="D33:E33"/>
    <mergeCell ref="F33:T33"/>
    <mergeCell ref="B91:C91"/>
    <mergeCell ref="B63:C63"/>
    <mergeCell ref="B64:C64"/>
    <mergeCell ref="B65:C65"/>
    <mergeCell ref="C74:T77"/>
    <mergeCell ref="B78:C78"/>
    <mergeCell ref="B81:C81"/>
    <mergeCell ref="D82:T83"/>
    <mergeCell ref="B85:C85"/>
    <mergeCell ref="D87:T87"/>
    <mergeCell ref="B88:C88"/>
    <mergeCell ref="D89:T90"/>
    <mergeCell ref="B66:C66"/>
    <mergeCell ref="C184:T185"/>
    <mergeCell ref="C186:T187"/>
    <mergeCell ref="C188:T189"/>
    <mergeCell ref="J66:T66"/>
    <mergeCell ref="C246:T248"/>
    <mergeCell ref="C249:T250"/>
    <mergeCell ref="C192:T193"/>
    <mergeCell ref="C194:T196"/>
    <mergeCell ref="H134:I134"/>
    <mergeCell ref="H135:I135"/>
    <mergeCell ref="C120:T121"/>
    <mergeCell ref="C127:T127"/>
    <mergeCell ref="C199:T201"/>
    <mergeCell ref="C114:T117"/>
    <mergeCell ref="C118:T119"/>
    <mergeCell ref="D92:T94"/>
    <mergeCell ref="D95:T96"/>
    <mergeCell ref="B97:C97"/>
    <mergeCell ref="D98:T99"/>
    <mergeCell ref="B101:C101"/>
    <mergeCell ref="D102:T103"/>
    <mergeCell ref="C106:T108"/>
    <mergeCell ref="C109:T110"/>
    <mergeCell ref="C111:T111"/>
  </mergeCells>
  <phoneticPr fontId="16"/>
  <printOptions horizontalCentered="1"/>
  <pageMargins left="0.59055118110236227" right="0.59055118110236227" top="0.59055118110236227" bottom="0.39370078740157483" header="0.31496062992125984" footer="0.19685039370078741"/>
  <pageSetup paperSize="9" scale="94" fitToHeight="0" orientation="portrait" r:id="rId1"/>
  <headerFooter>
    <oddFooter>&amp;L【地域密着型通所介護】</oddFooter>
  </headerFooter>
  <rowBreaks count="5" manualBreakCount="5">
    <brk id="47" max="19" man="1"/>
    <brk id="100" max="19" man="1"/>
    <brk id="146" max="19" man="1"/>
    <brk id="197" max="19" man="1"/>
    <brk id="248" max="1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3">
    <tabColor rgb="FFFFFF00"/>
    <pageSetUpPr fitToPage="1"/>
  </sheetPr>
  <dimension ref="A1:AO131"/>
  <sheetViews>
    <sheetView view="pageBreakPreview" zoomScaleNormal="100" zoomScaleSheetLayoutView="100" workbookViewId="0">
      <selection activeCell="O4" sqref="O4"/>
    </sheetView>
  </sheetViews>
  <sheetFormatPr defaultColWidth="9" defaultRowHeight="12"/>
  <cols>
    <col min="1" max="1" width="4.625" style="63" customWidth="1"/>
    <col min="2" max="3" width="4.625" style="77" customWidth="1"/>
    <col min="4" max="30" width="4.625" style="63" customWidth="1"/>
    <col min="31" max="16384" width="9" style="63"/>
  </cols>
  <sheetData>
    <row r="1" spans="1:20" s="64" customFormat="1" ht="15" customHeight="1">
      <c r="A1" s="69"/>
      <c r="B1" s="69"/>
      <c r="C1" s="69"/>
      <c r="D1" s="69"/>
      <c r="E1" s="69"/>
      <c r="F1" s="69"/>
      <c r="G1" s="69"/>
      <c r="H1" s="69"/>
      <c r="I1" s="69"/>
      <c r="J1" s="69"/>
      <c r="K1" s="69"/>
      <c r="L1" s="69"/>
      <c r="M1" s="69"/>
      <c r="N1" s="69"/>
      <c r="O1" s="69"/>
      <c r="P1" s="69"/>
      <c r="Q1" s="69"/>
      <c r="R1" s="69"/>
      <c r="S1" s="69"/>
      <c r="T1" s="70"/>
    </row>
    <row r="2" spans="1:20" ht="15" customHeight="1">
      <c r="A2" s="2150" t="s">
        <v>871</v>
      </c>
      <c r="B2" s="2150"/>
      <c r="C2" s="2150"/>
      <c r="D2" s="2150"/>
      <c r="E2" s="2150"/>
      <c r="F2" s="2150"/>
      <c r="G2" s="2150"/>
      <c r="H2" s="2150"/>
      <c r="I2" s="2150"/>
      <c r="J2" s="2150"/>
      <c r="K2" s="2150"/>
      <c r="L2" s="2150"/>
      <c r="M2" s="2150"/>
      <c r="N2" s="2150"/>
      <c r="O2" s="2150"/>
      <c r="P2" s="2150"/>
      <c r="Q2" s="2150"/>
      <c r="R2" s="2150"/>
      <c r="S2" s="2150"/>
      <c r="T2" s="2150"/>
    </row>
    <row r="3" spans="1:20" ht="15" customHeight="1">
      <c r="A3" s="2150"/>
      <c r="B3" s="2150"/>
      <c r="C3" s="2150"/>
      <c r="D3" s="2150"/>
      <c r="E3" s="2150"/>
      <c r="F3" s="2150"/>
      <c r="G3" s="2150"/>
      <c r="H3" s="2150"/>
      <c r="I3" s="2150"/>
      <c r="J3" s="2150"/>
      <c r="K3" s="2150"/>
      <c r="L3" s="2150"/>
      <c r="M3" s="2150"/>
      <c r="N3" s="2150"/>
      <c r="O3" s="2150"/>
      <c r="P3" s="2150"/>
      <c r="Q3" s="2150"/>
      <c r="R3" s="2150"/>
      <c r="S3" s="2150"/>
      <c r="T3" s="2150"/>
    </row>
    <row r="4" spans="1:20" s="64" customFormat="1" ht="15" customHeight="1">
      <c r="A4" s="64" t="s">
        <v>1319</v>
      </c>
      <c r="B4" s="65"/>
      <c r="C4" s="65"/>
    </row>
    <row r="5" spans="1:20" s="64" customFormat="1" ht="15" customHeight="1">
      <c r="B5" s="1303" t="str">
        <f>"　"&amp;【マスター】!C22&amp;"が開設する"&amp;【マスター】!C7&amp;"(以下「事業所」という。）が行う介護サポートサービスの事業（以下「事業」という。）の適正な運営を確保するために人員及び管理運営に関する事項を定め、事業所毎に置くべき従業者（以下「介護サポートサービス従業者」という。）が、要介護状態にある高齢者に対し、適正な指定介護サポートサービスを提供することを目的とします。"</f>
        <v>　株式会社ケアサポートが開設するデイサービスさくら亭(以下「事業所」という。）が行う介護サポートサービスの事業（以下「事業」という。）の適正な運営を確保するために人員及び管理運営に関する事項を定め、事業所毎に置くべき従業者（以下「介護サポートサービス従業者」という。）が、要介護状態にある高齢者に対し、適正な指定介護サポートサービスを提供することを目的とします。</v>
      </c>
      <c r="C5" s="1303"/>
      <c r="D5" s="1303"/>
      <c r="E5" s="1303"/>
      <c r="F5" s="1303"/>
      <c r="G5" s="1303"/>
      <c r="H5" s="1303"/>
      <c r="I5" s="1303"/>
      <c r="J5" s="1303"/>
      <c r="K5" s="1303"/>
      <c r="L5" s="1303"/>
      <c r="M5" s="1303"/>
      <c r="N5" s="1303"/>
      <c r="O5" s="1303"/>
      <c r="P5" s="1303"/>
      <c r="Q5" s="1303"/>
      <c r="R5" s="1303"/>
      <c r="S5" s="1303"/>
      <c r="T5" s="1303"/>
    </row>
    <row r="6" spans="1:20" s="64" customFormat="1" ht="15" customHeight="1">
      <c r="B6" s="1303"/>
      <c r="C6" s="1303"/>
      <c r="D6" s="1303"/>
      <c r="E6" s="1303"/>
      <c r="F6" s="1303"/>
      <c r="G6" s="1303"/>
      <c r="H6" s="1303"/>
      <c r="I6" s="1303"/>
      <c r="J6" s="1303"/>
      <c r="K6" s="1303"/>
      <c r="L6" s="1303"/>
      <c r="M6" s="1303"/>
      <c r="N6" s="1303"/>
      <c r="O6" s="1303"/>
      <c r="P6" s="1303"/>
      <c r="Q6" s="1303"/>
      <c r="R6" s="1303"/>
      <c r="S6" s="1303"/>
      <c r="T6" s="1303"/>
    </row>
    <row r="7" spans="1:20" s="64" customFormat="1" ht="15" customHeight="1">
      <c r="B7" s="1303"/>
      <c r="C7" s="1303"/>
      <c r="D7" s="1303"/>
      <c r="E7" s="1303"/>
      <c r="F7" s="1303"/>
      <c r="G7" s="1303"/>
      <c r="H7" s="1303"/>
      <c r="I7" s="1303"/>
      <c r="J7" s="1303"/>
      <c r="K7" s="1303"/>
      <c r="L7" s="1303"/>
      <c r="M7" s="1303"/>
      <c r="N7" s="1303"/>
      <c r="O7" s="1303"/>
      <c r="P7" s="1303"/>
      <c r="Q7" s="1303"/>
      <c r="R7" s="1303"/>
      <c r="S7" s="1303"/>
      <c r="T7" s="1303"/>
    </row>
    <row r="8" spans="1:20" s="64" customFormat="1" ht="15" customHeight="1">
      <c r="B8" s="1303"/>
      <c r="C8" s="1303"/>
      <c r="D8" s="1303"/>
      <c r="E8" s="1303"/>
      <c r="F8" s="1303"/>
      <c r="G8" s="1303"/>
      <c r="H8" s="1303"/>
      <c r="I8" s="1303"/>
      <c r="J8" s="1303"/>
      <c r="K8" s="1303"/>
      <c r="L8" s="1303"/>
      <c r="M8" s="1303"/>
      <c r="N8" s="1303"/>
      <c r="O8" s="1303"/>
      <c r="P8" s="1303"/>
      <c r="Q8" s="1303"/>
      <c r="R8" s="1303"/>
      <c r="S8" s="1303"/>
      <c r="T8" s="1303"/>
    </row>
    <row r="9" spans="1:20" s="64" customFormat="1" ht="15" customHeight="1">
      <c r="A9" s="64" t="s">
        <v>1320</v>
      </c>
      <c r="B9" s="65"/>
      <c r="C9" s="65"/>
    </row>
    <row r="10" spans="1:20" s="64" customFormat="1" ht="15" customHeight="1">
      <c r="B10" s="1303" t="s">
        <v>1507</v>
      </c>
      <c r="C10" s="1303"/>
      <c r="D10" s="1303"/>
      <c r="E10" s="1303"/>
      <c r="F10" s="1303"/>
      <c r="G10" s="1303"/>
      <c r="H10" s="1303"/>
      <c r="I10" s="1303"/>
      <c r="J10" s="1303"/>
      <c r="K10" s="1303"/>
      <c r="L10" s="1303"/>
      <c r="M10" s="1303"/>
      <c r="N10" s="1303"/>
      <c r="O10" s="1303"/>
      <c r="P10" s="1303"/>
      <c r="Q10" s="1303"/>
      <c r="R10" s="1303"/>
      <c r="S10" s="1303"/>
      <c r="T10" s="1303"/>
    </row>
    <row r="11" spans="1:20" s="64" customFormat="1" ht="15" customHeight="1">
      <c r="B11" s="1303"/>
      <c r="C11" s="1303"/>
      <c r="D11" s="1303"/>
      <c r="E11" s="1303"/>
      <c r="F11" s="1303"/>
      <c r="G11" s="1303"/>
      <c r="H11" s="1303"/>
      <c r="I11" s="1303"/>
      <c r="J11" s="1303"/>
      <c r="K11" s="1303"/>
      <c r="L11" s="1303"/>
      <c r="M11" s="1303"/>
      <c r="N11" s="1303"/>
      <c r="O11" s="1303"/>
      <c r="P11" s="1303"/>
      <c r="Q11" s="1303"/>
      <c r="R11" s="1303"/>
      <c r="S11" s="1303"/>
      <c r="T11" s="1303"/>
    </row>
    <row r="12" spans="1:20" s="64" customFormat="1" ht="15" customHeight="1">
      <c r="B12" s="1303"/>
      <c r="C12" s="1303"/>
      <c r="D12" s="1303"/>
      <c r="E12" s="1303"/>
      <c r="F12" s="1303"/>
      <c r="G12" s="1303"/>
      <c r="H12" s="1303"/>
      <c r="I12" s="1303"/>
      <c r="J12" s="1303"/>
      <c r="K12" s="1303"/>
      <c r="L12" s="1303"/>
      <c r="M12" s="1303"/>
      <c r="N12" s="1303"/>
      <c r="O12" s="1303"/>
      <c r="P12" s="1303"/>
      <c r="Q12" s="1303"/>
      <c r="R12" s="1303"/>
      <c r="S12" s="1303"/>
      <c r="T12" s="1303"/>
    </row>
    <row r="13" spans="1:20" s="64" customFormat="1" ht="15" customHeight="1">
      <c r="B13" s="1303"/>
      <c r="C13" s="1303"/>
      <c r="D13" s="1303"/>
      <c r="E13" s="1303"/>
      <c r="F13" s="1303"/>
      <c r="G13" s="1303"/>
      <c r="H13" s="1303"/>
      <c r="I13" s="1303"/>
      <c r="J13" s="1303"/>
      <c r="K13" s="1303"/>
      <c r="L13" s="1303"/>
      <c r="M13" s="1303"/>
      <c r="N13" s="1303"/>
      <c r="O13" s="1303"/>
      <c r="P13" s="1303"/>
      <c r="Q13" s="1303"/>
      <c r="R13" s="1303"/>
      <c r="S13" s="1303"/>
      <c r="T13" s="1303"/>
    </row>
    <row r="14" spans="1:20" s="64" customFormat="1" ht="15" customHeight="1">
      <c r="B14" s="1303" t="s">
        <v>1508</v>
      </c>
      <c r="C14" s="1303"/>
      <c r="D14" s="1303"/>
      <c r="E14" s="1303"/>
      <c r="F14" s="1303"/>
      <c r="G14" s="1303"/>
      <c r="H14" s="1303"/>
      <c r="I14" s="1303"/>
      <c r="J14" s="1303"/>
      <c r="K14" s="1303"/>
      <c r="L14" s="1303"/>
      <c r="M14" s="1303"/>
      <c r="N14" s="1303"/>
      <c r="O14" s="1303"/>
      <c r="P14" s="1303"/>
      <c r="Q14" s="1303"/>
      <c r="R14" s="1303"/>
      <c r="S14" s="1303"/>
      <c r="T14" s="1303"/>
    </row>
    <row r="15" spans="1:20" s="64" customFormat="1" ht="15" customHeight="1">
      <c r="B15" s="1303"/>
      <c r="C15" s="1303"/>
      <c r="D15" s="1303"/>
      <c r="E15" s="1303"/>
      <c r="F15" s="1303"/>
      <c r="G15" s="1303"/>
      <c r="H15" s="1303"/>
      <c r="I15" s="1303"/>
      <c r="J15" s="1303"/>
      <c r="K15" s="1303"/>
      <c r="L15" s="1303"/>
      <c r="M15" s="1303"/>
      <c r="N15" s="1303"/>
      <c r="O15" s="1303"/>
      <c r="P15" s="1303"/>
      <c r="Q15" s="1303"/>
      <c r="R15" s="1303"/>
      <c r="S15" s="1303"/>
      <c r="T15" s="1303"/>
    </row>
    <row r="16" spans="1:20" s="64" customFormat="1" ht="15" customHeight="1">
      <c r="B16" s="1303"/>
      <c r="C16" s="1303"/>
      <c r="D16" s="1303"/>
      <c r="E16" s="1303"/>
      <c r="F16" s="1303"/>
      <c r="G16" s="1303"/>
      <c r="H16" s="1303"/>
      <c r="I16" s="1303"/>
      <c r="J16" s="1303"/>
      <c r="K16" s="1303"/>
      <c r="L16" s="1303"/>
      <c r="M16" s="1303"/>
      <c r="N16" s="1303"/>
      <c r="O16" s="1303"/>
      <c r="P16" s="1303"/>
      <c r="Q16" s="1303"/>
      <c r="R16" s="1303"/>
      <c r="S16" s="1303"/>
      <c r="T16" s="1303"/>
    </row>
    <row r="17" spans="1:20" s="64" customFormat="1" ht="15" customHeight="1">
      <c r="A17" s="64" t="s">
        <v>1322</v>
      </c>
      <c r="B17" s="65"/>
      <c r="C17" s="65"/>
    </row>
    <row r="18" spans="1:20" s="64" customFormat="1" ht="15" customHeight="1">
      <c r="A18" s="63" t="s">
        <v>1509</v>
      </c>
      <c r="B18" s="77"/>
      <c r="C18" s="77"/>
      <c r="D18" s="63"/>
      <c r="E18" s="63"/>
      <c r="F18" s="63"/>
      <c r="G18" s="63"/>
      <c r="H18" s="63"/>
      <c r="I18" s="63"/>
      <c r="J18" s="63"/>
      <c r="K18" s="63"/>
      <c r="L18" s="63"/>
      <c r="M18" s="63"/>
      <c r="N18" s="63"/>
      <c r="O18" s="63"/>
      <c r="P18" s="63"/>
      <c r="Q18" s="63"/>
      <c r="R18" s="63"/>
      <c r="S18" s="63"/>
      <c r="T18" s="63"/>
    </row>
    <row r="19" spans="1:20" s="64" customFormat="1" ht="15" customHeight="1">
      <c r="A19" s="78"/>
      <c r="B19" s="2039" t="s">
        <v>312</v>
      </c>
      <c r="C19" s="2039"/>
      <c r="D19" s="2039"/>
      <c r="E19" s="2039"/>
      <c r="F19" s="2039"/>
      <c r="G19" s="79"/>
      <c r="H19" s="2027" t="str">
        <f>IF(【マスター】!C22="","",【マスター】!C22)</f>
        <v>株式会社ケアサポート</v>
      </c>
      <c r="I19" s="2028"/>
      <c r="J19" s="2028"/>
      <c r="K19" s="2028"/>
      <c r="L19" s="2028"/>
      <c r="M19" s="2028"/>
      <c r="N19" s="2028"/>
      <c r="O19" s="2028"/>
      <c r="P19" s="2028"/>
      <c r="Q19" s="2028" t="s">
        <v>313</v>
      </c>
      <c r="R19" s="2028"/>
      <c r="S19" s="2028"/>
      <c r="T19" s="2029"/>
    </row>
    <row r="20" spans="1:20" s="64" customFormat="1" ht="15" customHeight="1">
      <c r="A20" s="78"/>
      <c r="B20" s="2039" t="s">
        <v>314</v>
      </c>
      <c r="C20" s="2039"/>
      <c r="D20" s="2039"/>
      <c r="E20" s="2039"/>
      <c r="F20" s="2039"/>
      <c r="G20" s="82"/>
      <c r="H20" s="2047" t="str">
        <f>""&amp;【マスター】!C26&amp;"  "&amp;【マスター】!I26&amp;""</f>
        <v>代表取締役  本多 康夫</v>
      </c>
      <c r="I20" s="2048"/>
      <c r="J20" s="2048"/>
      <c r="K20" s="2048"/>
      <c r="L20" s="2048"/>
      <c r="M20" s="2048"/>
      <c r="N20" s="2048"/>
      <c r="O20" s="2048"/>
      <c r="P20" s="2048"/>
      <c r="Q20" s="2048"/>
      <c r="R20" s="2048"/>
      <c r="S20" s="2048"/>
      <c r="T20" s="2049"/>
    </row>
    <row r="21" spans="1:20" s="64" customFormat="1" ht="15" customHeight="1">
      <c r="A21" s="476"/>
      <c r="B21" s="2051" t="s">
        <v>315</v>
      </c>
      <c r="C21" s="2051"/>
      <c r="D21" s="2051"/>
      <c r="E21" s="2051"/>
      <c r="F21" s="2051"/>
      <c r="G21" s="475"/>
      <c r="H21" s="2054" t="s">
        <v>316</v>
      </c>
      <c r="I21" s="2055"/>
      <c r="J21" s="2055"/>
      <c r="K21" s="2056" t="str">
        <f>DBCS(【マスター】!F23&amp;" "&amp;【マスター】!C24)</f>
        <v>愛知県豊川市大堀町２９３番地　</v>
      </c>
      <c r="L21" s="2056"/>
      <c r="M21" s="2056"/>
      <c r="N21" s="2056"/>
      <c r="O21" s="2056"/>
      <c r="P21" s="2056"/>
      <c r="Q21" s="2056"/>
      <c r="R21" s="2056"/>
      <c r="S21" s="2056"/>
      <c r="T21" s="2057"/>
    </row>
    <row r="22" spans="1:20" s="64" customFormat="1" ht="15" customHeight="1">
      <c r="A22" s="80"/>
      <c r="B22" s="2053"/>
      <c r="C22" s="2053"/>
      <c r="D22" s="2053"/>
      <c r="E22" s="2053"/>
      <c r="F22" s="2053"/>
      <c r="G22" s="81"/>
      <c r="H22" s="2058" t="s">
        <v>317</v>
      </c>
      <c r="I22" s="2059"/>
      <c r="J22" s="2059"/>
      <c r="K22" s="1248" t="str">
        <f>DBCS(【マスター】!C25)</f>
        <v>０５３３－６５－８７０２</v>
      </c>
      <c r="L22" s="1248"/>
      <c r="M22" s="1248"/>
      <c r="N22" s="1248"/>
      <c r="O22" s="1248"/>
      <c r="P22" s="1248"/>
      <c r="Q22" s="1248"/>
      <c r="R22" s="1248"/>
      <c r="S22" s="1248"/>
      <c r="T22" s="1249"/>
    </row>
    <row r="23" spans="1:20" s="64" customFormat="1" ht="15" customHeight="1">
      <c r="A23" s="216"/>
      <c r="B23" s="2063"/>
      <c r="C23" s="2063"/>
      <c r="D23" s="2063"/>
      <c r="E23" s="2063"/>
      <c r="F23" s="2063"/>
      <c r="G23" s="213"/>
      <c r="H23" s="2060" t="s">
        <v>318</v>
      </c>
      <c r="I23" s="2061"/>
      <c r="J23" s="2061"/>
      <c r="K23" s="1250" t="str">
        <f>DBCS(【マスター】!I25)</f>
        <v>０５３３－６５－８７０３</v>
      </c>
      <c r="L23" s="1250"/>
      <c r="M23" s="1250"/>
      <c r="N23" s="1250"/>
      <c r="O23" s="1250"/>
      <c r="P23" s="1250"/>
      <c r="Q23" s="1250"/>
      <c r="R23" s="1250"/>
      <c r="S23" s="1250"/>
      <c r="T23" s="1251"/>
    </row>
    <row r="24" spans="1:20" s="64" customFormat="1" ht="15" customHeight="1">
      <c r="A24" s="77" t="s">
        <v>1510</v>
      </c>
      <c r="B24" s="63"/>
      <c r="C24" s="77"/>
      <c r="D24" s="63"/>
      <c r="E24" s="63"/>
      <c r="F24" s="63"/>
      <c r="G24" s="63"/>
      <c r="H24" s="63"/>
      <c r="I24" s="63"/>
      <c r="J24" s="63"/>
      <c r="K24" s="63"/>
      <c r="L24" s="63"/>
      <c r="M24" s="63"/>
      <c r="N24" s="63"/>
      <c r="O24" s="63"/>
      <c r="P24" s="63"/>
      <c r="Q24" s="63"/>
      <c r="R24" s="63"/>
      <c r="S24" s="63"/>
      <c r="T24" s="63"/>
    </row>
    <row r="25" spans="1:20" s="64" customFormat="1" ht="15" customHeight="1">
      <c r="A25" s="78"/>
      <c r="B25" s="2039" t="s">
        <v>78</v>
      </c>
      <c r="C25" s="2039"/>
      <c r="D25" s="2039"/>
      <c r="E25" s="2039"/>
      <c r="F25" s="2039"/>
      <c r="G25" s="79"/>
      <c r="H25" s="2052" t="str">
        <f>IF(【マスター】!C7="","",【マスター】!C7)</f>
        <v>デイサービスさくら亭</v>
      </c>
      <c r="I25" s="2052"/>
      <c r="J25" s="2052"/>
      <c r="K25" s="2052"/>
      <c r="L25" s="2052"/>
      <c r="M25" s="2052"/>
      <c r="N25" s="2052"/>
      <c r="O25" s="2052"/>
      <c r="P25" s="2052"/>
      <c r="Q25" s="2052"/>
      <c r="R25" s="2052"/>
      <c r="S25" s="2052"/>
      <c r="T25" s="2052"/>
    </row>
    <row r="26" spans="1:20" s="64" customFormat="1" ht="15" customHeight="1">
      <c r="A26" s="476"/>
      <c r="B26" s="2051" t="s">
        <v>315</v>
      </c>
      <c r="C26" s="2051"/>
      <c r="D26" s="2051"/>
      <c r="E26" s="2051"/>
      <c r="F26" s="2051"/>
      <c r="G26" s="475"/>
      <c r="H26" s="2054" t="s">
        <v>316</v>
      </c>
      <c r="I26" s="2055"/>
      <c r="J26" s="2055"/>
      <c r="K26" s="2056" t="str">
        <f>DBCS(【マスター】!F8&amp;【マスター】!C9)</f>
        <v>愛知県豊橋市東田中郷町１１番</v>
      </c>
      <c r="L26" s="2056"/>
      <c r="M26" s="2056"/>
      <c r="N26" s="2056"/>
      <c r="O26" s="2056"/>
      <c r="P26" s="2056"/>
      <c r="Q26" s="2056"/>
      <c r="R26" s="2056"/>
      <c r="S26" s="2056"/>
      <c r="T26" s="2057"/>
    </row>
    <row r="27" spans="1:20" s="64" customFormat="1" ht="15" customHeight="1">
      <c r="A27" s="80"/>
      <c r="B27" s="2053"/>
      <c r="C27" s="2053"/>
      <c r="D27" s="2053"/>
      <c r="E27" s="2053"/>
      <c r="F27" s="2053"/>
      <c r="G27" s="81"/>
      <c r="H27" s="2058" t="s">
        <v>317</v>
      </c>
      <c r="I27" s="2059"/>
      <c r="J27" s="2059"/>
      <c r="K27" s="1248" t="str">
        <f>DBCS(【マスター】!C10)</f>
        <v>０５３２－３９－７８５５</v>
      </c>
      <c r="L27" s="1248"/>
      <c r="M27" s="1248"/>
      <c r="N27" s="1248"/>
      <c r="O27" s="1248"/>
      <c r="P27" s="1248"/>
      <c r="Q27" s="1248"/>
      <c r="R27" s="1248"/>
      <c r="S27" s="1248"/>
      <c r="T27" s="1249"/>
    </row>
    <row r="28" spans="1:20" s="64" customFormat="1" ht="15" customHeight="1">
      <c r="A28" s="80"/>
      <c r="B28" s="2053"/>
      <c r="C28" s="2053"/>
      <c r="D28" s="2053"/>
      <c r="E28" s="2053"/>
      <c r="F28" s="2053"/>
      <c r="G28" s="81"/>
      <c r="H28" s="2060" t="s">
        <v>318</v>
      </c>
      <c r="I28" s="2061"/>
      <c r="J28" s="2061"/>
      <c r="K28" s="1250" t="str">
        <f>DBCS(【マスター】!I10)</f>
        <v>０５３２－３９－７８５６</v>
      </c>
      <c r="L28" s="1250"/>
      <c r="M28" s="1250"/>
      <c r="N28" s="1250"/>
      <c r="O28" s="1250"/>
      <c r="P28" s="1250"/>
      <c r="Q28" s="1250"/>
      <c r="R28" s="1250"/>
      <c r="S28" s="1250"/>
      <c r="T28" s="1251"/>
    </row>
    <row r="29" spans="1:20" s="64" customFormat="1" ht="15" customHeight="1">
      <c r="A29" s="78"/>
      <c r="B29" s="2039" t="s">
        <v>322</v>
      </c>
      <c r="C29" s="2039"/>
      <c r="D29" s="2039"/>
      <c r="E29" s="2039"/>
      <c r="F29" s="2039"/>
      <c r="G29" s="82"/>
      <c r="H29" s="2062" t="str">
        <f>IF(【マスター】!C21="","",【マスター】!C21)</f>
        <v>小久保　幾生</v>
      </c>
      <c r="I29" s="2062"/>
      <c r="J29" s="2062"/>
      <c r="K29" s="2062"/>
      <c r="L29" s="2062"/>
      <c r="M29" s="2062"/>
      <c r="N29" s="2062"/>
      <c r="O29" s="2062"/>
      <c r="P29" s="2062"/>
      <c r="Q29" s="2062"/>
      <c r="R29" s="2062"/>
      <c r="S29" s="2062"/>
      <c r="T29" s="2062"/>
    </row>
    <row r="30" spans="1:20" s="64" customFormat="1" ht="15" customHeight="1">
      <c r="A30" s="77" t="s">
        <v>354</v>
      </c>
      <c r="B30" s="63"/>
      <c r="C30" s="217"/>
      <c r="D30" s="217"/>
      <c r="E30" s="217"/>
      <c r="F30" s="217"/>
      <c r="G30" s="217"/>
      <c r="H30" s="217"/>
      <c r="I30" s="217"/>
      <c r="J30" s="217"/>
      <c r="K30" s="217"/>
      <c r="L30" s="217"/>
      <c r="M30" s="217"/>
      <c r="N30" s="217"/>
      <c r="O30" s="217"/>
      <c r="P30" s="217"/>
      <c r="Q30" s="217"/>
      <c r="R30" s="217"/>
      <c r="S30" s="217"/>
      <c r="T30" s="217"/>
    </row>
    <row r="31" spans="1:20" s="64" customFormat="1" ht="15" customHeight="1">
      <c r="A31" s="476"/>
      <c r="B31" s="2051" t="s">
        <v>355</v>
      </c>
      <c r="C31" s="2051"/>
      <c r="D31" s="2051"/>
      <c r="E31" s="2051"/>
      <c r="F31" s="2051"/>
      <c r="G31" s="475"/>
      <c r="H31" s="2045" t="str">
        <f>【マスター】!K16</f>
        <v>月曜日～日曜日（祝日を含む）</v>
      </c>
      <c r="I31" s="1219"/>
      <c r="J31" s="1219"/>
      <c r="K31" s="1219"/>
      <c r="L31" s="1219"/>
      <c r="M31" s="1219"/>
      <c r="N31" s="1219"/>
      <c r="O31" s="217"/>
      <c r="P31" s="217"/>
      <c r="Q31" s="217"/>
      <c r="R31" s="217"/>
      <c r="S31" s="217"/>
      <c r="T31" s="217"/>
    </row>
    <row r="32" spans="1:20" s="64" customFormat="1" ht="15" customHeight="1">
      <c r="A32" s="78"/>
      <c r="B32" s="2039" t="s">
        <v>357</v>
      </c>
      <c r="C32" s="2039"/>
      <c r="D32" s="2039"/>
      <c r="E32" s="2039"/>
      <c r="F32" s="2039"/>
      <c r="G32" s="79"/>
      <c r="H32" s="2094" t="s">
        <v>875</v>
      </c>
      <c r="I32" s="2095"/>
      <c r="J32" s="2095"/>
      <c r="K32" s="2095"/>
      <c r="L32" s="2095"/>
      <c r="M32" s="2095"/>
      <c r="N32" s="2096"/>
      <c r="O32" s="217"/>
      <c r="P32" s="217"/>
      <c r="Q32" s="217"/>
      <c r="R32" s="217"/>
      <c r="S32" s="217"/>
      <c r="T32" s="217"/>
    </row>
    <row r="33" spans="1:20" s="64" customFormat="1" ht="15" customHeight="1">
      <c r="A33" s="63" t="s">
        <v>1511</v>
      </c>
      <c r="B33" s="77"/>
      <c r="C33" s="77"/>
      <c r="D33" s="63"/>
      <c r="E33" s="63"/>
      <c r="F33" s="63"/>
      <c r="G33" s="63"/>
      <c r="H33" s="63"/>
      <c r="I33" s="63"/>
      <c r="J33" s="63"/>
      <c r="K33" s="63"/>
      <c r="L33" s="63"/>
      <c r="M33" s="63"/>
      <c r="N33" s="63"/>
      <c r="O33" s="63"/>
      <c r="P33" s="63"/>
      <c r="Q33" s="63"/>
      <c r="R33" s="63"/>
      <c r="S33" s="63"/>
      <c r="T33" s="63"/>
    </row>
    <row r="34" spans="1:20" s="31" customFormat="1" ht="15" customHeight="1">
      <c r="A34" s="2169" t="s">
        <v>361</v>
      </c>
      <c r="B34" s="2170"/>
      <c r="C34" s="2171"/>
      <c r="D34" s="2173" t="s">
        <v>877</v>
      </c>
      <c r="E34" s="2174"/>
      <c r="F34" s="2174"/>
      <c r="G34" s="2174"/>
      <c r="H34" s="2174"/>
      <c r="I34" s="2174"/>
      <c r="J34" s="2174"/>
      <c r="K34" s="2174"/>
      <c r="L34" s="2175"/>
      <c r="M34" s="2174" t="s">
        <v>362</v>
      </c>
      <c r="N34" s="2174"/>
      <c r="O34" s="2174"/>
      <c r="P34" s="2174"/>
      <c r="Q34" s="2174"/>
      <c r="R34" s="2174"/>
      <c r="S34" s="2174"/>
      <c r="T34" s="2175"/>
    </row>
    <row r="35" spans="1:20" s="31" customFormat="1" ht="15" customHeight="1">
      <c r="A35" s="2117"/>
      <c r="B35" s="2118"/>
      <c r="C35" s="2172"/>
      <c r="D35" s="2176"/>
      <c r="E35" s="2177"/>
      <c r="F35" s="2177"/>
      <c r="G35" s="2177"/>
      <c r="H35" s="2177"/>
      <c r="I35" s="2177"/>
      <c r="J35" s="2177"/>
      <c r="K35" s="2177"/>
      <c r="L35" s="2178"/>
      <c r="M35" s="2177"/>
      <c r="N35" s="2177"/>
      <c r="O35" s="2177"/>
      <c r="P35" s="2177"/>
      <c r="Q35" s="2177"/>
      <c r="R35" s="2177"/>
      <c r="S35" s="2177"/>
      <c r="T35" s="2178"/>
    </row>
    <row r="36" spans="1:20" s="31" customFormat="1" ht="15" customHeight="1">
      <c r="A36" s="2153" t="s">
        <v>878</v>
      </c>
      <c r="B36" s="2154"/>
      <c r="C36" s="2155"/>
      <c r="D36" s="2129" t="str">
        <f>DBCS(""&amp;【マスター】!K43&amp;"円/時間")</f>
        <v>２００円／時間</v>
      </c>
      <c r="E36" s="2130"/>
      <c r="F36" s="2130"/>
      <c r="G36" s="2130"/>
      <c r="H36" s="2130"/>
      <c r="I36" s="2130"/>
      <c r="J36" s="2130"/>
      <c r="K36" s="2130"/>
      <c r="L36" s="2131"/>
      <c r="M36" s="1300" t="str">
        <f>DBCS("保険外通所介護サービス提供時間（"&amp;【マスター】!I13&amp;【マスター】!J13&amp;【マスター】!K13&amp;"）前後の時間帯、及び、通所介護契約書に基づく通所介護サービス提供時間（"&amp;【マスター】!I13&amp;【マスター】!J13&amp;【マスター】!K13&amp;"）前後の時間帯にサービスを提供させていただきます。")</f>
        <v>保険外通所介護サービス提供時間（９：３０～１７：３０）前後の時間帯、及び、通所介護契約書に基づく通所介護サービス提供時間（９：３０～１７：３０）前後の時間帯にサービスを提供させていただきます。</v>
      </c>
      <c r="N36" s="1300"/>
      <c r="O36" s="1300"/>
      <c r="P36" s="1300"/>
      <c r="Q36" s="1300"/>
      <c r="R36" s="1300"/>
      <c r="S36" s="1300"/>
      <c r="T36" s="1301"/>
    </row>
    <row r="37" spans="1:20" s="31" customFormat="1" ht="15" customHeight="1">
      <c r="A37" s="2162"/>
      <c r="B37" s="2157"/>
      <c r="C37" s="2158"/>
      <c r="D37" s="2132"/>
      <c r="E37" s="2133"/>
      <c r="F37" s="2133"/>
      <c r="G37" s="2133"/>
      <c r="H37" s="2133"/>
      <c r="I37" s="2133"/>
      <c r="J37" s="2133"/>
      <c r="K37" s="2133"/>
      <c r="L37" s="2134"/>
      <c r="M37" s="1303"/>
      <c r="N37" s="1303"/>
      <c r="O37" s="1303"/>
      <c r="P37" s="1303"/>
      <c r="Q37" s="1303"/>
      <c r="R37" s="1303"/>
      <c r="S37" s="1303"/>
      <c r="T37" s="1304"/>
    </row>
    <row r="38" spans="1:20" s="31" customFormat="1" ht="15" customHeight="1">
      <c r="A38" s="2162"/>
      <c r="B38" s="2157"/>
      <c r="C38" s="2158"/>
      <c r="D38" s="2132" t="s">
        <v>1706</v>
      </c>
      <c r="E38" s="2133"/>
      <c r="F38" s="2133"/>
      <c r="G38" s="2133"/>
      <c r="H38" s="2133"/>
      <c r="I38" s="2133"/>
      <c r="J38" s="2133"/>
      <c r="K38" s="2133"/>
      <c r="L38" s="2134"/>
      <c r="M38" s="1303"/>
      <c r="N38" s="1303"/>
      <c r="O38" s="1303"/>
      <c r="P38" s="1303"/>
      <c r="Q38" s="1303"/>
      <c r="R38" s="1303"/>
      <c r="S38" s="1303"/>
      <c r="T38" s="1304"/>
    </row>
    <row r="39" spans="1:20" s="31" customFormat="1" ht="15" customHeight="1">
      <c r="A39" s="2162"/>
      <c r="B39" s="2157"/>
      <c r="C39" s="2158"/>
      <c r="D39" s="2132"/>
      <c r="E39" s="2133"/>
      <c r="F39" s="2133"/>
      <c r="G39" s="2133"/>
      <c r="H39" s="2133"/>
      <c r="I39" s="2133"/>
      <c r="J39" s="2133"/>
      <c r="K39" s="2133"/>
      <c r="L39" s="2134"/>
      <c r="M39" s="1303"/>
      <c r="N39" s="1303"/>
      <c r="O39" s="1303"/>
      <c r="P39" s="1303"/>
      <c r="Q39" s="1303"/>
      <c r="R39" s="1303"/>
      <c r="S39" s="1303"/>
      <c r="T39" s="1304"/>
    </row>
    <row r="40" spans="1:20" s="31" customFormat="1" ht="15" customHeight="1">
      <c r="A40" s="2162"/>
      <c r="B40" s="2157"/>
      <c r="C40" s="2158"/>
      <c r="D40" s="2135"/>
      <c r="E40" s="2136"/>
      <c r="F40" s="2136"/>
      <c r="G40" s="2136"/>
      <c r="H40" s="2136"/>
      <c r="I40" s="2136"/>
      <c r="J40" s="2136"/>
      <c r="K40" s="2136"/>
      <c r="L40" s="2137"/>
      <c r="M40" s="1303"/>
      <c r="N40" s="1303"/>
      <c r="O40" s="1303"/>
      <c r="P40" s="1303"/>
      <c r="Q40" s="1303"/>
      <c r="R40" s="1303"/>
      <c r="S40" s="1303"/>
      <c r="T40" s="1304"/>
    </row>
    <row r="41" spans="1:20" s="31" customFormat="1" ht="15" customHeight="1">
      <c r="A41" s="2153" t="s">
        <v>879</v>
      </c>
      <c r="B41" s="2154"/>
      <c r="C41" s="2155"/>
      <c r="D41" s="2072" t="str">
        <f>DBCS(""&amp;【マスター】!K44&amp;"円/食")</f>
        <v>５００円／食</v>
      </c>
      <c r="E41" s="2072"/>
      <c r="F41" s="2072"/>
      <c r="G41" s="2072"/>
      <c r="H41" s="2072"/>
      <c r="I41" s="2072"/>
      <c r="J41" s="2072"/>
      <c r="K41" s="2072"/>
      <c r="L41" s="2072"/>
      <c r="M41" s="1300" t="s">
        <v>880</v>
      </c>
      <c r="N41" s="1300"/>
      <c r="O41" s="1300"/>
      <c r="P41" s="1300"/>
      <c r="Q41" s="1300"/>
      <c r="R41" s="1300"/>
      <c r="S41" s="1300"/>
      <c r="T41" s="1301"/>
    </row>
    <row r="42" spans="1:20" s="31" customFormat="1" ht="15" customHeight="1">
      <c r="A42" s="2162"/>
      <c r="B42" s="2157"/>
      <c r="C42" s="2158"/>
      <c r="D42" s="2072"/>
      <c r="E42" s="2072"/>
      <c r="F42" s="2072"/>
      <c r="G42" s="2072"/>
      <c r="H42" s="2072"/>
      <c r="I42" s="2072"/>
      <c r="J42" s="2072"/>
      <c r="K42" s="2072"/>
      <c r="L42" s="2072"/>
      <c r="M42" s="1303"/>
      <c r="N42" s="1303"/>
      <c r="O42" s="1303"/>
      <c r="P42" s="1303"/>
      <c r="Q42" s="1303"/>
      <c r="R42" s="1303"/>
      <c r="S42" s="1303"/>
      <c r="T42" s="1304"/>
    </row>
    <row r="43" spans="1:20" s="31" customFormat="1" ht="15" customHeight="1">
      <c r="A43" s="2159"/>
      <c r="B43" s="2160"/>
      <c r="C43" s="2161"/>
      <c r="D43" s="2072"/>
      <c r="E43" s="2072"/>
      <c r="F43" s="2072"/>
      <c r="G43" s="2072"/>
      <c r="H43" s="2072"/>
      <c r="I43" s="2072"/>
      <c r="J43" s="2072"/>
      <c r="K43" s="2072"/>
      <c r="L43" s="2072"/>
      <c r="M43" s="1306"/>
      <c r="N43" s="1306"/>
      <c r="O43" s="1306"/>
      <c r="P43" s="1306"/>
      <c r="Q43" s="1306"/>
      <c r="R43" s="1306"/>
      <c r="S43" s="1306"/>
      <c r="T43" s="1307"/>
    </row>
    <row r="44" spans="1:20" s="31" customFormat="1" ht="15" customHeight="1">
      <c r="A44" s="2153" t="s">
        <v>881</v>
      </c>
      <c r="B44" s="2154"/>
      <c r="C44" s="2155"/>
      <c r="D44" s="2072" t="str">
        <f>DBCS(""&amp;【マスター】!K45&amp;"円/食")</f>
        <v>５７０円／食</v>
      </c>
      <c r="E44" s="2072"/>
      <c r="F44" s="2072"/>
      <c r="G44" s="2072"/>
      <c r="H44" s="2072"/>
      <c r="I44" s="2072"/>
      <c r="J44" s="2072"/>
      <c r="K44" s="2072"/>
      <c r="L44" s="2072"/>
      <c r="M44" s="1300" t="s">
        <v>882</v>
      </c>
      <c r="N44" s="1300"/>
      <c r="O44" s="1300"/>
      <c r="P44" s="1300"/>
      <c r="Q44" s="1300"/>
      <c r="R44" s="1300"/>
      <c r="S44" s="1300"/>
      <c r="T44" s="1301"/>
    </row>
    <row r="45" spans="1:20" s="31" customFormat="1" ht="15" customHeight="1">
      <c r="A45" s="2156"/>
      <c r="B45" s="2157"/>
      <c r="C45" s="2158"/>
      <c r="D45" s="2072"/>
      <c r="E45" s="2072"/>
      <c r="F45" s="2072"/>
      <c r="G45" s="2072"/>
      <c r="H45" s="2072"/>
      <c r="I45" s="2072"/>
      <c r="J45" s="2072"/>
      <c r="K45" s="2072"/>
      <c r="L45" s="2072"/>
      <c r="M45" s="1303"/>
      <c r="N45" s="1303"/>
      <c r="O45" s="1303"/>
      <c r="P45" s="1303"/>
      <c r="Q45" s="1303"/>
      <c r="R45" s="1303"/>
      <c r="S45" s="1303"/>
      <c r="T45" s="1304"/>
    </row>
    <row r="46" spans="1:20" s="31" customFormat="1" ht="15" customHeight="1">
      <c r="A46" s="2159"/>
      <c r="B46" s="2160"/>
      <c r="C46" s="2161"/>
      <c r="D46" s="2072"/>
      <c r="E46" s="2072"/>
      <c r="F46" s="2072"/>
      <c r="G46" s="2072"/>
      <c r="H46" s="2072"/>
      <c r="I46" s="2072"/>
      <c r="J46" s="2072"/>
      <c r="K46" s="2072"/>
      <c r="L46" s="2072"/>
      <c r="M46" s="1306"/>
      <c r="N46" s="1306"/>
      <c r="O46" s="1306"/>
      <c r="P46" s="1306"/>
      <c r="Q46" s="1306"/>
      <c r="R46" s="1306"/>
      <c r="S46" s="1306"/>
      <c r="T46" s="1307"/>
    </row>
    <row r="47" spans="1:20" s="31" customFormat="1" ht="15" customHeight="1">
      <c r="A47" s="2153" t="s">
        <v>883</v>
      </c>
      <c r="B47" s="2154"/>
      <c r="C47" s="2155"/>
      <c r="D47" s="2054" t="str">
        <f>DBCS(""&amp;【マスター】!K46&amp;"円/食")</f>
        <v>６３０円／食</v>
      </c>
      <c r="E47" s="2055"/>
      <c r="F47" s="2055"/>
      <c r="G47" s="2055"/>
      <c r="H47" s="2055"/>
      <c r="I47" s="2055"/>
      <c r="J47" s="2055"/>
      <c r="K47" s="2055"/>
      <c r="L47" s="2073"/>
      <c r="M47" s="1299" t="s">
        <v>884</v>
      </c>
      <c r="N47" s="1300"/>
      <c r="O47" s="1300"/>
      <c r="P47" s="1300"/>
      <c r="Q47" s="1300"/>
      <c r="R47" s="1300"/>
      <c r="S47" s="1300"/>
      <c r="T47" s="1301"/>
    </row>
    <row r="48" spans="1:20" s="31" customFormat="1" ht="15" customHeight="1">
      <c r="A48" s="2156"/>
      <c r="B48" s="2157"/>
      <c r="C48" s="2158"/>
      <c r="D48" s="2058"/>
      <c r="E48" s="2059"/>
      <c r="F48" s="2059"/>
      <c r="G48" s="2059"/>
      <c r="H48" s="2059"/>
      <c r="I48" s="2059"/>
      <c r="J48" s="2059"/>
      <c r="K48" s="2059"/>
      <c r="L48" s="2074"/>
      <c r="M48" s="1302"/>
      <c r="N48" s="1303"/>
      <c r="O48" s="1303"/>
      <c r="P48" s="1303"/>
      <c r="Q48" s="1303"/>
      <c r="R48" s="1303"/>
      <c r="S48" s="1303"/>
      <c r="T48" s="1304"/>
    </row>
    <row r="49" spans="1:22" s="31" customFormat="1" ht="15" customHeight="1">
      <c r="A49" s="2159"/>
      <c r="B49" s="2160"/>
      <c r="C49" s="2161"/>
      <c r="D49" s="2075"/>
      <c r="E49" s="2076"/>
      <c r="F49" s="2076"/>
      <c r="G49" s="2076"/>
      <c r="H49" s="2076"/>
      <c r="I49" s="2076"/>
      <c r="J49" s="2076"/>
      <c r="K49" s="2076"/>
      <c r="L49" s="2077"/>
      <c r="M49" s="1305"/>
      <c r="N49" s="1306"/>
      <c r="O49" s="1306"/>
      <c r="P49" s="1306"/>
      <c r="Q49" s="1306"/>
      <c r="R49" s="1306"/>
      <c r="S49" s="1306"/>
      <c r="T49" s="1307"/>
    </row>
    <row r="50" spans="1:22" s="31" customFormat="1" ht="15" customHeight="1">
      <c r="A50" s="2153" t="s">
        <v>885</v>
      </c>
      <c r="B50" s="2154"/>
      <c r="C50" s="2155"/>
      <c r="D50" s="586"/>
      <c r="E50" s="587" t="s">
        <v>268</v>
      </c>
      <c r="F50" s="588"/>
      <c r="G50" s="589"/>
      <c r="H50" s="2164" t="str">
        <f>DBCS(""&amp;【マスター】!K47&amp;"円/枚")</f>
        <v>１００円／枚</v>
      </c>
      <c r="I50" s="2164"/>
      <c r="J50" s="2164"/>
      <c r="K50" s="2164"/>
      <c r="L50" s="590"/>
      <c r="M50" s="1300" t="str">
        <f>DBCS(IF(【マスター】!C74="有","保険外通所介護サービス提供時間（"&amp;【マスター】!I13&amp;【マスター】!J13&amp;【マスター】!K13&amp;"）前後の時間帯、及び地域密着型通所介護契約書に基づく地域密着型通所介護サービス利用時（"&amp;【マスター】!I13&amp;【マスター】!J13&amp;"延長加算算定時間終了）前後の時間帯に事業所のおむつを使用した場合に算定されます。","保険外通所介護サービス提供時間（"&amp;【マスター】!I13&amp;【マスター】!J13&amp;【マスター】!K13&amp;"）前後の時間帯、及び地域密着型通所介護契約書に基づく地域密着型通所介護サービス利用時（"&amp;【マスター】!I13&amp;【マスター】!J13&amp;【マスター】!K13&amp;"）前後の時間帯に事業所のおむつを使用した場合に算定されます。"))</f>
        <v>保険外通所介護サービス提供時間（９：３０～１７：３０）前後の時間帯、及び地域密着型通所介護契約書に基づく地域密着型通所介護サービス利用時（９：３０～１７：３０）前後の時間帯に事業所のおむつを使用した場合に算定されます。</v>
      </c>
      <c r="N50" s="1300"/>
      <c r="O50" s="1300"/>
      <c r="P50" s="1300"/>
      <c r="Q50" s="1300"/>
      <c r="R50" s="1300"/>
      <c r="S50" s="1300"/>
      <c r="T50" s="1301"/>
    </row>
    <row r="51" spans="1:22" s="31" customFormat="1" ht="15" customHeight="1">
      <c r="A51" s="2162"/>
      <c r="B51" s="2157"/>
      <c r="C51" s="2158"/>
      <c r="D51" s="591"/>
      <c r="E51" s="592" t="s">
        <v>886</v>
      </c>
      <c r="F51" s="593"/>
      <c r="G51" s="594"/>
      <c r="H51" s="2151"/>
      <c r="I51" s="2151"/>
      <c r="J51" s="2151"/>
      <c r="K51" s="2151"/>
      <c r="L51" s="595"/>
      <c r="M51" s="1303"/>
      <c r="N51" s="1303"/>
      <c r="O51" s="1303"/>
      <c r="P51" s="1303"/>
      <c r="Q51" s="1303"/>
      <c r="R51" s="1303"/>
      <c r="S51" s="1303"/>
      <c r="T51" s="1304"/>
      <c r="V51" s="751" t="s">
        <v>1905</v>
      </c>
    </row>
    <row r="52" spans="1:22" s="31" customFormat="1" ht="15" customHeight="1">
      <c r="A52" s="2162"/>
      <c r="B52" s="2157"/>
      <c r="C52" s="2158"/>
      <c r="D52" s="591"/>
      <c r="E52" s="592"/>
      <c r="F52" s="593"/>
      <c r="G52" s="594"/>
      <c r="H52" s="576"/>
      <c r="I52" s="576"/>
      <c r="J52" s="576"/>
      <c r="K52" s="576"/>
      <c r="L52" s="595"/>
      <c r="M52" s="1303"/>
      <c r="N52" s="1303"/>
      <c r="O52" s="1303"/>
      <c r="P52" s="1303"/>
      <c r="Q52" s="1303"/>
      <c r="R52" s="1303"/>
      <c r="S52" s="1303"/>
      <c r="T52" s="1304"/>
    </row>
    <row r="53" spans="1:22" s="31" customFormat="1" ht="15" customHeight="1">
      <c r="A53" s="2162"/>
      <c r="B53" s="2157"/>
      <c r="C53" s="2158"/>
      <c r="D53" s="591"/>
      <c r="E53" s="592" t="s">
        <v>887</v>
      </c>
      <c r="F53" s="593"/>
      <c r="G53" s="594"/>
      <c r="H53" s="2151" t="str">
        <f>DBCS(""&amp;【マスター】!K48&amp;"円/枚")</f>
        <v>５０円／枚</v>
      </c>
      <c r="I53" s="2151"/>
      <c r="J53" s="2151"/>
      <c r="K53" s="2151"/>
      <c r="L53" s="595"/>
      <c r="M53" s="1303"/>
      <c r="N53" s="1303"/>
      <c r="O53" s="1303"/>
      <c r="P53" s="1303"/>
      <c r="Q53" s="1303"/>
      <c r="R53" s="1303"/>
      <c r="S53" s="1303"/>
      <c r="T53" s="1304"/>
      <c r="V53" s="751" t="s">
        <v>1905</v>
      </c>
    </row>
    <row r="54" spans="1:22" s="31" customFormat="1" ht="15" customHeight="1">
      <c r="A54" s="2163"/>
      <c r="B54" s="2160"/>
      <c r="C54" s="2161"/>
      <c r="D54" s="596"/>
      <c r="E54" s="597"/>
      <c r="F54" s="598"/>
      <c r="G54" s="599"/>
      <c r="H54" s="2152"/>
      <c r="I54" s="2152"/>
      <c r="J54" s="2152"/>
      <c r="K54" s="2152"/>
      <c r="L54" s="600"/>
      <c r="M54" s="1306"/>
      <c r="N54" s="1306"/>
      <c r="O54" s="1306"/>
      <c r="P54" s="1306"/>
      <c r="Q54" s="1306"/>
      <c r="R54" s="1306"/>
      <c r="S54" s="1306"/>
      <c r="T54" s="1307"/>
    </row>
    <row r="55" spans="1:22" s="64" customFormat="1" ht="15" customHeight="1">
      <c r="A55" s="2179" t="s">
        <v>361</v>
      </c>
      <c r="B55" s="2154"/>
      <c r="C55" s="2155"/>
      <c r="D55" s="2138" t="s">
        <v>877</v>
      </c>
      <c r="E55" s="2139"/>
      <c r="F55" s="2139"/>
      <c r="G55" s="2139"/>
      <c r="H55" s="2139"/>
      <c r="I55" s="2139"/>
      <c r="J55" s="2139"/>
      <c r="K55" s="2139"/>
      <c r="L55" s="2140"/>
      <c r="M55" s="2174" t="s">
        <v>362</v>
      </c>
      <c r="N55" s="2174"/>
      <c r="O55" s="2174"/>
      <c r="P55" s="2174"/>
      <c r="Q55" s="2174"/>
      <c r="R55" s="2174"/>
      <c r="S55" s="2174"/>
      <c r="T55" s="2175"/>
    </row>
    <row r="56" spans="1:22" s="64" customFormat="1" ht="15" customHeight="1">
      <c r="A56" s="2159"/>
      <c r="B56" s="2160"/>
      <c r="C56" s="2161"/>
      <c r="D56" s="2141"/>
      <c r="E56" s="2142"/>
      <c r="F56" s="2142"/>
      <c r="G56" s="2142"/>
      <c r="H56" s="2142"/>
      <c r="I56" s="2142"/>
      <c r="J56" s="2142"/>
      <c r="K56" s="2142"/>
      <c r="L56" s="2143"/>
      <c r="M56" s="2177"/>
      <c r="N56" s="2177"/>
      <c r="O56" s="2177"/>
      <c r="P56" s="2177"/>
      <c r="Q56" s="2177"/>
      <c r="R56" s="2177"/>
      <c r="S56" s="2177"/>
      <c r="T56" s="2178"/>
    </row>
    <row r="57" spans="1:22" s="64" customFormat="1" ht="15" customHeight="1">
      <c r="A57" s="2153" t="s">
        <v>888</v>
      </c>
      <c r="B57" s="2154"/>
      <c r="C57" s="2155"/>
      <c r="D57" s="2165" t="s">
        <v>889</v>
      </c>
      <c r="E57" s="2165"/>
      <c r="F57" s="2165"/>
      <c r="G57" s="2165"/>
      <c r="H57" s="2165"/>
      <c r="I57" s="2165"/>
      <c r="J57" s="2165"/>
      <c r="K57" s="2165"/>
      <c r="L57" s="2165"/>
      <c r="M57" s="1299" t="str">
        <f>DBCS("介護保険外、実費での通所介護サービスです。１回あたり"&amp;【マスター】!I13&amp;【マスター】!J13&amp;【マスター】!K13&amp;"のご利用が可能です。
サービス提供時間（"&amp;【マスター】!I13&amp;【マスター】!J13&amp;【マスター】!K13&amp;"）前後の利用を希望される場合は、時間外サービス利用料が別途必要となります。")</f>
        <v>介護保険外、実費での通所介護サービスです。１回あたり９：３０～１７：３０のご利用が可能です。
サービス提供時間（９：３０～１７：３０）前後の利用を希望される場合は、時間外サービス利用料が別途必要となります。</v>
      </c>
      <c r="N57" s="1300"/>
      <c r="O57" s="1300"/>
      <c r="P57" s="1300"/>
      <c r="Q57" s="1300"/>
      <c r="R57" s="1300"/>
      <c r="S57" s="1300"/>
      <c r="T57" s="1301"/>
    </row>
    <row r="58" spans="1:22" s="64" customFormat="1" ht="15" customHeight="1">
      <c r="A58" s="2162"/>
      <c r="B58" s="2157"/>
      <c r="C58" s="2158"/>
      <c r="D58" s="2144" t="str">
        <f>DBCS(TEXT(【マスター】!K40,"＃＃＃,＃＃０"))&amp;"円/回"</f>
        <v>３，５００円/回</v>
      </c>
      <c r="E58" s="2145"/>
      <c r="F58" s="2145"/>
      <c r="G58" s="2145"/>
      <c r="H58" s="2145"/>
      <c r="I58" s="2145"/>
      <c r="J58" s="2145"/>
      <c r="K58" s="2145"/>
      <c r="L58" s="2146"/>
      <c r="M58" s="1302"/>
      <c r="N58" s="1303"/>
      <c r="O58" s="1303"/>
      <c r="P58" s="1303"/>
      <c r="Q58" s="1303"/>
      <c r="R58" s="1303"/>
      <c r="S58" s="1303"/>
      <c r="T58" s="1304"/>
    </row>
    <row r="59" spans="1:22" s="64" customFormat="1" ht="15" customHeight="1">
      <c r="A59" s="2162"/>
      <c r="B59" s="2157"/>
      <c r="C59" s="2158"/>
      <c r="D59" s="2147"/>
      <c r="E59" s="2148"/>
      <c r="F59" s="2148"/>
      <c r="G59" s="2148"/>
      <c r="H59" s="2148"/>
      <c r="I59" s="2148"/>
      <c r="J59" s="2148"/>
      <c r="K59" s="2148"/>
      <c r="L59" s="2149"/>
      <c r="M59" s="1302"/>
      <c r="N59" s="1303"/>
      <c r="O59" s="1303"/>
      <c r="P59" s="1303"/>
      <c r="Q59" s="1303"/>
      <c r="R59" s="1303"/>
      <c r="S59" s="1303"/>
      <c r="T59" s="1304"/>
    </row>
    <row r="60" spans="1:22" s="64" customFormat="1" ht="15" customHeight="1">
      <c r="A60" s="2156"/>
      <c r="B60" s="2157"/>
      <c r="C60" s="2158"/>
      <c r="D60" s="2166" t="s">
        <v>890</v>
      </c>
      <c r="E60" s="2167"/>
      <c r="F60" s="2167"/>
      <c r="G60" s="2167"/>
      <c r="H60" s="2167"/>
      <c r="I60" s="2167"/>
      <c r="J60" s="2167"/>
      <c r="K60" s="2167"/>
      <c r="L60" s="2168"/>
      <c r="M60" s="1302"/>
      <c r="N60" s="1303"/>
      <c r="O60" s="1303"/>
      <c r="P60" s="1303"/>
      <c r="Q60" s="1303"/>
      <c r="R60" s="1303"/>
      <c r="S60" s="1303"/>
      <c r="T60" s="1304"/>
    </row>
    <row r="61" spans="1:22" s="64" customFormat="1" ht="15" customHeight="1">
      <c r="A61" s="2156"/>
      <c r="B61" s="2157"/>
      <c r="C61" s="2158"/>
      <c r="D61" s="2144" t="str">
        <f>DBCS(TEXT(【マスター】!K41,"＃＃＃,＃＃０"))&amp;"円/回"</f>
        <v>３，５００円/回</v>
      </c>
      <c r="E61" s="2145"/>
      <c r="F61" s="2145"/>
      <c r="G61" s="2145"/>
      <c r="H61" s="2145"/>
      <c r="I61" s="2145"/>
      <c r="J61" s="2145"/>
      <c r="K61" s="2145"/>
      <c r="L61" s="2146"/>
      <c r="M61" s="1302"/>
      <c r="N61" s="1303"/>
      <c r="O61" s="1303"/>
      <c r="P61" s="1303"/>
      <c r="Q61" s="1303"/>
      <c r="R61" s="1303"/>
      <c r="S61" s="1303"/>
      <c r="T61" s="1304"/>
    </row>
    <row r="62" spans="1:22" s="64" customFormat="1" ht="15" customHeight="1">
      <c r="A62" s="2159"/>
      <c r="B62" s="2160"/>
      <c r="C62" s="2161"/>
      <c r="D62" s="2147"/>
      <c r="E62" s="2148"/>
      <c r="F62" s="2148"/>
      <c r="G62" s="2148"/>
      <c r="H62" s="2148"/>
      <c r="I62" s="2148"/>
      <c r="J62" s="2148"/>
      <c r="K62" s="2148"/>
      <c r="L62" s="2149"/>
      <c r="M62" s="1305"/>
      <c r="N62" s="1306"/>
      <c r="O62" s="1306"/>
      <c r="P62" s="1306"/>
      <c r="Q62" s="1306"/>
      <c r="R62" s="1306"/>
      <c r="S62" s="1306"/>
      <c r="T62" s="1307"/>
    </row>
    <row r="63" spans="1:22" s="64" customFormat="1" ht="17.100000000000001" customHeight="1">
      <c r="A63" s="2153" t="s">
        <v>891</v>
      </c>
      <c r="B63" s="2154"/>
      <c r="C63" s="2155"/>
      <c r="D63" s="2129" t="str">
        <f>DBCS(TEXT(【マスター】!K42,"＃＃＃,＃＃０"))&amp;"円/回"</f>
        <v>１，２００円/回</v>
      </c>
      <c r="E63" s="2130"/>
      <c r="F63" s="2130"/>
      <c r="G63" s="2130"/>
      <c r="H63" s="2130"/>
      <c r="I63" s="2130"/>
      <c r="J63" s="2130"/>
      <c r="K63" s="2130"/>
      <c r="L63" s="2131"/>
      <c r="M63" s="1300" t="str">
        <f>DBCS("お泊まりを利用される方の"&amp;【マスター】!I14&amp;【マスター】!J14&amp;【マスター】!K14
&amp;"までの夜間介護サービスを提供させていただきます。また原則、日中の通所介護サービスを利用した方のみ夜間サポートサービスは利用可能です。")</f>
        <v>お泊まりを利用される方の１７：３１～９：２９までの夜間介護サービスを提供させていただきます。また原則、日中の通所介護サービスを利用した方のみ夜間サポートサービスは利用可能です。</v>
      </c>
      <c r="N63" s="1300"/>
      <c r="O63" s="1300"/>
      <c r="P63" s="1300"/>
      <c r="Q63" s="1300"/>
      <c r="R63" s="1300"/>
      <c r="S63" s="1300"/>
      <c r="T63" s="1301"/>
    </row>
    <row r="64" spans="1:22" s="64" customFormat="1" ht="17.100000000000001" customHeight="1">
      <c r="A64" s="2162"/>
      <c r="B64" s="2157"/>
      <c r="C64" s="2158"/>
      <c r="D64" s="2132"/>
      <c r="E64" s="2133"/>
      <c r="F64" s="2133"/>
      <c r="G64" s="2133"/>
      <c r="H64" s="2133"/>
      <c r="I64" s="2133"/>
      <c r="J64" s="2133"/>
      <c r="K64" s="2133"/>
      <c r="L64" s="2134"/>
      <c r="M64" s="1303"/>
      <c r="N64" s="1303"/>
      <c r="O64" s="1303"/>
      <c r="P64" s="1303"/>
      <c r="Q64" s="1303"/>
      <c r="R64" s="1303"/>
      <c r="S64" s="1303"/>
      <c r="T64" s="1304"/>
    </row>
    <row r="65" spans="1:20" s="64" customFormat="1" ht="17.100000000000001" customHeight="1">
      <c r="A65" s="2162"/>
      <c r="B65" s="2157"/>
      <c r="C65" s="2158"/>
      <c r="D65" s="2132"/>
      <c r="E65" s="2133"/>
      <c r="F65" s="2133"/>
      <c r="G65" s="2133"/>
      <c r="H65" s="2133"/>
      <c r="I65" s="2133"/>
      <c r="J65" s="2133"/>
      <c r="K65" s="2133"/>
      <c r="L65" s="2134"/>
      <c r="M65" s="1303"/>
      <c r="N65" s="1303"/>
      <c r="O65" s="1303"/>
      <c r="P65" s="1303"/>
      <c r="Q65" s="1303"/>
      <c r="R65" s="1303"/>
      <c r="S65" s="1303"/>
      <c r="T65" s="1304"/>
    </row>
    <row r="66" spans="1:20" s="64" customFormat="1" ht="17.100000000000001" customHeight="1">
      <c r="A66" s="2162"/>
      <c r="B66" s="2157"/>
      <c r="C66" s="2158"/>
      <c r="D66" s="2135"/>
      <c r="E66" s="2136"/>
      <c r="F66" s="2136"/>
      <c r="G66" s="2136"/>
      <c r="H66" s="2136"/>
      <c r="I66" s="2136"/>
      <c r="J66" s="2136"/>
      <c r="K66" s="2136"/>
      <c r="L66" s="2137"/>
      <c r="M66" s="1306"/>
      <c r="N66" s="1306"/>
      <c r="O66" s="1306"/>
      <c r="P66" s="1306"/>
      <c r="Q66" s="1306"/>
      <c r="R66" s="1306"/>
      <c r="S66" s="1306"/>
      <c r="T66" s="1307"/>
    </row>
    <row r="67" spans="1:20" s="64" customFormat="1" ht="15" customHeight="1">
      <c r="A67" s="2153" t="s">
        <v>892</v>
      </c>
      <c r="B67" s="2180"/>
      <c r="C67" s="2181"/>
      <c r="D67" s="2186" t="str">
        <f>DBCS(TEXT(【マスター】!K49,"＃＃＃,＃＃０"))&amp;"円/時間"</f>
        <v>２００円/時間</v>
      </c>
      <c r="E67" s="2187"/>
      <c r="F67" s="2187"/>
      <c r="G67" s="2187"/>
      <c r="H67" s="2187"/>
      <c r="I67" s="2187"/>
      <c r="J67" s="2187"/>
      <c r="K67" s="2187"/>
      <c r="L67" s="2188"/>
      <c r="M67" s="2195" t="s">
        <v>1512</v>
      </c>
      <c r="N67" s="2196"/>
      <c r="O67" s="2196"/>
      <c r="P67" s="2196"/>
      <c r="Q67" s="2196"/>
      <c r="R67" s="2196"/>
      <c r="S67" s="2196"/>
      <c r="T67" s="2197"/>
    </row>
    <row r="68" spans="1:20" s="64" customFormat="1" ht="15" customHeight="1">
      <c r="A68" s="2162"/>
      <c r="B68" s="2182"/>
      <c r="C68" s="2183"/>
      <c r="D68" s="2189"/>
      <c r="E68" s="2190"/>
      <c r="F68" s="2190"/>
      <c r="G68" s="2190"/>
      <c r="H68" s="2190"/>
      <c r="I68" s="2190"/>
      <c r="J68" s="2190"/>
      <c r="K68" s="2190"/>
      <c r="L68" s="2191"/>
      <c r="M68" s="2198"/>
      <c r="N68" s="2199"/>
      <c r="O68" s="2199"/>
      <c r="P68" s="2199"/>
      <c r="Q68" s="2199"/>
      <c r="R68" s="2199"/>
      <c r="S68" s="2199"/>
      <c r="T68" s="2200"/>
    </row>
    <row r="69" spans="1:20" s="64" customFormat="1" ht="15" customHeight="1">
      <c r="A69" s="2162"/>
      <c r="B69" s="2182"/>
      <c r="C69" s="2183"/>
      <c r="D69" s="2132" t="s">
        <v>1709</v>
      </c>
      <c r="E69" s="2192"/>
      <c r="F69" s="2192"/>
      <c r="G69" s="2192"/>
      <c r="H69" s="2192"/>
      <c r="I69" s="2192"/>
      <c r="J69" s="2192"/>
      <c r="K69" s="2192"/>
      <c r="L69" s="2193"/>
      <c r="M69" s="2198"/>
      <c r="N69" s="2199"/>
      <c r="O69" s="2199"/>
      <c r="P69" s="2199"/>
      <c r="Q69" s="2199"/>
      <c r="R69" s="2199"/>
      <c r="S69" s="2199"/>
      <c r="T69" s="2200"/>
    </row>
    <row r="70" spans="1:20" s="64" customFormat="1" ht="15" customHeight="1">
      <c r="A70" s="2162"/>
      <c r="B70" s="2182"/>
      <c r="C70" s="2183"/>
      <c r="D70" s="2132"/>
      <c r="E70" s="2192"/>
      <c r="F70" s="2192"/>
      <c r="G70" s="2192"/>
      <c r="H70" s="2192"/>
      <c r="I70" s="2192"/>
      <c r="J70" s="2192"/>
      <c r="K70" s="2192"/>
      <c r="L70" s="2193"/>
      <c r="M70" s="2198"/>
      <c r="N70" s="2199"/>
      <c r="O70" s="2199"/>
      <c r="P70" s="2199"/>
      <c r="Q70" s="2199"/>
      <c r="R70" s="2199"/>
      <c r="S70" s="2199"/>
      <c r="T70" s="2200"/>
    </row>
    <row r="71" spans="1:20" s="64" customFormat="1" ht="15" customHeight="1">
      <c r="A71" s="2162"/>
      <c r="B71" s="2182"/>
      <c r="C71" s="2183"/>
      <c r="D71" s="2194"/>
      <c r="E71" s="2192"/>
      <c r="F71" s="2192"/>
      <c r="G71" s="2192"/>
      <c r="H71" s="2192"/>
      <c r="I71" s="2192"/>
      <c r="J71" s="2192"/>
      <c r="K71" s="2192"/>
      <c r="L71" s="2193"/>
      <c r="M71" s="2198"/>
      <c r="N71" s="2199"/>
      <c r="O71" s="2199"/>
      <c r="P71" s="2199"/>
      <c r="Q71" s="2199"/>
      <c r="R71" s="2199"/>
      <c r="S71" s="2199"/>
      <c r="T71" s="2200"/>
    </row>
    <row r="72" spans="1:20" s="64" customFormat="1" ht="15" customHeight="1">
      <c r="A72" s="2162"/>
      <c r="B72" s="2182"/>
      <c r="C72" s="2183"/>
      <c r="D72" s="2186" t="str">
        <f>DBCS(TEXT(【マスター】!K49/2,"＃＃＃,＃＃０"))&amp;"円/３０分"</f>
        <v>１００円/３０分</v>
      </c>
      <c r="E72" s="2187"/>
      <c r="F72" s="2187"/>
      <c r="G72" s="2187"/>
      <c r="H72" s="2187"/>
      <c r="I72" s="2187"/>
      <c r="J72" s="2187"/>
      <c r="K72" s="2187"/>
      <c r="L72" s="2188"/>
      <c r="M72" s="2198"/>
      <c r="N72" s="2199"/>
      <c r="O72" s="2199"/>
      <c r="P72" s="2199"/>
      <c r="Q72" s="2199"/>
      <c r="R72" s="2199"/>
      <c r="S72" s="2199"/>
      <c r="T72" s="2200"/>
    </row>
    <row r="73" spans="1:20" s="64" customFormat="1" ht="15" customHeight="1">
      <c r="A73" s="2162"/>
      <c r="B73" s="2182"/>
      <c r="C73" s="2183"/>
      <c r="D73" s="2189"/>
      <c r="E73" s="2190"/>
      <c r="F73" s="2190"/>
      <c r="G73" s="2190"/>
      <c r="H73" s="2190"/>
      <c r="I73" s="2190"/>
      <c r="J73" s="2190"/>
      <c r="K73" s="2190"/>
      <c r="L73" s="2191"/>
      <c r="M73" s="2198"/>
      <c r="N73" s="2199"/>
      <c r="O73" s="2199"/>
      <c r="P73" s="2199"/>
      <c r="Q73" s="2199"/>
      <c r="R73" s="2199"/>
      <c r="S73" s="2199"/>
      <c r="T73" s="2200"/>
    </row>
    <row r="74" spans="1:20" s="64" customFormat="1" ht="15" customHeight="1">
      <c r="A74" s="2162"/>
      <c r="B74" s="2182"/>
      <c r="C74" s="2183"/>
      <c r="D74" s="2132" t="s">
        <v>1710</v>
      </c>
      <c r="E74" s="2192"/>
      <c r="F74" s="2192"/>
      <c r="G74" s="2192"/>
      <c r="H74" s="2192"/>
      <c r="I74" s="2192"/>
      <c r="J74" s="2192"/>
      <c r="K74" s="2192"/>
      <c r="L74" s="2193"/>
      <c r="M74" s="2198"/>
      <c r="N74" s="2199"/>
      <c r="O74" s="2199"/>
      <c r="P74" s="2199"/>
      <c r="Q74" s="2199"/>
      <c r="R74" s="2199"/>
      <c r="S74" s="2199"/>
      <c r="T74" s="2200"/>
    </row>
    <row r="75" spans="1:20" s="64" customFormat="1" ht="15" customHeight="1">
      <c r="A75" s="2162"/>
      <c r="B75" s="2182"/>
      <c r="C75" s="2183"/>
      <c r="D75" s="2194"/>
      <c r="E75" s="2192"/>
      <c r="F75" s="2192"/>
      <c r="G75" s="2192"/>
      <c r="H75" s="2192"/>
      <c r="I75" s="2192"/>
      <c r="J75" s="2192"/>
      <c r="K75" s="2192"/>
      <c r="L75" s="2193"/>
      <c r="M75" s="2198"/>
      <c r="N75" s="2199"/>
      <c r="O75" s="2199"/>
      <c r="P75" s="2199"/>
      <c r="Q75" s="2199"/>
      <c r="R75" s="2199"/>
      <c r="S75" s="2199"/>
      <c r="T75" s="2200"/>
    </row>
    <row r="76" spans="1:20" s="64" customFormat="1" ht="15" customHeight="1">
      <c r="A76" s="2163"/>
      <c r="B76" s="2184"/>
      <c r="C76" s="2185"/>
      <c r="D76" s="2141"/>
      <c r="E76" s="2142"/>
      <c r="F76" s="2142"/>
      <c r="G76" s="2142"/>
      <c r="H76" s="2142"/>
      <c r="I76" s="2142"/>
      <c r="J76" s="2142"/>
      <c r="K76" s="2142"/>
      <c r="L76" s="2143"/>
      <c r="M76" s="2201"/>
      <c r="N76" s="2202"/>
      <c r="O76" s="2202"/>
      <c r="P76" s="2202"/>
      <c r="Q76" s="2202"/>
      <c r="R76" s="2202"/>
      <c r="S76" s="2202"/>
      <c r="T76" s="2203"/>
    </row>
    <row r="77" spans="1:20" s="64" customFormat="1" ht="15" customHeight="1">
      <c r="A77" s="547"/>
      <c r="B77" s="547"/>
      <c r="C77" s="547"/>
      <c r="D77" s="70"/>
      <c r="E77" s="70"/>
      <c r="F77" s="70"/>
      <c r="G77" s="70"/>
      <c r="H77" s="70"/>
      <c r="I77" s="70"/>
      <c r="J77" s="70"/>
      <c r="K77" s="70"/>
      <c r="L77" s="70"/>
      <c r="M77" s="546"/>
      <c r="N77" s="546"/>
      <c r="O77" s="546"/>
      <c r="P77" s="546"/>
      <c r="Q77" s="546"/>
      <c r="R77" s="546"/>
      <c r="S77" s="546"/>
      <c r="T77" s="546"/>
    </row>
    <row r="78" spans="1:20" s="64" customFormat="1" ht="15" customHeight="1">
      <c r="A78" s="64" t="s">
        <v>271</v>
      </c>
      <c r="B78" s="65"/>
      <c r="C78" s="73"/>
      <c r="D78" s="73"/>
      <c r="E78" s="73"/>
      <c r="F78" s="73"/>
      <c r="G78" s="73"/>
      <c r="H78" s="73"/>
      <c r="I78" s="73"/>
      <c r="J78" s="73"/>
      <c r="K78" s="73"/>
      <c r="L78" s="73"/>
      <c r="M78" s="73"/>
      <c r="N78" s="73"/>
      <c r="O78" s="73"/>
      <c r="P78" s="73"/>
      <c r="Q78" s="73"/>
      <c r="R78" s="73"/>
      <c r="S78" s="73"/>
      <c r="T78" s="73"/>
    </row>
    <row r="79" spans="1:20" s="64" customFormat="1" ht="15" customHeight="1">
      <c r="B79" s="65" t="s">
        <v>1513</v>
      </c>
      <c r="C79" s="65"/>
    </row>
    <row r="80" spans="1:20" s="64" customFormat="1" ht="15" customHeight="1">
      <c r="B80" s="65"/>
      <c r="C80" s="65"/>
      <c r="E80" s="2119" t="str">
        <f>【マスター】!C84</f>
        <v>口座振替・振込・現金支払</v>
      </c>
      <c r="F80" s="2119"/>
      <c r="G80" s="2119"/>
      <c r="H80" s="2119"/>
      <c r="I80" s="2119"/>
      <c r="J80" s="2119"/>
      <c r="K80" s="2119"/>
      <c r="L80" s="2119"/>
      <c r="M80" s="2119"/>
      <c r="N80" s="2119"/>
      <c r="O80" s="2119"/>
      <c r="Q80" s="65" t="s">
        <v>387</v>
      </c>
    </row>
    <row r="81" spans="1:20" s="64" customFormat="1" ht="15" customHeight="1">
      <c r="B81" s="65" t="s">
        <v>1514</v>
      </c>
      <c r="C81" s="73"/>
      <c r="D81" s="73"/>
      <c r="E81" s="73"/>
      <c r="F81" s="73"/>
      <c r="G81" s="73"/>
      <c r="H81" s="73"/>
      <c r="I81" s="73"/>
      <c r="J81" s="73"/>
      <c r="K81" s="73"/>
      <c r="L81" s="73"/>
      <c r="M81" s="73"/>
      <c r="N81" s="73"/>
      <c r="O81" s="73"/>
      <c r="P81" s="73"/>
      <c r="Q81" s="73"/>
      <c r="R81" s="73"/>
      <c r="S81" s="73"/>
      <c r="T81" s="73"/>
    </row>
    <row r="82" spans="1:20" s="64" customFormat="1" ht="15" customHeight="1">
      <c r="B82" s="65"/>
      <c r="C82" s="73"/>
      <c r="D82" s="73"/>
      <c r="E82" s="73"/>
      <c r="F82" s="73"/>
      <c r="G82" s="73"/>
      <c r="H82" s="73"/>
      <c r="I82" s="73"/>
      <c r="J82" s="73"/>
      <c r="K82" s="73"/>
      <c r="L82" s="73"/>
      <c r="M82" s="73"/>
      <c r="N82" s="73"/>
      <c r="O82" s="73"/>
      <c r="P82" s="73"/>
      <c r="Q82" s="73"/>
      <c r="R82" s="73"/>
      <c r="S82" s="73"/>
      <c r="T82" s="73"/>
    </row>
    <row r="83" spans="1:20" s="64" customFormat="1" ht="15" customHeight="1">
      <c r="A83" s="64" t="s">
        <v>1515</v>
      </c>
      <c r="B83" s="65"/>
      <c r="C83" s="73"/>
      <c r="D83" s="73"/>
      <c r="E83" s="73"/>
      <c r="F83" s="73"/>
      <c r="G83" s="73"/>
      <c r="H83" s="73"/>
      <c r="I83" s="73"/>
      <c r="J83" s="73"/>
      <c r="K83" s="73"/>
      <c r="L83" s="73"/>
      <c r="M83" s="73"/>
      <c r="N83" s="73"/>
      <c r="O83" s="73"/>
      <c r="P83" s="73"/>
      <c r="Q83" s="73"/>
      <c r="R83" s="73"/>
      <c r="S83" s="73"/>
      <c r="T83" s="73"/>
    </row>
    <row r="84" spans="1:20" s="64" customFormat="1" ht="15" customHeight="1">
      <c r="A84" s="2120"/>
      <c r="B84" s="1246" t="s">
        <v>1345</v>
      </c>
      <c r="C84" s="1246"/>
      <c r="D84" s="1246"/>
      <c r="E84" s="1247"/>
      <c r="F84" s="2079" t="s">
        <v>420</v>
      </c>
      <c r="G84" s="2079"/>
      <c r="H84" s="2079"/>
      <c r="I84" s="2079"/>
      <c r="J84" s="2079"/>
      <c r="K84" s="2100" t="str">
        <f>【マスター】!C21</f>
        <v>小久保　幾生</v>
      </c>
      <c r="L84" s="2100"/>
      <c r="M84" s="2100"/>
      <c r="N84" s="2100"/>
      <c r="O84" s="2100"/>
      <c r="P84" s="2100"/>
      <c r="Q84" s="2100"/>
      <c r="R84" s="2100"/>
      <c r="S84" s="2100"/>
      <c r="T84" s="2100"/>
    </row>
    <row r="85" spans="1:20" s="64" customFormat="1" ht="15" customHeight="1">
      <c r="A85" s="2121"/>
      <c r="B85" s="1248"/>
      <c r="C85" s="1248"/>
      <c r="D85" s="1248"/>
      <c r="E85" s="1249"/>
      <c r="F85" s="2083" t="s">
        <v>421</v>
      </c>
      <c r="G85" s="2083"/>
      <c r="H85" s="2083"/>
      <c r="I85" s="2083"/>
      <c r="J85" s="2083"/>
      <c r="K85" s="2088" t="str">
        <f>DBCS(【マスター】!I13&amp;【マスター】!J13&amp;【マスター】!K13)</f>
        <v>９：３０～１７：３０</v>
      </c>
      <c r="L85" s="2088"/>
      <c r="M85" s="2088"/>
      <c r="N85" s="2088"/>
      <c r="O85" s="2088"/>
      <c r="P85" s="2088"/>
      <c r="Q85" s="2088"/>
      <c r="R85" s="2088"/>
      <c r="S85" s="2088"/>
      <c r="T85" s="2088"/>
    </row>
    <row r="86" spans="1:20" s="64" customFormat="1" ht="15" customHeight="1">
      <c r="A86" s="2121"/>
      <c r="B86" s="1248"/>
      <c r="C86" s="1248"/>
      <c r="D86" s="1248"/>
      <c r="E86" s="1249"/>
      <c r="F86" s="2113" t="s">
        <v>422</v>
      </c>
      <c r="G86" s="2114"/>
      <c r="H86" s="2114"/>
      <c r="I86" s="2089" t="s">
        <v>281</v>
      </c>
      <c r="J86" s="2090"/>
      <c r="K86" s="2088" t="str">
        <f>DBCS(【マスター】!C10)</f>
        <v>０５３２－３９－７８５５</v>
      </c>
      <c r="L86" s="2088"/>
      <c r="M86" s="2088"/>
      <c r="N86" s="2088"/>
      <c r="O86" s="2088"/>
      <c r="P86" s="2088"/>
      <c r="Q86" s="2088"/>
      <c r="R86" s="2088"/>
      <c r="S86" s="2088"/>
      <c r="T86" s="2088"/>
    </row>
    <row r="87" spans="1:20" s="64" customFormat="1" ht="15" customHeight="1">
      <c r="A87" s="2121"/>
      <c r="B87" s="1248"/>
      <c r="C87" s="1248"/>
      <c r="D87" s="1248"/>
      <c r="E87" s="1249"/>
      <c r="F87" s="2115"/>
      <c r="G87" s="2116"/>
      <c r="H87" s="2116"/>
      <c r="I87" s="2089" t="s">
        <v>423</v>
      </c>
      <c r="J87" s="2090"/>
      <c r="K87" s="2088" t="s">
        <v>424</v>
      </c>
      <c r="L87" s="2088"/>
      <c r="M87" s="2088"/>
      <c r="N87" s="2088"/>
      <c r="O87" s="2088"/>
      <c r="P87" s="2088"/>
      <c r="Q87" s="2088"/>
      <c r="R87" s="2088"/>
      <c r="S87" s="2088"/>
      <c r="T87" s="2088"/>
    </row>
    <row r="88" spans="1:20" s="64" customFormat="1" ht="15" customHeight="1">
      <c r="A88" s="2122"/>
      <c r="B88" s="1250"/>
      <c r="C88" s="1250"/>
      <c r="D88" s="1250"/>
      <c r="E88" s="1251"/>
      <c r="F88" s="2117"/>
      <c r="G88" s="2118"/>
      <c r="H88" s="2118"/>
      <c r="I88" s="2091" t="s">
        <v>425</v>
      </c>
      <c r="J88" s="2092"/>
      <c r="K88" s="2093" t="str">
        <f>"（"&amp;【マスター】!C82&amp;"に設置）"</f>
        <v>（玄関に設置）</v>
      </c>
      <c r="L88" s="2093"/>
      <c r="M88" s="2093"/>
      <c r="N88" s="2093"/>
      <c r="O88" s="2093"/>
      <c r="P88" s="2093"/>
      <c r="Q88" s="2093"/>
      <c r="R88" s="2093"/>
      <c r="S88" s="2093"/>
      <c r="T88" s="2093"/>
    </row>
    <row r="89" spans="1:20" s="64" customFormat="1" ht="15" customHeight="1">
      <c r="A89" s="157"/>
      <c r="B89" s="520"/>
      <c r="C89" s="520"/>
      <c r="D89" s="520"/>
      <c r="E89" s="520"/>
      <c r="F89" s="543"/>
      <c r="G89" s="543"/>
      <c r="H89" s="543"/>
      <c r="I89" s="158"/>
      <c r="J89" s="158"/>
      <c r="K89" s="159"/>
      <c r="L89" s="159"/>
      <c r="M89" s="159"/>
      <c r="N89" s="159"/>
      <c r="O89" s="159"/>
      <c r="P89" s="159"/>
      <c r="Q89" s="159"/>
      <c r="R89" s="159"/>
      <c r="S89" s="159"/>
      <c r="T89" s="159"/>
    </row>
    <row r="90" spans="1:20" s="64" customFormat="1" ht="15" customHeight="1">
      <c r="A90" s="64" t="s">
        <v>1348</v>
      </c>
      <c r="B90" s="65"/>
      <c r="C90" s="65"/>
    </row>
    <row r="91" spans="1:20" s="64" customFormat="1" ht="15" customHeight="1">
      <c r="A91" s="1303" t="s">
        <v>447</v>
      </c>
      <c r="B91" s="1303"/>
      <c r="C91" s="1303"/>
      <c r="D91" s="1303"/>
      <c r="E91" s="1303"/>
      <c r="F91" s="1303"/>
      <c r="G91" s="1303"/>
      <c r="H91" s="1303"/>
      <c r="I91" s="1303"/>
      <c r="J91" s="1303"/>
      <c r="K91" s="1303"/>
      <c r="L91" s="1303"/>
      <c r="M91" s="1303"/>
      <c r="N91" s="1303"/>
      <c r="O91" s="1303"/>
      <c r="P91" s="1303"/>
      <c r="Q91" s="1303"/>
      <c r="R91" s="1303"/>
      <c r="S91" s="1303"/>
      <c r="T91" s="1303"/>
    </row>
    <row r="92" spans="1:20" s="64" customFormat="1" ht="15" customHeight="1">
      <c r="A92" s="75" t="s">
        <v>745</v>
      </c>
      <c r="B92" s="64" t="s">
        <v>1349</v>
      </c>
      <c r="C92" s="65"/>
    </row>
    <row r="93" spans="1:20" s="64" customFormat="1" ht="15" customHeight="1">
      <c r="A93" s="75" t="s">
        <v>747</v>
      </c>
      <c r="B93" s="64" t="s">
        <v>1350</v>
      </c>
      <c r="C93" s="65"/>
    </row>
    <row r="94" spans="1:20" s="64" customFormat="1" ht="15" customHeight="1">
      <c r="A94" s="75" t="s">
        <v>936</v>
      </c>
      <c r="B94" s="1303" t="s">
        <v>1351</v>
      </c>
      <c r="C94" s="1303"/>
      <c r="D94" s="1303"/>
      <c r="E94" s="1303"/>
      <c r="F94" s="1303"/>
      <c r="G94" s="1303"/>
      <c r="H94" s="1303"/>
      <c r="I94" s="1303"/>
      <c r="J94" s="1303"/>
      <c r="K94" s="1303"/>
      <c r="L94" s="1303"/>
      <c r="M94" s="1303"/>
      <c r="N94" s="1303"/>
      <c r="O94" s="1303"/>
      <c r="P94" s="1303"/>
      <c r="Q94" s="1303"/>
      <c r="R94" s="1303"/>
      <c r="S94" s="1303"/>
      <c r="T94" s="1303"/>
    </row>
    <row r="95" spans="1:20" s="64" customFormat="1" ht="15" customHeight="1">
      <c r="A95" s="73"/>
      <c r="B95" s="1303"/>
      <c r="C95" s="1303"/>
      <c r="D95" s="1303"/>
      <c r="E95" s="1303"/>
      <c r="F95" s="1303"/>
      <c r="G95" s="1303"/>
      <c r="H95" s="1303"/>
      <c r="I95" s="1303"/>
      <c r="J95" s="1303"/>
      <c r="K95" s="1303"/>
      <c r="L95" s="1303"/>
      <c r="M95" s="1303"/>
      <c r="N95" s="1303"/>
      <c r="O95" s="1303"/>
      <c r="P95" s="1303"/>
      <c r="Q95" s="1303"/>
      <c r="R95" s="1303"/>
      <c r="S95" s="1303"/>
      <c r="T95" s="1303"/>
    </row>
    <row r="96" spans="1:20" s="64" customFormat="1" ht="15" customHeight="1">
      <c r="A96" s="64" t="s">
        <v>1352</v>
      </c>
      <c r="B96" s="65"/>
      <c r="C96" s="65"/>
    </row>
    <row r="97" spans="1:41" s="64" customFormat="1" ht="15" customHeight="1">
      <c r="A97" s="75" t="s">
        <v>745</v>
      </c>
      <c r="B97" s="1303" t="s">
        <v>1516</v>
      </c>
      <c r="C97" s="1303"/>
      <c r="D97" s="1303"/>
      <c r="E97" s="1303"/>
      <c r="F97" s="1303"/>
      <c r="G97" s="1303"/>
      <c r="H97" s="1303"/>
      <c r="I97" s="1303"/>
      <c r="J97" s="1303"/>
      <c r="K97" s="1303"/>
      <c r="L97" s="1303"/>
      <c r="M97" s="1303"/>
      <c r="N97" s="1303"/>
      <c r="O97" s="1303"/>
      <c r="P97" s="1303"/>
      <c r="Q97" s="1303"/>
      <c r="R97" s="1303"/>
      <c r="S97" s="1303"/>
      <c r="T97" s="1303"/>
    </row>
    <row r="98" spans="1:41" s="64" customFormat="1" ht="15" customHeight="1">
      <c r="A98" s="75"/>
      <c r="B98" s="1303"/>
      <c r="C98" s="1303"/>
      <c r="D98" s="1303"/>
      <c r="E98" s="1303"/>
      <c r="F98" s="1303"/>
      <c r="G98" s="1303"/>
      <c r="H98" s="1303"/>
      <c r="I98" s="1303"/>
      <c r="J98" s="1303"/>
      <c r="K98" s="1303"/>
      <c r="L98" s="1303"/>
      <c r="M98" s="1303"/>
      <c r="N98" s="1303"/>
      <c r="O98" s="1303"/>
      <c r="P98" s="1303"/>
      <c r="Q98" s="1303"/>
      <c r="R98" s="1303"/>
      <c r="S98" s="1303"/>
      <c r="T98" s="1303"/>
    </row>
    <row r="99" spans="1:41" s="64" customFormat="1" ht="15" customHeight="1">
      <c r="A99" s="73"/>
      <c r="B99" s="1303"/>
      <c r="C99" s="1303"/>
      <c r="D99" s="1303"/>
      <c r="E99" s="1303"/>
      <c r="F99" s="1303"/>
      <c r="G99" s="1303"/>
      <c r="H99" s="1303"/>
      <c r="I99" s="1303"/>
      <c r="J99" s="1303"/>
      <c r="K99" s="1303"/>
      <c r="L99" s="1303"/>
      <c r="M99" s="1303"/>
      <c r="N99" s="1303"/>
      <c r="O99" s="1303"/>
      <c r="P99" s="1303"/>
      <c r="Q99" s="1303"/>
      <c r="R99" s="1303"/>
      <c r="S99" s="1303"/>
      <c r="T99" s="1303"/>
    </row>
    <row r="100" spans="1:41" s="64" customFormat="1" ht="15" customHeight="1">
      <c r="A100" s="75" t="s">
        <v>747</v>
      </c>
      <c r="B100" s="1303" t="s">
        <v>1354</v>
      </c>
      <c r="C100" s="1303"/>
      <c r="D100" s="1303"/>
      <c r="E100" s="1303"/>
      <c r="F100" s="1303"/>
      <c r="G100" s="1303"/>
      <c r="H100" s="1303"/>
      <c r="I100" s="1303"/>
      <c r="J100" s="1303"/>
      <c r="K100" s="1303"/>
      <c r="L100" s="1303"/>
      <c r="M100" s="1303"/>
      <c r="N100" s="1303"/>
      <c r="O100" s="1303"/>
      <c r="P100" s="1303"/>
      <c r="Q100" s="1303"/>
      <c r="R100" s="1303"/>
      <c r="S100" s="1303"/>
      <c r="T100" s="1303"/>
    </row>
    <row r="101" spans="1:41" s="64" customFormat="1" ht="15" customHeight="1">
      <c r="A101" s="73"/>
      <c r="B101" s="1303"/>
      <c r="C101" s="1303"/>
      <c r="D101" s="1303"/>
      <c r="E101" s="1303"/>
      <c r="F101" s="1303"/>
      <c r="G101" s="1303"/>
      <c r="H101" s="1303"/>
      <c r="I101" s="1303"/>
      <c r="J101" s="1303"/>
      <c r="K101" s="1303"/>
      <c r="L101" s="1303"/>
      <c r="M101" s="1303"/>
      <c r="N101" s="1303"/>
      <c r="O101" s="1303"/>
      <c r="P101" s="1303"/>
      <c r="Q101" s="1303"/>
      <c r="R101" s="1303"/>
      <c r="S101" s="1303"/>
      <c r="T101" s="1303"/>
    </row>
    <row r="102" spans="1:41" s="64" customFormat="1" ht="15" customHeight="1">
      <c r="A102" s="73"/>
      <c r="B102" s="1303"/>
      <c r="C102" s="1303"/>
      <c r="D102" s="1303"/>
      <c r="E102" s="1303"/>
      <c r="F102" s="1303"/>
      <c r="G102" s="1303"/>
      <c r="H102" s="1303"/>
      <c r="I102" s="1303"/>
      <c r="J102" s="1303"/>
      <c r="K102" s="1303"/>
      <c r="L102" s="1303"/>
      <c r="M102" s="1303"/>
      <c r="N102" s="1303"/>
      <c r="O102" s="1303"/>
      <c r="P102" s="1303"/>
      <c r="Q102" s="1303"/>
      <c r="R102" s="1303"/>
      <c r="S102" s="1303"/>
      <c r="T102" s="1303"/>
    </row>
    <row r="103" spans="1:41" s="31" customFormat="1" ht="15" customHeight="1">
      <c r="A103" s="65" t="s">
        <v>1764</v>
      </c>
      <c r="B103" s="661"/>
      <c r="C103" s="661"/>
      <c r="D103" s="661"/>
      <c r="E103" s="661"/>
      <c r="F103" s="662"/>
      <c r="G103" s="662"/>
      <c r="H103" s="662"/>
      <c r="I103" s="662"/>
      <c r="J103" s="662"/>
      <c r="K103" s="662"/>
      <c r="L103" s="662"/>
      <c r="M103" s="662"/>
      <c r="N103" s="662"/>
      <c r="O103" s="662"/>
      <c r="P103" s="662"/>
      <c r="Q103" s="662"/>
      <c r="R103" s="662"/>
      <c r="S103" s="662"/>
      <c r="T103" s="73"/>
      <c r="U103" s="196"/>
      <c r="V103" s="702"/>
      <c r="W103" s="196"/>
      <c r="X103" s="512"/>
      <c r="Y103" s="512"/>
    </row>
    <row r="104" spans="1:41" s="64" customFormat="1" ht="30" customHeight="1">
      <c r="A104" s="723"/>
      <c r="B104" s="2108" t="s">
        <v>1793</v>
      </c>
      <c r="C104" s="2108"/>
      <c r="D104" s="2108"/>
      <c r="E104" s="2108"/>
      <c r="F104" s="2108"/>
      <c r="G104" s="2108"/>
      <c r="H104" s="2108"/>
      <c r="I104" s="2108"/>
      <c r="J104" s="2108"/>
      <c r="K104" s="2108"/>
      <c r="L104" s="2108"/>
      <c r="M104" s="2108"/>
      <c r="N104" s="2108"/>
      <c r="O104" s="2108"/>
      <c r="P104" s="2108"/>
      <c r="Q104" s="2108"/>
      <c r="R104" s="2108"/>
      <c r="S104" s="2108"/>
      <c r="T104" s="2108"/>
      <c r="V104" s="282"/>
      <c r="W104" s="69"/>
      <c r="X104" s="69"/>
      <c r="Y104" s="69"/>
      <c r="Z104" s="69"/>
      <c r="AA104" s="69"/>
      <c r="AB104" s="69"/>
      <c r="AC104" s="69"/>
      <c r="AD104" s="69"/>
      <c r="AE104" s="69"/>
      <c r="AF104" s="69"/>
      <c r="AG104" s="69"/>
      <c r="AH104" s="69"/>
      <c r="AI104" s="69"/>
      <c r="AJ104" s="69"/>
      <c r="AK104" s="69"/>
      <c r="AL104" s="69"/>
      <c r="AM104" s="69"/>
      <c r="AN104" s="69"/>
      <c r="AO104" s="69"/>
    </row>
    <row r="105" spans="1:41" s="64" customFormat="1" ht="15" customHeight="1">
      <c r="A105" s="723"/>
      <c r="B105" s="75" t="s">
        <v>745</v>
      </c>
      <c r="C105" s="2108" t="s">
        <v>1829</v>
      </c>
      <c r="D105" s="2108"/>
      <c r="E105" s="2108"/>
      <c r="F105" s="2108"/>
      <c r="G105" s="2108"/>
      <c r="H105" s="2108"/>
      <c r="I105" s="2108"/>
      <c r="J105" s="2108"/>
      <c r="K105" s="2108"/>
      <c r="L105" s="2108"/>
      <c r="M105" s="2108"/>
      <c r="N105" s="2108"/>
      <c r="O105" s="2108"/>
      <c r="P105" s="2108"/>
      <c r="Q105" s="2108"/>
      <c r="R105" s="2108"/>
      <c r="S105" s="2108"/>
      <c r="T105" s="2108"/>
      <c r="V105" s="282"/>
      <c r="W105" s="69"/>
      <c r="X105" s="69"/>
      <c r="Y105" s="69"/>
      <c r="Z105" s="69"/>
      <c r="AA105" s="69"/>
      <c r="AB105" s="69"/>
      <c r="AC105" s="69"/>
      <c r="AD105" s="69"/>
      <c r="AE105" s="69"/>
      <c r="AF105" s="69"/>
      <c r="AG105" s="69"/>
      <c r="AH105" s="69"/>
      <c r="AI105" s="69"/>
      <c r="AJ105" s="69"/>
      <c r="AK105" s="69"/>
      <c r="AL105" s="69"/>
      <c r="AM105" s="69"/>
      <c r="AN105" s="69"/>
      <c r="AO105" s="69"/>
    </row>
    <row r="106" spans="1:41" s="64" customFormat="1" ht="15" customHeight="1">
      <c r="A106" s="723"/>
      <c r="B106" s="724"/>
      <c r="C106" s="2108"/>
      <c r="D106" s="2108"/>
      <c r="E106" s="2108"/>
      <c r="F106" s="2108"/>
      <c r="G106" s="2108"/>
      <c r="H106" s="2108"/>
      <c r="I106" s="2108"/>
      <c r="J106" s="2108"/>
      <c r="K106" s="2108"/>
      <c r="L106" s="2108"/>
      <c r="M106" s="2108"/>
      <c r="N106" s="2108"/>
      <c r="O106" s="2108"/>
      <c r="P106" s="2108"/>
      <c r="Q106" s="2108"/>
      <c r="R106" s="2108"/>
      <c r="S106" s="2108"/>
      <c r="T106" s="2108"/>
      <c r="V106" s="282"/>
      <c r="W106" s="69"/>
      <c r="X106" s="69"/>
      <c r="Y106" s="69"/>
      <c r="Z106" s="69"/>
      <c r="AA106" s="69"/>
      <c r="AB106" s="69"/>
      <c r="AC106" s="69"/>
      <c r="AD106" s="69"/>
      <c r="AE106" s="69"/>
      <c r="AF106" s="69"/>
      <c r="AG106" s="69"/>
      <c r="AH106" s="69"/>
      <c r="AI106" s="69"/>
      <c r="AJ106" s="69"/>
      <c r="AK106" s="69"/>
      <c r="AL106" s="69"/>
      <c r="AM106" s="69"/>
      <c r="AN106" s="69"/>
      <c r="AO106" s="69"/>
    </row>
    <row r="107" spans="1:41" s="64" customFormat="1" ht="15" customHeight="1">
      <c r="A107" s="723"/>
      <c r="C107" s="725" t="s">
        <v>1892</v>
      </c>
      <c r="D107" s="725"/>
      <c r="E107" s="725"/>
      <c r="F107" s="725"/>
      <c r="G107" s="725"/>
      <c r="H107" s="725"/>
      <c r="I107" s="725"/>
      <c r="J107" s="725"/>
      <c r="K107" s="725"/>
      <c r="L107" s="725"/>
      <c r="M107" s="725"/>
      <c r="N107" s="725"/>
      <c r="O107" s="725"/>
      <c r="P107" s="725"/>
      <c r="Q107" s="725"/>
      <c r="R107" s="725"/>
      <c r="S107" s="725"/>
      <c r="T107" s="714"/>
      <c r="V107" s="282"/>
      <c r="W107" s="69"/>
      <c r="X107" s="69"/>
      <c r="Y107" s="69"/>
      <c r="Z107" s="69"/>
      <c r="AA107" s="69"/>
      <c r="AB107" s="69"/>
      <c r="AC107" s="69"/>
      <c r="AD107" s="69"/>
      <c r="AE107" s="69"/>
      <c r="AF107" s="69"/>
      <c r="AG107" s="69"/>
      <c r="AH107" s="69"/>
      <c r="AI107" s="69"/>
      <c r="AJ107" s="69"/>
      <c r="AK107" s="69"/>
      <c r="AL107" s="69"/>
      <c r="AM107" s="69"/>
      <c r="AN107" s="69"/>
      <c r="AO107" s="69"/>
    </row>
    <row r="108" spans="1:41" s="64" customFormat="1" ht="15" customHeight="1">
      <c r="A108" s="723"/>
      <c r="B108" s="726"/>
      <c r="C108" s="2108" t="s">
        <v>1900</v>
      </c>
      <c r="D108" s="2108"/>
      <c r="E108" s="2108"/>
      <c r="F108" s="2108"/>
      <c r="G108" s="2108"/>
      <c r="H108" s="2108"/>
      <c r="I108" s="2108"/>
      <c r="J108" s="2108"/>
      <c r="K108" s="2108"/>
      <c r="L108" s="2108"/>
      <c r="M108" s="2108"/>
      <c r="N108" s="2108"/>
      <c r="O108" s="2108"/>
      <c r="P108" s="2108"/>
      <c r="Q108" s="2108"/>
      <c r="R108" s="2108"/>
      <c r="S108" s="2108"/>
      <c r="T108" s="2108"/>
      <c r="V108" s="282"/>
      <c r="W108" s="69"/>
      <c r="X108" s="69"/>
      <c r="Y108" s="69"/>
      <c r="Z108" s="69"/>
      <c r="AA108" s="69"/>
      <c r="AB108" s="69"/>
      <c r="AC108" s="69"/>
      <c r="AD108" s="69"/>
      <c r="AE108" s="69"/>
      <c r="AF108" s="69"/>
      <c r="AG108" s="69"/>
      <c r="AH108" s="69"/>
      <c r="AI108" s="69"/>
      <c r="AJ108" s="69"/>
      <c r="AK108" s="69"/>
      <c r="AL108" s="69"/>
      <c r="AM108" s="69"/>
      <c r="AN108" s="69"/>
      <c r="AO108" s="69"/>
    </row>
    <row r="109" spans="1:41" s="64" customFormat="1" ht="15" customHeight="1">
      <c r="A109" s="723"/>
      <c r="B109" s="726"/>
      <c r="C109" s="2108" t="s">
        <v>1901</v>
      </c>
      <c r="D109" s="2109"/>
      <c r="E109" s="2109"/>
      <c r="F109" s="2109"/>
      <c r="G109" s="2109"/>
      <c r="H109" s="2109"/>
      <c r="I109" s="2109"/>
      <c r="J109" s="2109"/>
      <c r="K109" s="2109"/>
      <c r="L109" s="2109"/>
      <c r="M109" s="2109"/>
      <c r="N109" s="2109"/>
      <c r="O109" s="2109"/>
      <c r="P109" s="2109"/>
      <c r="Q109" s="2109"/>
      <c r="R109" s="2109"/>
      <c r="S109" s="2109"/>
      <c r="T109" s="2109"/>
      <c r="V109" s="282"/>
      <c r="W109" s="69"/>
      <c r="X109" s="69"/>
      <c r="Y109" s="69"/>
      <c r="Z109" s="69"/>
      <c r="AA109" s="69"/>
      <c r="AB109" s="69"/>
      <c r="AC109" s="69"/>
      <c r="AD109" s="69"/>
      <c r="AE109" s="69"/>
      <c r="AF109" s="69"/>
      <c r="AG109" s="69"/>
      <c r="AH109" s="69"/>
      <c r="AI109" s="69"/>
      <c r="AJ109" s="69"/>
      <c r="AK109" s="69"/>
      <c r="AL109" s="69"/>
      <c r="AM109" s="69"/>
      <c r="AN109" s="69"/>
      <c r="AO109" s="69"/>
    </row>
    <row r="110" spans="1:41" s="64" customFormat="1" ht="15" customHeight="1">
      <c r="A110" s="723"/>
      <c r="B110" s="726"/>
      <c r="C110" s="2109"/>
      <c r="D110" s="2109"/>
      <c r="E110" s="2109"/>
      <c r="F110" s="2109"/>
      <c r="G110" s="2109"/>
      <c r="H110" s="2109"/>
      <c r="I110" s="2109"/>
      <c r="J110" s="2109"/>
      <c r="K110" s="2109"/>
      <c r="L110" s="2109"/>
      <c r="M110" s="2109"/>
      <c r="N110" s="2109"/>
      <c r="O110" s="2109"/>
      <c r="P110" s="2109"/>
      <c r="Q110" s="2109"/>
      <c r="R110" s="2109"/>
      <c r="S110" s="2109"/>
      <c r="T110" s="2109"/>
      <c r="V110" s="282"/>
      <c r="W110" s="69"/>
      <c r="X110" s="69"/>
      <c r="Y110" s="69"/>
      <c r="Z110" s="69"/>
      <c r="AA110" s="69"/>
      <c r="AB110" s="69"/>
      <c r="AC110" s="69"/>
      <c r="AD110" s="69"/>
      <c r="AE110" s="69"/>
      <c r="AF110" s="69"/>
      <c r="AG110" s="69"/>
      <c r="AH110" s="69"/>
      <c r="AI110" s="69"/>
      <c r="AJ110" s="69"/>
      <c r="AK110" s="69"/>
      <c r="AL110" s="69"/>
      <c r="AM110" s="69"/>
      <c r="AN110" s="69"/>
      <c r="AO110" s="69"/>
    </row>
    <row r="111" spans="1:41" s="64" customFormat="1" ht="15" customHeight="1">
      <c r="A111" s="704"/>
      <c r="B111" s="725"/>
      <c r="C111" s="2108" t="s">
        <v>1773</v>
      </c>
      <c r="D111" s="2108"/>
      <c r="E111" s="2108"/>
      <c r="F111" s="2108"/>
      <c r="G111" s="2108"/>
      <c r="H111" s="2108"/>
      <c r="I111" s="2108"/>
      <c r="J111" s="2108"/>
      <c r="K111" s="2108"/>
      <c r="L111" s="2108"/>
      <c r="M111" s="2108"/>
      <c r="N111" s="2108"/>
      <c r="O111" s="2108"/>
      <c r="P111" s="2108"/>
      <c r="Q111" s="2108"/>
      <c r="R111" s="2108"/>
      <c r="S111" s="2108"/>
      <c r="T111" s="2108"/>
      <c r="V111" s="282"/>
      <c r="W111" s="69"/>
      <c r="X111" s="69"/>
      <c r="Y111" s="69"/>
      <c r="Z111" s="69"/>
      <c r="AA111" s="69"/>
      <c r="AB111" s="69"/>
      <c r="AC111" s="69"/>
      <c r="AD111" s="69"/>
      <c r="AE111" s="69"/>
      <c r="AF111" s="69"/>
      <c r="AG111" s="69"/>
      <c r="AH111" s="69"/>
      <c r="AI111" s="69"/>
      <c r="AJ111" s="69"/>
      <c r="AK111" s="69"/>
      <c r="AL111" s="69"/>
      <c r="AM111" s="69"/>
      <c r="AN111" s="69"/>
      <c r="AO111" s="69"/>
    </row>
    <row r="112" spans="1:41" s="64" customFormat="1" ht="15" customHeight="1">
      <c r="A112" s="65"/>
      <c r="B112" s="75" t="s">
        <v>747</v>
      </c>
      <c r="C112" s="2110" t="s">
        <v>1831</v>
      </c>
      <c r="D112" s="2110"/>
      <c r="E112" s="2110"/>
      <c r="F112" s="2110"/>
      <c r="G112" s="2110"/>
      <c r="H112" s="2110"/>
      <c r="I112" s="2110"/>
      <c r="J112" s="2110"/>
      <c r="K112" s="2110"/>
      <c r="L112" s="2110"/>
      <c r="M112" s="2110"/>
      <c r="N112" s="2110"/>
      <c r="O112" s="2110"/>
      <c r="P112" s="2110"/>
      <c r="Q112" s="2110"/>
      <c r="R112" s="2110"/>
      <c r="S112" s="2110"/>
      <c r="T112" s="2110"/>
      <c r="W112" s="282"/>
      <c r="X112" s="282"/>
      <c r="Y112" s="546"/>
      <c r="Z112" s="546"/>
    </row>
    <row r="113" spans="1:41" s="64" customFormat="1" ht="15" customHeight="1">
      <c r="A113" s="65"/>
      <c r="B113" s="703"/>
      <c r="C113" s="2110"/>
      <c r="D113" s="2110"/>
      <c r="E113" s="2110"/>
      <c r="F113" s="2110"/>
      <c r="G113" s="2110"/>
      <c r="H113" s="2110"/>
      <c r="I113" s="2110"/>
      <c r="J113" s="2110"/>
      <c r="K113" s="2110"/>
      <c r="L113" s="2110"/>
      <c r="M113" s="2110"/>
      <c r="N113" s="2110"/>
      <c r="O113" s="2110"/>
      <c r="P113" s="2110"/>
      <c r="Q113" s="2110"/>
      <c r="R113" s="2110"/>
      <c r="S113" s="2110"/>
      <c r="T113" s="2110"/>
      <c r="W113" s="282"/>
      <c r="X113" s="282"/>
      <c r="Y113" s="546"/>
      <c r="Z113" s="546"/>
    </row>
    <row r="114" spans="1:41" s="64" customFormat="1" ht="15" customHeight="1">
      <c r="A114" s="65"/>
      <c r="B114" s="75" t="s">
        <v>775</v>
      </c>
      <c r="C114" s="2110" t="s">
        <v>1775</v>
      </c>
      <c r="D114" s="2110"/>
      <c r="E114" s="2110"/>
      <c r="F114" s="2110"/>
      <c r="G114" s="2110"/>
      <c r="H114" s="2110"/>
      <c r="I114" s="2110"/>
      <c r="J114" s="2110"/>
      <c r="K114" s="2110"/>
      <c r="L114" s="2110"/>
      <c r="M114" s="2110"/>
      <c r="N114" s="2110"/>
      <c r="O114" s="2110"/>
      <c r="P114" s="2110"/>
      <c r="Q114" s="2110"/>
      <c r="R114" s="2110"/>
      <c r="S114" s="2110"/>
      <c r="T114" s="2110"/>
      <c r="W114" s="282"/>
      <c r="X114" s="282"/>
      <c r="Y114" s="546"/>
      <c r="Z114" s="546"/>
    </row>
    <row r="115" spans="1:41" s="64" customFormat="1" ht="15" customHeight="1">
      <c r="A115" s="65"/>
      <c r="B115" s="703"/>
      <c r="C115" s="2110"/>
      <c r="D115" s="2110"/>
      <c r="E115" s="2110"/>
      <c r="F115" s="2110"/>
      <c r="G115" s="2110"/>
      <c r="H115" s="2110"/>
      <c r="I115" s="2110"/>
      <c r="J115" s="2110"/>
      <c r="K115" s="2110"/>
      <c r="L115" s="2110"/>
      <c r="M115" s="2110"/>
      <c r="N115" s="2110"/>
      <c r="O115" s="2110"/>
      <c r="P115" s="2110"/>
      <c r="Q115" s="2110"/>
      <c r="R115" s="2110"/>
      <c r="S115" s="2110"/>
      <c r="T115" s="2110"/>
      <c r="W115" s="282"/>
      <c r="X115" s="282"/>
      <c r="Y115" s="546"/>
      <c r="Z115" s="546"/>
    </row>
    <row r="116" spans="1:41" s="64" customFormat="1" ht="15" customHeight="1">
      <c r="A116" s="704"/>
      <c r="B116" s="75" t="s">
        <v>792</v>
      </c>
      <c r="C116" s="2108" t="s">
        <v>1774</v>
      </c>
      <c r="D116" s="2108"/>
      <c r="E116" s="2108"/>
      <c r="F116" s="2108"/>
      <c r="G116" s="2108"/>
      <c r="H116" s="2108"/>
      <c r="I116" s="2108"/>
      <c r="J116" s="2108"/>
      <c r="K116" s="2108"/>
      <c r="L116" s="2108"/>
      <c r="M116" s="2108"/>
      <c r="N116" s="2108"/>
      <c r="O116" s="2108"/>
      <c r="P116" s="2108"/>
      <c r="Q116" s="2108"/>
      <c r="R116" s="2108"/>
      <c r="S116" s="2108"/>
      <c r="T116" s="2108"/>
      <c r="V116" s="282"/>
      <c r="W116" s="69"/>
      <c r="X116" s="69"/>
      <c r="Y116" s="69"/>
      <c r="Z116" s="69"/>
      <c r="AA116" s="69"/>
      <c r="AB116" s="69"/>
      <c r="AC116" s="69"/>
      <c r="AD116" s="69"/>
      <c r="AE116" s="69"/>
      <c r="AF116" s="69"/>
      <c r="AG116" s="69"/>
      <c r="AH116" s="69"/>
      <c r="AI116" s="69"/>
      <c r="AJ116" s="69"/>
      <c r="AK116" s="69"/>
      <c r="AL116" s="69"/>
      <c r="AM116" s="69"/>
      <c r="AN116" s="69"/>
      <c r="AO116" s="69"/>
    </row>
    <row r="117" spans="1:41" s="64" customFormat="1" ht="15" customHeight="1">
      <c r="A117" s="704"/>
      <c r="B117" s="725"/>
      <c r="C117" s="2108"/>
      <c r="D117" s="2108"/>
      <c r="E117" s="2108"/>
      <c r="F117" s="2108"/>
      <c r="G117" s="2108"/>
      <c r="H117" s="2108"/>
      <c r="I117" s="2108"/>
      <c r="J117" s="2108"/>
      <c r="K117" s="2108"/>
      <c r="L117" s="2108"/>
      <c r="M117" s="2108"/>
      <c r="N117" s="2108"/>
      <c r="O117" s="2108"/>
      <c r="P117" s="2108"/>
      <c r="Q117" s="2108"/>
      <c r="R117" s="2108"/>
      <c r="S117" s="2108"/>
      <c r="T117" s="2108"/>
      <c r="V117" s="282"/>
      <c r="W117" s="69"/>
      <c r="X117" s="69"/>
      <c r="Y117" s="69"/>
      <c r="Z117" s="69"/>
      <c r="AA117" s="69"/>
      <c r="AB117" s="69"/>
      <c r="AC117" s="69"/>
      <c r="AD117" s="69"/>
      <c r="AE117" s="69"/>
      <c r="AF117" s="69"/>
      <c r="AG117" s="69"/>
      <c r="AH117" s="69"/>
      <c r="AI117" s="69"/>
      <c r="AJ117" s="69"/>
      <c r="AK117" s="69"/>
      <c r="AL117" s="69"/>
      <c r="AM117" s="69"/>
      <c r="AN117" s="69"/>
      <c r="AO117" s="69"/>
    </row>
    <row r="118" spans="1:41" s="64" customFormat="1" ht="15" customHeight="1">
      <c r="A118" s="64" t="s">
        <v>1356</v>
      </c>
      <c r="B118" s="65"/>
      <c r="C118" s="65"/>
    </row>
    <row r="119" spans="1:41" s="64" customFormat="1" ht="15" customHeight="1">
      <c r="A119" s="75" t="s">
        <v>745</v>
      </c>
      <c r="B119" s="2078" t="s">
        <v>1357</v>
      </c>
      <c r="C119" s="2078"/>
      <c r="D119" s="2078"/>
      <c r="E119" s="2078"/>
      <c r="F119" s="2078"/>
      <c r="G119" s="2078"/>
      <c r="H119" s="2078"/>
      <c r="I119" s="2078"/>
      <c r="J119" s="2078"/>
      <c r="K119" s="2078"/>
      <c r="L119" s="2078"/>
      <c r="M119" s="2078"/>
      <c r="N119" s="2078"/>
      <c r="O119" s="2078"/>
      <c r="P119" s="2078"/>
      <c r="Q119" s="2078"/>
      <c r="R119" s="2078"/>
      <c r="S119" s="2078"/>
      <c r="T119" s="2078"/>
    </row>
    <row r="120" spans="1:41" s="64" customFormat="1" ht="15" customHeight="1">
      <c r="B120" s="2078"/>
      <c r="C120" s="2078"/>
      <c r="D120" s="2078"/>
      <c r="E120" s="2078"/>
      <c r="F120" s="2078"/>
      <c r="G120" s="2078"/>
      <c r="H120" s="2078"/>
      <c r="I120" s="2078"/>
      <c r="J120" s="2078"/>
      <c r="K120" s="2078"/>
      <c r="L120" s="2078"/>
      <c r="M120" s="2078"/>
      <c r="N120" s="2078"/>
      <c r="O120" s="2078"/>
      <c r="P120" s="2078"/>
      <c r="Q120" s="2078"/>
      <c r="R120" s="2078"/>
      <c r="S120" s="2078"/>
      <c r="T120" s="2078"/>
    </row>
    <row r="121" spans="1:41" s="64" customFormat="1" ht="15" customHeight="1">
      <c r="B121" s="2078"/>
      <c r="C121" s="2078"/>
      <c r="D121" s="2078"/>
      <c r="E121" s="2078"/>
      <c r="F121" s="2078"/>
      <c r="G121" s="2078"/>
      <c r="H121" s="2078"/>
      <c r="I121" s="2078"/>
      <c r="J121" s="2078"/>
      <c r="K121" s="2078"/>
      <c r="L121" s="2078"/>
      <c r="M121" s="2078"/>
      <c r="N121" s="2078"/>
      <c r="O121" s="2078"/>
      <c r="P121" s="2078"/>
      <c r="Q121" s="2078"/>
      <c r="R121" s="2078"/>
      <c r="S121" s="2078"/>
      <c r="T121" s="2078"/>
    </row>
    <row r="122" spans="1:41" s="64" customFormat="1" ht="15" customHeight="1">
      <c r="A122" s="75" t="s">
        <v>747</v>
      </c>
      <c r="B122" s="2078" t="s">
        <v>1517</v>
      </c>
      <c r="C122" s="2078"/>
      <c r="D122" s="2078"/>
      <c r="E122" s="2078"/>
      <c r="F122" s="2078"/>
      <c r="G122" s="2078"/>
      <c r="H122" s="2078"/>
      <c r="I122" s="2078"/>
      <c r="J122" s="2078"/>
      <c r="K122" s="2078"/>
      <c r="L122" s="2078"/>
      <c r="M122" s="2078"/>
      <c r="N122" s="2078"/>
      <c r="O122" s="2078"/>
      <c r="P122" s="2078"/>
      <c r="Q122" s="2078"/>
      <c r="R122" s="2078"/>
      <c r="S122" s="2078"/>
      <c r="T122" s="2078"/>
    </row>
    <row r="123" spans="1:41" s="64" customFormat="1" ht="15" customHeight="1">
      <c r="A123" s="75" t="s">
        <v>936</v>
      </c>
      <c r="B123" s="2078" t="s">
        <v>1359</v>
      </c>
      <c r="C123" s="2078"/>
      <c r="D123" s="2078"/>
      <c r="E123" s="2078"/>
      <c r="F123" s="2078"/>
      <c r="G123" s="2078"/>
      <c r="H123" s="2078"/>
      <c r="I123" s="2078"/>
      <c r="J123" s="2078"/>
      <c r="K123" s="2078"/>
      <c r="L123" s="2078"/>
      <c r="M123" s="2078"/>
      <c r="N123" s="2078"/>
      <c r="O123" s="2078"/>
      <c r="P123" s="2078"/>
      <c r="Q123" s="2078"/>
      <c r="R123" s="2078"/>
      <c r="S123" s="2078"/>
      <c r="T123" s="2078"/>
    </row>
    <row r="124" spans="1:41" s="64" customFormat="1" ht="15" customHeight="1">
      <c r="B124" s="2078"/>
      <c r="C124" s="2078"/>
      <c r="D124" s="2078"/>
      <c r="E124" s="2078"/>
      <c r="F124" s="2078"/>
      <c r="G124" s="2078"/>
      <c r="H124" s="2078"/>
      <c r="I124" s="2078"/>
      <c r="J124" s="2078"/>
      <c r="K124" s="2078"/>
      <c r="L124" s="2078"/>
      <c r="M124" s="2078"/>
      <c r="N124" s="2078"/>
      <c r="O124" s="2078"/>
      <c r="P124" s="2078"/>
      <c r="Q124" s="2078"/>
      <c r="R124" s="2078"/>
      <c r="S124" s="2078"/>
      <c r="T124" s="2078"/>
    </row>
    <row r="125" spans="1:41" s="64" customFormat="1" ht="15" customHeight="1">
      <c r="A125" s="70" t="s">
        <v>75</v>
      </c>
      <c r="B125" s="74" t="s">
        <v>463</v>
      </c>
      <c r="C125" s="74"/>
      <c r="D125" s="74"/>
      <c r="E125" s="74"/>
      <c r="F125" s="74"/>
      <c r="G125" s="74"/>
      <c r="H125" s="74"/>
      <c r="I125" s="74"/>
      <c r="J125" s="74"/>
      <c r="K125" s="74"/>
      <c r="L125" s="74"/>
      <c r="M125" s="74"/>
      <c r="N125" s="74"/>
      <c r="O125" s="74"/>
      <c r="P125" s="74"/>
      <c r="Q125" s="544"/>
      <c r="R125" s="544"/>
      <c r="S125" s="544"/>
      <c r="T125" s="544"/>
    </row>
    <row r="126" spans="1:41" s="64" customFormat="1" ht="15" customHeight="1">
      <c r="B126" s="65"/>
      <c r="C126" s="65"/>
    </row>
    <row r="127" spans="1:41" s="64" customFormat="1" ht="15" customHeight="1">
      <c r="A127" s="64" t="str">
        <f>DBCS(【マスター】!C4&amp;【マスター】!D4&amp;"年　"&amp;【マスター】!F4&amp;"月　"&amp;【マスター】!H4&amp;"日")</f>
        <v>令和７年　４月　１日</v>
      </c>
      <c r="B127" s="65"/>
      <c r="C127" s="73"/>
      <c r="D127" s="73"/>
      <c r="E127" s="73"/>
      <c r="F127" s="73"/>
      <c r="G127" s="73"/>
      <c r="H127" s="73"/>
      <c r="I127" s="73"/>
      <c r="J127" s="73"/>
      <c r="K127" s="73"/>
      <c r="L127" s="73"/>
      <c r="M127" s="73"/>
      <c r="N127" s="73"/>
      <c r="O127" s="73"/>
      <c r="P127" s="73"/>
      <c r="Q127" s="73"/>
      <c r="R127" s="73"/>
      <c r="S127" s="73"/>
      <c r="T127" s="73"/>
    </row>
    <row r="128" spans="1:41" s="64" customFormat="1" ht="15" customHeight="1">
      <c r="B128" s="65"/>
      <c r="C128" s="65" t="s">
        <v>502</v>
      </c>
      <c r="D128" s="73"/>
      <c r="E128" s="73"/>
      <c r="F128" s="73"/>
      <c r="G128" s="73"/>
      <c r="H128" s="63" t="s">
        <v>503</v>
      </c>
      <c r="I128" s="63"/>
      <c r="K128" s="2102" t="str">
        <f>DBCS(【マスター】!F23&amp;【マスター】!C24)</f>
        <v>愛知県豊川市大堀町２９３番地</v>
      </c>
      <c r="L128" s="2102"/>
      <c r="M128" s="2102"/>
      <c r="N128" s="2102"/>
      <c r="O128" s="2102"/>
      <c r="P128" s="2102"/>
      <c r="Q128" s="2102"/>
      <c r="R128" s="2102"/>
      <c r="S128" s="2102"/>
      <c r="T128" s="2102"/>
    </row>
    <row r="129" spans="2:20" s="64" customFormat="1" ht="15" customHeight="1">
      <c r="B129" s="65"/>
      <c r="C129" s="65"/>
      <c r="H129" s="63" t="s">
        <v>504</v>
      </c>
      <c r="I129" s="63"/>
      <c r="K129" s="2204" t="str">
        <f>IF(【マスター】!C22="","",【マスター】!C22)</f>
        <v>株式会社ケアサポート</v>
      </c>
      <c r="L129" s="2204"/>
      <c r="M129" s="2204"/>
      <c r="N129" s="2204"/>
      <c r="O129" s="2204"/>
      <c r="P129" s="2204"/>
      <c r="Q129" s="2204"/>
      <c r="R129" s="2204"/>
      <c r="S129" s="2204"/>
      <c r="T129" s="2204"/>
    </row>
    <row r="130" spans="2:20" s="64" customFormat="1" ht="15" customHeight="1">
      <c r="B130" s="65"/>
      <c r="C130" s="65"/>
      <c r="H130" s="63" t="s">
        <v>505</v>
      </c>
      <c r="I130" s="63"/>
      <c r="K130" s="2204" t="str">
        <f>【マスター】!C26&amp;"　"&amp;【マスター】!I26</f>
        <v>代表取締役　本多 康夫</v>
      </c>
      <c r="L130" s="2204"/>
      <c r="M130" s="2204"/>
      <c r="N130" s="2204"/>
      <c r="O130" s="2204"/>
      <c r="P130" s="2204"/>
      <c r="Q130" s="2204"/>
      <c r="R130" s="2204"/>
      <c r="S130" s="2204"/>
      <c r="T130" s="2204"/>
    </row>
    <row r="131" spans="2:20" s="64" customFormat="1" ht="15" customHeight="1">
      <c r="B131" s="65"/>
      <c r="C131" s="73"/>
      <c r="D131" s="73"/>
      <c r="E131" s="73"/>
      <c r="F131" s="73"/>
      <c r="G131" s="73"/>
      <c r="H131" s="77" t="s">
        <v>78</v>
      </c>
      <c r="I131" s="212"/>
      <c r="J131" s="73"/>
      <c r="K131" s="2204" t="str">
        <f>IF(【マスター】!C7="","",【マスター】!C7)</f>
        <v>デイサービスさくら亭</v>
      </c>
      <c r="L131" s="2204"/>
      <c r="M131" s="2204"/>
      <c r="N131" s="2204"/>
      <c r="O131" s="2204"/>
      <c r="P131" s="2204"/>
      <c r="Q131" s="2204"/>
      <c r="R131" s="2204"/>
      <c r="S131" s="2204"/>
      <c r="T131" s="247"/>
    </row>
  </sheetData>
  <sheetProtection selectLockedCells="1"/>
  <mergeCells count="102">
    <mergeCell ref="K131:S131"/>
    <mergeCell ref="B94:T95"/>
    <mergeCell ref="B97:T99"/>
    <mergeCell ref="B100:T102"/>
    <mergeCell ref="B119:T121"/>
    <mergeCell ref="K128:T128"/>
    <mergeCell ref="K129:T129"/>
    <mergeCell ref="K130:T130"/>
    <mergeCell ref="A91:T91"/>
    <mergeCell ref="B122:T122"/>
    <mergeCell ref="B123:T124"/>
    <mergeCell ref="B104:T104"/>
    <mergeCell ref="C105:T106"/>
    <mergeCell ref="C108:T108"/>
    <mergeCell ref="C109:T110"/>
    <mergeCell ref="C111:T111"/>
    <mergeCell ref="C112:T113"/>
    <mergeCell ref="C114:T115"/>
    <mergeCell ref="C116:T117"/>
    <mergeCell ref="I88:J88"/>
    <mergeCell ref="K88:T88"/>
    <mergeCell ref="A84:A88"/>
    <mergeCell ref="I86:J86"/>
    <mergeCell ref="K86:T86"/>
    <mergeCell ref="I87:J87"/>
    <mergeCell ref="K87:T87"/>
    <mergeCell ref="B84:E88"/>
    <mergeCell ref="F84:J84"/>
    <mergeCell ref="K84:T84"/>
    <mergeCell ref="F86:H88"/>
    <mergeCell ref="H28:J28"/>
    <mergeCell ref="K28:T28"/>
    <mergeCell ref="B32:F32"/>
    <mergeCell ref="H32:N32"/>
    <mergeCell ref="F85:J85"/>
    <mergeCell ref="K85:T85"/>
    <mergeCell ref="A34:C35"/>
    <mergeCell ref="D34:L35"/>
    <mergeCell ref="M34:T35"/>
    <mergeCell ref="A36:C40"/>
    <mergeCell ref="M36:T40"/>
    <mergeCell ref="A41:C43"/>
    <mergeCell ref="D41:L43"/>
    <mergeCell ref="M41:T43"/>
    <mergeCell ref="A55:C56"/>
    <mergeCell ref="M55:T56"/>
    <mergeCell ref="M44:T46"/>
    <mergeCell ref="A67:C76"/>
    <mergeCell ref="D72:L73"/>
    <mergeCell ref="D74:L76"/>
    <mergeCell ref="M67:T76"/>
    <mergeCell ref="E80:O80"/>
    <mergeCell ref="D67:L68"/>
    <mergeCell ref="D69:L71"/>
    <mergeCell ref="A2:T3"/>
    <mergeCell ref="B5:T8"/>
    <mergeCell ref="B10:T13"/>
    <mergeCell ref="B14:T16"/>
    <mergeCell ref="B19:F19"/>
    <mergeCell ref="H19:P19"/>
    <mergeCell ref="Q19:T19"/>
    <mergeCell ref="D63:L66"/>
    <mergeCell ref="M50:T54"/>
    <mergeCell ref="H53:K54"/>
    <mergeCell ref="A44:C46"/>
    <mergeCell ref="D44:L46"/>
    <mergeCell ref="A47:C49"/>
    <mergeCell ref="D47:L49"/>
    <mergeCell ref="M47:T49"/>
    <mergeCell ref="A50:C54"/>
    <mergeCell ref="H50:K51"/>
    <mergeCell ref="A63:C66"/>
    <mergeCell ref="A57:C62"/>
    <mergeCell ref="D57:L57"/>
    <mergeCell ref="D60:L60"/>
    <mergeCell ref="M63:T66"/>
    <mergeCell ref="B31:F31"/>
    <mergeCell ref="H31:N31"/>
    <mergeCell ref="D36:L37"/>
    <mergeCell ref="D38:L40"/>
    <mergeCell ref="D55:L56"/>
    <mergeCell ref="M57:T62"/>
    <mergeCell ref="D58:L59"/>
    <mergeCell ref="D61:L62"/>
    <mergeCell ref="B20:F20"/>
    <mergeCell ref="H20:T20"/>
    <mergeCell ref="K22:T22"/>
    <mergeCell ref="H26:J26"/>
    <mergeCell ref="K26:T26"/>
    <mergeCell ref="H25:T25"/>
    <mergeCell ref="B26:F28"/>
    <mergeCell ref="H23:J23"/>
    <mergeCell ref="K23:T23"/>
    <mergeCell ref="B21:F23"/>
    <mergeCell ref="H21:J21"/>
    <mergeCell ref="K21:T21"/>
    <mergeCell ref="H22:J22"/>
    <mergeCell ref="B25:F25"/>
    <mergeCell ref="B29:F29"/>
    <mergeCell ref="H29:T29"/>
    <mergeCell ref="H27:J27"/>
    <mergeCell ref="K27:T27"/>
  </mergeCells>
  <phoneticPr fontId="16"/>
  <dataValidations count="1">
    <dataValidation imeMode="fullAlpha" allowBlank="1" showInputMessage="1" showErrorMessage="1" sqref="H32" xr:uid="{00000000-0002-0000-1400-000000000000}"/>
  </dataValidations>
  <printOptions horizontalCentered="1"/>
  <pageMargins left="0.70866141732283472" right="0.70866141732283472" top="0.55118110236220474" bottom="0.55118110236220474" header="0.31496062992125984" footer="0.31496062992125984"/>
  <pageSetup paperSize="9" scale="96" fitToHeight="0" orientation="portrait" r:id="rId1"/>
  <headerFooter>
    <oddFooter>&amp;L【地域密着型通所介護】</oddFooter>
  </headerFooter>
  <rowBreaks count="2" manualBreakCount="2">
    <brk id="54" max="19" man="1"/>
    <brk id="102" max="1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FF00"/>
    <pageSetUpPr fitToPage="1"/>
  </sheetPr>
  <dimension ref="A1:AO264"/>
  <sheetViews>
    <sheetView view="pageBreakPreview" zoomScaleNormal="100" zoomScaleSheetLayoutView="100" workbookViewId="0">
      <selection activeCell="J1" sqref="J1"/>
    </sheetView>
  </sheetViews>
  <sheetFormatPr defaultColWidth="9" defaultRowHeight="13.5"/>
  <cols>
    <col min="1" max="1" width="4.625" style="1" customWidth="1"/>
    <col min="2" max="3" width="4.625" style="37" customWidth="1"/>
    <col min="4" max="20" width="4.625" style="1" customWidth="1"/>
    <col min="21" max="22" width="0" style="1" hidden="1" customWidth="1"/>
    <col min="23" max="23" width="9" style="280"/>
    <col min="24" max="16384" width="9" style="1"/>
  </cols>
  <sheetData>
    <row r="1" spans="1:24" ht="13.35" customHeight="1">
      <c r="T1" s="38"/>
    </row>
    <row r="2" spans="1:24" ht="15" customHeight="1">
      <c r="A2" s="2126" t="str">
        <f>IF(【マスター】!C7="","",【マスター】!C7)</f>
        <v>デイサービスさくら亭</v>
      </c>
      <c r="B2" s="2126"/>
      <c r="C2" s="2126"/>
      <c r="D2" s="2126"/>
      <c r="E2" s="2126"/>
      <c r="F2" s="2126"/>
      <c r="G2" s="2126"/>
      <c r="H2" s="2126"/>
      <c r="I2" s="2126"/>
      <c r="J2" s="2126"/>
      <c r="K2" s="2126"/>
      <c r="L2" s="2126"/>
      <c r="M2" s="2126"/>
      <c r="N2" s="2126"/>
      <c r="O2" s="2126"/>
      <c r="P2" s="2126"/>
      <c r="Q2" s="2126"/>
      <c r="R2" s="2126"/>
      <c r="S2" s="2126"/>
      <c r="T2" s="2126"/>
    </row>
    <row r="3" spans="1:24" ht="15" customHeight="1" thickBot="1">
      <c r="A3" s="2127"/>
      <c r="B3" s="2127"/>
      <c r="C3" s="2127"/>
      <c r="D3" s="2127"/>
      <c r="E3" s="2127"/>
      <c r="F3" s="2127"/>
      <c r="G3" s="2127"/>
      <c r="H3" s="2127"/>
      <c r="I3" s="2127"/>
      <c r="J3" s="2127"/>
      <c r="K3" s="2127"/>
      <c r="L3" s="2127"/>
      <c r="M3" s="2127"/>
      <c r="N3" s="2127"/>
      <c r="O3" s="2127"/>
      <c r="P3" s="2127"/>
      <c r="Q3" s="2127"/>
      <c r="R3" s="2127"/>
      <c r="S3" s="2127"/>
      <c r="T3" s="2127"/>
    </row>
    <row r="4" spans="1:24" ht="15" customHeight="1">
      <c r="A4" s="2128" t="s">
        <v>1518</v>
      </c>
      <c r="B4" s="2128"/>
      <c r="C4" s="2128"/>
      <c r="D4" s="2128"/>
      <c r="E4" s="2128"/>
      <c r="F4" s="2128"/>
      <c r="G4" s="2128"/>
      <c r="H4" s="2128"/>
      <c r="I4" s="2128"/>
      <c r="J4" s="2128"/>
      <c r="K4" s="2128"/>
      <c r="L4" s="2128"/>
      <c r="M4" s="2128"/>
      <c r="N4" s="2128"/>
      <c r="O4" s="2128"/>
      <c r="P4" s="2128"/>
      <c r="Q4" s="2128"/>
      <c r="R4" s="2128"/>
      <c r="S4" s="2128"/>
      <c r="T4" s="2128"/>
    </row>
    <row r="5" spans="1:24" ht="15" customHeight="1">
      <c r="A5" s="2126"/>
      <c r="B5" s="2126"/>
      <c r="C5" s="2126"/>
      <c r="D5" s="2126"/>
      <c r="E5" s="2126"/>
      <c r="F5" s="2126"/>
      <c r="G5" s="2126"/>
      <c r="H5" s="2126"/>
      <c r="I5" s="2126"/>
      <c r="J5" s="2126"/>
      <c r="K5" s="2126"/>
      <c r="L5" s="2126"/>
      <c r="M5" s="2126"/>
      <c r="N5" s="2126"/>
      <c r="O5" s="2126"/>
      <c r="P5" s="2126"/>
      <c r="Q5" s="2126"/>
      <c r="R5" s="2126"/>
      <c r="S5" s="2126"/>
      <c r="T5" s="2126"/>
    </row>
    <row r="6" spans="1:24" ht="15" customHeight="1">
      <c r="A6" s="480"/>
      <c r="B6" s="480"/>
      <c r="C6" s="480"/>
      <c r="D6" s="480"/>
      <c r="E6" s="480"/>
      <c r="F6" s="480"/>
      <c r="G6" s="480"/>
      <c r="H6" s="480"/>
      <c r="I6" s="480"/>
      <c r="J6" s="480"/>
      <c r="K6" s="480"/>
      <c r="L6" s="480"/>
      <c r="M6" s="480"/>
      <c r="N6" s="480"/>
      <c r="O6" s="480"/>
      <c r="P6" s="480"/>
      <c r="Q6" s="480"/>
      <c r="R6" s="480"/>
      <c r="S6" s="480"/>
      <c r="T6" s="480"/>
    </row>
    <row r="7" spans="1:24" s="31" customFormat="1" ht="15" customHeight="1">
      <c r="A7" s="31" t="s">
        <v>1319</v>
      </c>
      <c r="B7" s="32"/>
      <c r="C7" s="32"/>
      <c r="W7" s="196"/>
    </row>
    <row r="8" spans="1:24" s="31" customFormat="1" ht="75" customHeight="1">
      <c r="A8" s="31" t="s">
        <v>723</v>
      </c>
      <c r="B8" s="32"/>
      <c r="C8" s="1013" t="str">
        <f>"　"&amp;【マスター】!C22&amp;"が開設する"&amp;【マスター】!C7&amp;"(以下「事業所」という。）が行う介護サポートサービス事業（以下「事業」という。）の適正な運営を確保するために人員及び管理運営に関する事項を定め、事業所毎に置くべき介護サポートサービス従業者（以下「従業者」という。）が、要介護状態にある高齢者に対し、適正な介護サポートサービスを提供することを目的とする。"</f>
        <v>　株式会社ケアサポートが開設するデイサービスさくら亭(以下「事業所」という。）が行う介護サポートサービス事業（以下「事業」という。）の適正な運営を確保するために人員及び管理運営に関する事項を定め、事業所毎に置くべき介護サポートサービス従業者（以下「従業者」という。）が、要介護状態にある高齢者に対し、適正な介護サポートサービスを提供することを目的とする。</v>
      </c>
      <c r="D8" s="1013"/>
      <c r="E8" s="1013"/>
      <c r="F8" s="1013"/>
      <c r="G8" s="1013"/>
      <c r="H8" s="1013"/>
      <c r="I8" s="1013"/>
      <c r="J8" s="1013"/>
      <c r="K8" s="1013"/>
      <c r="L8" s="1013"/>
      <c r="M8" s="1013"/>
      <c r="N8" s="1013"/>
      <c r="O8" s="1013"/>
      <c r="P8" s="1013"/>
      <c r="Q8" s="1013"/>
      <c r="R8" s="1013"/>
      <c r="S8" s="1013"/>
      <c r="T8" s="1013"/>
      <c r="W8" s="196"/>
    </row>
    <row r="9" spans="1:24" s="31" customFormat="1" ht="15" customHeight="1">
      <c r="B9" s="32"/>
      <c r="C9" s="32"/>
      <c r="W9" s="196"/>
    </row>
    <row r="10" spans="1:24" s="31" customFormat="1" ht="15" customHeight="1">
      <c r="A10" s="31" t="s">
        <v>1320</v>
      </c>
      <c r="B10" s="32"/>
      <c r="C10" s="32"/>
      <c r="W10" s="196"/>
    </row>
    <row r="11" spans="1:24" s="31" customFormat="1" ht="75" customHeight="1">
      <c r="A11" s="31" t="s">
        <v>728</v>
      </c>
      <c r="B11" s="32"/>
      <c r="C11" s="1013" t="s">
        <v>1519</v>
      </c>
      <c r="D11" s="1013"/>
      <c r="E11" s="1013"/>
      <c r="F11" s="1013"/>
      <c r="G11" s="1013"/>
      <c r="H11" s="1013"/>
      <c r="I11" s="1013"/>
      <c r="J11" s="1013"/>
      <c r="K11" s="1013"/>
      <c r="L11" s="1013"/>
      <c r="M11" s="1013"/>
      <c r="N11" s="1013"/>
      <c r="O11" s="1013"/>
      <c r="P11" s="1013"/>
      <c r="Q11" s="1013"/>
      <c r="R11" s="1013"/>
      <c r="S11" s="1013"/>
      <c r="T11" s="1013"/>
      <c r="U11" s="31" t="s">
        <v>1520</v>
      </c>
      <c r="W11" s="196"/>
    </row>
    <row r="12" spans="1:24" s="31" customFormat="1" ht="30" customHeight="1">
      <c r="B12" s="32" t="s">
        <v>725</v>
      </c>
      <c r="C12" s="1013" t="s">
        <v>1362</v>
      </c>
      <c r="D12" s="1013"/>
      <c r="E12" s="1013"/>
      <c r="F12" s="1013"/>
      <c r="G12" s="1013"/>
      <c r="H12" s="1013"/>
      <c r="I12" s="1013"/>
      <c r="J12" s="1013"/>
      <c r="K12" s="1013"/>
      <c r="L12" s="1013"/>
      <c r="M12" s="1013"/>
      <c r="N12" s="1013"/>
      <c r="O12" s="1013"/>
      <c r="P12" s="1013"/>
      <c r="Q12" s="1013"/>
      <c r="R12" s="1013"/>
      <c r="S12" s="1013"/>
      <c r="T12" s="1013"/>
      <c r="W12" s="196"/>
    </row>
    <row r="13" spans="1:24" s="31" customFormat="1" ht="30" customHeight="1">
      <c r="B13" s="32" t="s">
        <v>741</v>
      </c>
      <c r="C13" s="1013" t="s">
        <v>1363</v>
      </c>
      <c r="D13" s="1013"/>
      <c r="E13" s="1013"/>
      <c r="F13" s="1013"/>
      <c r="G13" s="1013"/>
      <c r="H13" s="1013"/>
      <c r="I13" s="1013"/>
      <c r="J13" s="1013"/>
      <c r="K13" s="1013"/>
      <c r="L13" s="1013"/>
      <c r="M13" s="1013"/>
      <c r="N13" s="1013"/>
      <c r="O13" s="1013"/>
      <c r="P13" s="1013"/>
      <c r="Q13" s="1013"/>
      <c r="R13" s="1013"/>
      <c r="S13" s="1013"/>
      <c r="T13" s="1013"/>
      <c r="W13" s="196"/>
    </row>
    <row r="14" spans="1:24" s="31" customFormat="1" ht="45" customHeight="1">
      <c r="B14" s="32" t="s">
        <v>743</v>
      </c>
      <c r="C14" s="1013" t="s">
        <v>1364</v>
      </c>
      <c r="D14" s="1013"/>
      <c r="E14" s="1013"/>
      <c r="F14" s="1013"/>
      <c r="G14" s="1013"/>
      <c r="H14" s="1013"/>
      <c r="I14" s="1013"/>
      <c r="J14" s="1013"/>
      <c r="K14" s="1013"/>
      <c r="L14" s="1013"/>
      <c r="M14" s="1013"/>
      <c r="N14" s="1013"/>
      <c r="O14" s="1013"/>
      <c r="P14" s="1013"/>
      <c r="Q14" s="1013"/>
      <c r="R14" s="1013"/>
      <c r="S14" s="1013"/>
      <c r="T14" s="1013"/>
      <c r="W14" s="196"/>
      <c r="X14" s="196"/>
    </row>
    <row r="15" spans="1:24" s="31" customFormat="1" ht="60" customHeight="1">
      <c r="B15" s="32" t="s">
        <v>749</v>
      </c>
      <c r="C15" s="1013" t="s">
        <v>1521</v>
      </c>
      <c r="D15" s="1013"/>
      <c r="E15" s="1013"/>
      <c r="F15" s="1013"/>
      <c r="G15" s="1013"/>
      <c r="H15" s="1013"/>
      <c r="I15" s="1013"/>
      <c r="J15" s="1013"/>
      <c r="K15" s="1013"/>
      <c r="L15" s="1013"/>
      <c r="M15" s="1013"/>
      <c r="N15" s="1013"/>
      <c r="O15" s="1013"/>
      <c r="P15" s="1013"/>
      <c r="Q15" s="1013"/>
      <c r="R15" s="1013"/>
      <c r="S15" s="1013"/>
      <c r="T15" s="1013"/>
      <c r="W15" s="196"/>
    </row>
    <row r="16" spans="1:24" s="31" customFormat="1" ht="53.1" customHeight="1">
      <c r="B16" s="32" t="s">
        <v>751</v>
      </c>
      <c r="C16" s="1013" t="str">
        <f>DBCS("　前５項の他、"&amp;【マスター】!C20&amp;"に定める内容を遵守し、事業を実施するものとする。")</f>
        <v>　前５項の他、愛知県における指定通所介護事業所等で提供する宿泊サービス事業の指針に定める内容を遵守し、事業を実施するものとする。</v>
      </c>
      <c r="D16" s="1013"/>
      <c r="E16" s="1013"/>
      <c r="F16" s="1013"/>
      <c r="G16" s="1013"/>
      <c r="H16" s="1013"/>
      <c r="I16" s="1013"/>
      <c r="J16" s="1013"/>
      <c r="K16" s="1013"/>
      <c r="L16" s="1013"/>
      <c r="M16" s="1013"/>
      <c r="N16" s="1013"/>
      <c r="O16" s="1013"/>
      <c r="P16" s="1013"/>
      <c r="Q16" s="1013"/>
      <c r="R16" s="1013"/>
      <c r="S16" s="1013"/>
      <c r="T16" s="1013"/>
      <c r="U16" s="31" t="s">
        <v>1522</v>
      </c>
      <c r="W16" s="196"/>
    </row>
    <row r="17" spans="1:23" s="31" customFormat="1" ht="15" customHeight="1">
      <c r="B17" s="32"/>
      <c r="C17" s="513"/>
      <c r="D17" s="512"/>
      <c r="E17" s="512"/>
      <c r="F17" s="512"/>
      <c r="G17" s="512"/>
      <c r="H17" s="512"/>
      <c r="I17" s="512"/>
      <c r="J17" s="512"/>
      <c r="K17" s="512"/>
      <c r="L17" s="512"/>
      <c r="M17" s="512"/>
      <c r="N17" s="512"/>
      <c r="O17" s="512"/>
      <c r="P17" s="512"/>
      <c r="Q17" s="512"/>
      <c r="R17" s="512"/>
      <c r="S17" s="512"/>
      <c r="T17" s="512"/>
      <c r="W17" s="196"/>
    </row>
    <row r="18" spans="1:23" s="31" customFormat="1" ht="15" customHeight="1">
      <c r="A18" s="31" t="s">
        <v>1366</v>
      </c>
      <c r="B18" s="32"/>
      <c r="C18" s="32"/>
      <c r="W18" s="196"/>
    </row>
    <row r="19" spans="1:23" s="31" customFormat="1" ht="15" customHeight="1">
      <c r="A19" s="31" t="s">
        <v>735</v>
      </c>
      <c r="B19" s="32"/>
      <c r="C19" s="1013" t="s">
        <v>1367</v>
      </c>
      <c r="D19" s="1013"/>
      <c r="E19" s="1013"/>
      <c r="F19" s="1013"/>
      <c r="G19" s="1013"/>
      <c r="H19" s="1013"/>
      <c r="I19" s="1013"/>
      <c r="J19" s="1013"/>
      <c r="K19" s="1013"/>
      <c r="L19" s="1013"/>
      <c r="M19" s="1013"/>
      <c r="N19" s="1013"/>
      <c r="O19" s="1013"/>
      <c r="P19" s="1013"/>
      <c r="Q19" s="1013"/>
      <c r="R19" s="1013"/>
      <c r="S19" s="1013"/>
      <c r="T19" s="1013"/>
      <c r="W19" s="196"/>
    </row>
    <row r="20" spans="1:23" s="31" customFormat="1" ht="15" customHeight="1">
      <c r="B20" s="1233" t="s">
        <v>745</v>
      </c>
      <c r="C20" s="1233"/>
      <c r="D20" s="2125" t="s">
        <v>1368</v>
      </c>
      <c r="E20" s="2125"/>
      <c r="F20" s="2125" t="str">
        <f>【マスター】!C7</f>
        <v>デイサービスさくら亭</v>
      </c>
      <c r="G20" s="2125"/>
      <c r="H20" s="2125"/>
      <c r="I20" s="2125"/>
      <c r="J20" s="2125"/>
      <c r="K20" s="2125"/>
      <c r="L20" s="2125"/>
      <c r="M20" s="2125"/>
      <c r="N20" s="2125"/>
      <c r="O20" s="2125"/>
      <c r="P20" s="2125"/>
      <c r="Q20" s="2125"/>
      <c r="R20" s="2125"/>
      <c r="S20" s="2125"/>
      <c r="T20" s="2125"/>
      <c r="W20" s="196"/>
    </row>
    <row r="21" spans="1:23" s="31" customFormat="1" ht="15" customHeight="1">
      <c r="B21" s="1227" t="s">
        <v>747</v>
      </c>
      <c r="C21" s="1227"/>
      <c r="D21" s="2125" t="s">
        <v>1369</v>
      </c>
      <c r="E21" s="2125"/>
      <c r="F21" s="2125" t="str">
        <f>DBCS(【マスター】!F8&amp;【マスター】!C9)</f>
        <v>愛知県豊橋市東田中郷町１１番</v>
      </c>
      <c r="G21" s="2125"/>
      <c r="H21" s="2125"/>
      <c r="I21" s="2125"/>
      <c r="J21" s="2125"/>
      <c r="K21" s="2125"/>
      <c r="L21" s="2125"/>
      <c r="M21" s="2125"/>
      <c r="N21" s="2125"/>
      <c r="O21" s="2125"/>
      <c r="P21" s="2125"/>
      <c r="Q21" s="2125"/>
      <c r="R21" s="2125"/>
      <c r="S21" s="2125"/>
      <c r="T21" s="2125"/>
      <c r="W21" s="196"/>
    </row>
    <row r="22" spans="1:23" s="31" customFormat="1" ht="15" customHeight="1">
      <c r="B22" s="32"/>
      <c r="C22" s="32"/>
      <c r="W22" s="196"/>
    </row>
    <row r="23" spans="1:23" s="31" customFormat="1" ht="15" customHeight="1">
      <c r="A23" s="31" t="s">
        <v>1370</v>
      </c>
      <c r="B23" s="32"/>
      <c r="C23" s="32"/>
      <c r="W23" s="196"/>
    </row>
    <row r="24" spans="1:23" s="31" customFormat="1" ht="15" customHeight="1">
      <c r="A24" s="31" t="s">
        <v>738</v>
      </c>
      <c r="B24" s="32"/>
      <c r="C24" s="1013" t="s">
        <v>1523</v>
      </c>
      <c r="D24" s="1013"/>
      <c r="E24" s="1013"/>
      <c r="F24" s="1013"/>
      <c r="G24" s="1013"/>
      <c r="H24" s="1013"/>
      <c r="I24" s="1013"/>
      <c r="J24" s="1013"/>
      <c r="K24" s="1013"/>
      <c r="L24" s="1013"/>
      <c r="M24" s="1013"/>
      <c r="N24" s="1013"/>
      <c r="O24" s="1013"/>
      <c r="P24" s="1013"/>
      <c r="Q24" s="1013"/>
      <c r="R24" s="1013"/>
      <c r="S24" s="1013"/>
      <c r="T24" s="1013"/>
      <c r="W24" s="196"/>
    </row>
    <row r="25" spans="1:23" s="31" customFormat="1" ht="15" customHeight="1">
      <c r="B25" s="1233" t="s">
        <v>745</v>
      </c>
      <c r="C25" s="1233"/>
      <c r="D25" s="31" t="s">
        <v>1524</v>
      </c>
      <c r="E25" s="33"/>
      <c r="W25" s="196"/>
    </row>
    <row r="26" spans="1:23" s="31" customFormat="1" ht="30" customHeight="1">
      <c r="B26" s="163"/>
      <c r="C26" s="163"/>
      <c r="D26" s="1013" t="s">
        <v>1525</v>
      </c>
      <c r="E26" s="1013"/>
      <c r="F26" s="1013"/>
      <c r="G26" s="1013"/>
      <c r="H26" s="1013"/>
      <c r="I26" s="1013"/>
      <c r="J26" s="1013"/>
      <c r="K26" s="1013"/>
      <c r="L26" s="1013"/>
      <c r="M26" s="1013"/>
      <c r="N26" s="1013"/>
      <c r="O26" s="1013"/>
      <c r="P26" s="1013"/>
      <c r="Q26" s="1013"/>
      <c r="R26" s="1013"/>
      <c r="S26" s="1013"/>
      <c r="T26" s="1013"/>
      <c r="W26" s="196"/>
    </row>
    <row r="27" spans="1:23" s="31" customFormat="1" ht="15" customHeight="1">
      <c r="B27" s="163"/>
      <c r="C27" s="163"/>
      <c r="D27" s="31" t="s">
        <v>1526</v>
      </c>
      <c r="E27" s="33"/>
      <c r="F27" s="33"/>
      <c r="G27" s="33"/>
      <c r="H27" s="31" t="s">
        <v>1527</v>
      </c>
      <c r="K27" s="33"/>
      <c r="L27" s="33"/>
      <c r="M27" s="33"/>
      <c r="N27" s="215" t="s">
        <v>1528</v>
      </c>
      <c r="P27" s="33"/>
      <c r="Q27" s="33"/>
      <c r="S27" s="512"/>
      <c r="T27" s="512"/>
      <c r="W27" s="196"/>
    </row>
    <row r="28" spans="1:23" s="31" customFormat="1" ht="15" customHeight="1">
      <c r="B28" s="163"/>
      <c r="C28" s="163"/>
      <c r="D28" s="31" t="s">
        <v>1529</v>
      </c>
      <c r="E28" s="33"/>
      <c r="F28" s="33"/>
      <c r="G28" s="33"/>
      <c r="H28" s="31" t="s">
        <v>1530</v>
      </c>
      <c r="K28" s="33"/>
      <c r="L28" s="33"/>
      <c r="M28" s="33"/>
      <c r="N28" s="31" t="s">
        <v>1531</v>
      </c>
      <c r="P28" s="33"/>
      <c r="Q28" s="33"/>
      <c r="S28" s="512"/>
      <c r="T28" s="512"/>
      <c r="W28" s="196"/>
    </row>
    <row r="29" spans="1:23" s="31" customFormat="1" ht="15" customHeight="1">
      <c r="B29" s="1227" t="s">
        <v>747</v>
      </c>
      <c r="C29" s="1227"/>
      <c r="D29" s="31" t="s">
        <v>1532</v>
      </c>
      <c r="W29" s="196"/>
    </row>
    <row r="30" spans="1:23" s="31" customFormat="1" ht="30" customHeight="1">
      <c r="B30" s="162"/>
      <c r="C30" s="162"/>
      <c r="D30" s="1013" t="s">
        <v>1533</v>
      </c>
      <c r="E30" s="1013"/>
      <c r="F30" s="1013"/>
      <c r="G30" s="1013"/>
      <c r="H30" s="1013"/>
      <c r="I30" s="1013"/>
      <c r="J30" s="1013"/>
      <c r="K30" s="1013"/>
      <c r="L30" s="1013"/>
      <c r="M30" s="1013"/>
      <c r="N30" s="1013"/>
      <c r="O30" s="1013"/>
      <c r="P30" s="1013"/>
      <c r="Q30" s="1013"/>
      <c r="R30" s="1013"/>
      <c r="S30" s="1013"/>
      <c r="T30" s="1013"/>
      <c r="W30" s="196"/>
    </row>
    <row r="31" spans="1:23" s="31" customFormat="1" ht="15" customHeight="1">
      <c r="B31" s="1227" t="s">
        <v>775</v>
      </c>
      <c r="C31" s="1227"/>
      <c r="D31" s="31" t="s">
        <v>1534</v>
      </c>
      <c r="J31" s="31" t="s">
        <v>1535</v>
      </c>
      <c r="W31" s="196"/>
    </row>
    <row r="32" spans="1:23" s="31" customFormat="1" ht="15" customHeight="1">
      <c r="B32" s="162"/>
      <c r="C32" s="162"/>
      <c r="D32" s="1013" t="s">
        <v>1536</v>
      </c>
      <c r="E32" s="1013"/>
      <c r="F32" s="1013"/>
      <c r="G32" s="1013"/>
      <c r="H32" s="1013"/>
      <c r="I32" s="1013"/>
      <c r="J32" s="1013"/>
      <c r="K32" s="1013"/>
      <c r="L32" s="1013"/>
      <c r="M32" s="1013"/>
      <c r="N32" s="1013"/>
      <c r="O32" s="1013"/>
      <c r="P32" s="1013"/>
      <c r="Q32" s="1013"/>
      <c r="R32" s="1013"/>
      <c r="S32" s="1013"/>
      <c r="T32" s="1013"/>
      <c r="W32" s="196"/>
    </row>
    <row r="33" spans="1:24" s="31" customFormat="1" ht="15" customHeight="1">
      <c r="B33" s="162"/>
      <c r="C33" s="162"/>
      <c r="D33" s="512"/>
      <c r="E33" s="512"/>
      <c r="F33" s="512"/>
      <c r="G33" s="512"/>
      <c r="H33" s="512"/>
      <c r="I33" s="512"/>
      <c r="J33" s="512"/>
      <c r="K33" s="512"/>
      <c r="L33" s="512"/>
      <c r="M33" s="512"/>
      <c r="N33" s="512"/>
      <c r="O33" s="512"/>
      <c r="P33" s="512"/>
      <c r="Q33" s="512"/>
      <c r="R33" s="512"/>
      <c r="S33" s="512"/>
      <c r="T33" s="512"/>
      <c r="W33" s="196"/>
    </row>
    <row r="34" spans="1:24" s="31" customFormat="1" ht="15" customHeight="1">
      <c r="A34" s="31" t="s">
        <v>1379</v>
      </c>
      <c r="B34" s="32"/>
      <c r="C34" s="32"/>
      <c r="W34" s="196"/>
    </row>
    <row r="35" spans="1:24" s="31" customFormat="1" ht="15" customHeight="1">
      <c r="A35" s="31" t="s">
        <v>754</v>
      </c>
      <c r="B35" s="32"/>
      <c r="C35" s="32" t="s">
        <v>1537</v>
      </c>
      <c r="W35" s="196"/>
    </row>
    <row r="36" spans="1:24" s="31" customFormat="1" ht="15" customHeight="1">
      <c r="B36" s="1233" t="s">
        <v>745</v>
      </c>
      <c r="C36" s="1233"/>
      <c r="D36" s="31" t="s">
        <v>1381</v>
      </c>
      <c r="J36" s="31" t="str">
        <f>【マスター】!K16</f>
        <v>月曜日～日曜日（祝日を含む）</v>
      </c>
      <c r="W36" s="196"/>
    </row>
    <row r="37" spans="1:24" s="31" customFormat="1" ht="15" customHeight="1">
      <c r="B37" s="1227" t="s">
        <v>747</v>
      </c>
      <c r="C37" s="1227"/>
      <c r="D37" s="31" t="s">
        <v>1382</v>
      </c>
      <c r="J37" s="31" t="s">
        <v>875</v>
      </c>
      <c r="W37" s="196"/>
    </row>
    <row r="38" spans="1:24" s="31" customFormat="1" ht="15" customHeight="1">
      <c r="B38" s="1227" t="s">
        <v>775</v>
      </c>
      <c r="C38" s="1227"/>
      <c r="D38" s="31" t="s">
        <v>1383</v>
      </c>
      <c r="J38" s="31" t="s">
        <v>875</v>
      </c>
      <c r="W38" s="196"/>
    </row>
    <row r="39" spans="1:24" s="31" customFormat="1" ht="15" customHeight="1">
      <c r="B39" s="32"/>
      <c r="C39" s="32"/>
      <c r="D39" s="31" t="s">
        <v>1538</v>
      </c>
      <c r="J39" s="31" t="str">
        <f>DBCS(【マスター】!I14&amp;【マスター】!J14&amp;"翌朝"&amp;【マスター】!K14)</f>
        <v>１７：３１～翌朝９：２９</v>
      </c>
      <c r="W39" s="196"/>
    </row>
    <row r="40" spans="1:24" s="31" customFormat="1" ht="15" customHeight="1">
      <c r="B40" s="32"/>
      <c r="C40" s="32"/>
      <c r="W40" s="196"/>
    </row>
    <row r="41" spans="1:24" s="31" customFormat="1" ht="15" customHeight="1">
      <c r="A41" s="31" t="s">
        <v>1385</v>
      </c>
      <c r="B41" s="32"/>
      <c r="C41" s="32"/>
      <c r="W41" s="196"/>
    </row>
    <row r="42" spans="1:24" s="31" customFormat="1" ht="15" customHeight="1">
      <c r="A42" s="31" t="s">
        <v>760</v>
      </c>
      <c r="B42" s="32"/>
      <c r="C42" s="31" t="s">
        <v>1539</v>
      </c>
      <c r="W42" s="196"/>
    </row>
    <row r="43" spans="1:24" s="31" customFormat="1" ht="15" customHeight="1">
      <c r="B43" s="32"/>
      <c r="D43" s="31" t="s">
        <v>1540</v>
      </c>
      <c r="J43" s="31" t="str">
        <f>DBCS(【マスター】!H18&amp;【マスター】!I18)</f>
        <v>６名</v>
      </c>
      <c r="W43" s="196"/>
    </row>
    <row r="44" spans="1:24" s="31" customFormat="1" ht="15" customHeight="1">
      <c r="B44" s="32"/>
      <c r="D44" s="31" t="s">
        <v>1541</v>
      </c>
      <c r="J44" s="31" t="s">
        <v>1542</v>
      </c>
      <c r="X44" s="196"/>
    </row>
    <row r="45" spans="1:24" s="31" customFormat="1" ht="15" customHeight="1">
      <c r="B45" s="32"/>
      <c r="W45" s="196"/>
    </row>
    <row r="46" spans="1:24" s="31" customFormat="1" ht="15" customHeight="1">
      <c r="A46" s="31" t="s">
        <v>1543</v>
      </c>
      <c r="B46" s="32"/>
      <c r="C46" s="32"/>
      <c r="W46" s="196"/>
    </row>
    <row r="47" spans="1:24" s="31" customFormat="1" ht="30" customHeight="1">
      <c r="A47" s="31" t="s">
        <v>764</v>
      </c>
      <c r="B47" s="32"/>
      <c r="C47" s="1013" t="s">
        <v>1544</v>
      </c>
      <c r="D47" s="1013"/>
      <c r="E47" s="1013"/>
      <c r="F47" s="1013"/>
      <c r="G47" s="1013"/>
      <c r="H47" s="1013"/>
      <c r="I47" s="1013"/>
      <c r="J47" s="1013"/>
      <c r="K47" s="1013"/>
      <c r="L47" s="1013"/>
      <c r="M47" s="1013"/>
      <c r="N47" s="1013"/>
      <c r="O47" s="1013"/>
      <c r="P47" s="1013"/>
      <c r="Q47" s="1013"/>
      <c r="R47" s="1013"/>
      <c r="S47" s="1013"/>
      <c r="T47" s="1013"/>
      <c r="W47" s="196"/>
    </row>
    <row r="48" spans="1:24" s="31" customFormat="1" ht="15" customHeight="1">
      <c r="B48" s="1233" t="s">
        <v>745</v>
      </c>
      <c r="C48" s="1233"/>
      <c r="D48" s="49" t="s">
        <v>1545</v>
      </c>
      <c r="E48" s="512"/>
      <c r="F48" s="512"/>
      <c r="G48" s="512"/>
      <c r="H48" s="512"/>
      <c r="I48" s="512"/>
      <c r="J48" s="512"/>
      <c r="K48" s="512"/>
      <c r="L48" s="512"/>
      <c r="M48" s="512"/>
      <c r="N48" s="512"/>
      <c r="O48" s="512"/>
      <c r="P48" s="512"/>
      <c r="Q48" s="512"/>
      <c r="R48" s="512"/>
      <c r="S48" s="512"/>
      <c r="T48" s="512"/>
      <c r="W48" s="196"/>
    </row>
    <row r="49" spans="2:23" s="31" customFormat="1" ht="30" customHeight="1">
      <c r="B49" s="34"/>
      <c r="C49" s="163" t="s">
        <v>393</v>
      </c>
      <c r="D49" s="1013" t="s">
        <v>1546</v>
      </c>
      <c r="E49" s="1013"/>
      <c r="F49" s="1013"/>
      <c r="G49" s="1013"/>
      <c r="H49" s="1013"/>
      <c r="I49" s="1013"/>
      <c r="J49" s="1013"/>
      <c r="K49" s="1013"/>
      <c r="L49" s="1013"/>
      <c r="M49" s="1013"/>
      <c r="N49" s="1013"/>
      <c r="O49" s="1013"/>
      <c r="P49" s="1013"/>
      <c r="Q49" s="1013"/>
      <c r="R49" s="1013"/>
      <c r="S49" s="1013"/>
      <c r="T49" s="1013"/>
      <c r="W49" s="196"/>
    </row>
    <row r="50" spans="2:23" s="31" customFormat="1" ht="30" customHeight="1">
      <c r="B50" s="34"/>
      <c r="C50" s="163" t="s">
        <v>395</v>
      </c>
      <c r="D50" s="1013" t="s">
        <v>1547</v>
      </c>
      <c r="E50" s="1013"/>
      <c r="F50" s="1013"/>
      <c r="G50" s="1013"/>
      <c r="H50" s="1013"/>
      <c r="I50" s="1013"/>
      <c r="J50" s="1013"/>
      <c r="K50" s="1013"/>
      <c r="L50" s="1013"/>
      <c r="M50" s="1013"/>
      <c r="N50" s="1013"/>
      <c r="O50" s="1013"/>
      <c r="P50" s="1013"/>
      <c r="Q50" s="1013"/>
      <c r="R50" s="1013"/>
      <c r="S50" s="1013"/>
      <c r="T50" s="1013"/>
      <c r="W50" s="196"/>
    </row>
    <row r="51" spans="2:23" s="31" customFormat="1" ht="30" customHeight="1">
      <c r="B51" s="34"/>
      <c r="C51" s="163" t="s">
        <v>397</v>
      </c>
      <c r="D51" s="1013" t="s">
        <v>1548</v>
      </c>
      <c r="E51" s="1013"/>
      <c r="F51" s="1013"/>
      <c r="G51" s="1013"/>
      <c r="H51" s="1013"/>
      <c r="I51" s="1013"/>
      <c r="J51" s="1013"/>
      <c r="K51" s="1013"/>
      <c r="L51" s="1013"/>
      <c r="M51" s="1013"/>
      <c r="N51" s="1013"/>
      <c r="O51" s="1013"/>
      <c r="P51" s="1013"/>
      <c r="Q51" s="1013"/>
      <c r="R51" s="1013"/>
      <c r="S51" s="1013"/>
      <c r="T51" s="1013"/>
      <c r="W51" s="196"/>
    </row>
    <row r="52" spans="2:23" s="31" customFormat="1" ht="30" customHeight="1">
      <c r="B52" s="34"/>
      <c r="C52" s="163" t="s">
        <v>399</v>
      </c>
      <c r="D52" s="1013" t="s">
        <v>1549</v>
      </c>
      <c r="E52" s="1013"/>
      <c r="F52" s="1013"/>
      <c r="G52" s="1013"/>
      <c r="H52" s="1013"/>
      <c r="I52" s="1013"/>
      <c r="J52" s="1013"/>
      <c r="K52" s="1013"/>
      <c r="L52" s="1013"/>
      <c r="M52" s="1013"/>
      <c r="N52" s="1013"/>
      <c r="O52" s="1013"/>
      <c r="P52" s="1013"/>
      <c r="Q52" s="1013"/>
      <c r="R52" s="1013"/>
      <c r="S52" s="1013"/>
      <c r="T52" s="1013"/>
      <c r="W52" s="196"/>
    </row>
    <row r="53" spans="2:23" s="31" customFormat="1" ht="15" customHeight="1">
      <c r="B53" s="1227" t="s">
        <v>747</v>
      </c>
      <c r="C53" s="1227"/>
      <c r="D53" s="49" t="s">
        <v>363</v>
      </c>
      <c r="E53" s="49"/>
      <c r="F53" s="49"/>
      <c r="G53" s="49"/>
      <c r="H53" s="49"/>
      <c r="I53" s="49"/>
      <c r="J53" s="49"/>
      <c r="K53" s="49"/>
      <c r="L53" s="49"/>
      <c r="M53" s="49"/>
      <c r="N53" s="49"/>
      <c r="O53" s="49"/>
      <c r="P53" s="49"/>
      <c r="Q53" s="49"/>
      <c r="R53" s="49"/>
      <c r="S53" s="49"/>
      <c r="T53" s="49"/>
      <c r="W53" s="196"/>
    </row>
    <row r="54" spans="2:23" s="31" customFormat="1" ht="30" customHeight="1">
      <c r="B54" s="32"/>
      <c r="C54" s="163" t="s">
        <v>393</v>
      </c>
      <c r="D54" s="1013" t="s">
        <v>1550</v>
      </c>
      <c r="E54" s="1013"/>
      <c r="F54" s="1013"/>
      <c r="G54" s="1013"/>
      <c r="H54" s="1013"/>
      <c r="I54" s="1013"/>
      <c r="J54" s="1013"/>
      <c r="K54" s="1013"/>
      <c r="L54" s="1013"/>
      <c r="M54" s="1013"/>
      <c r="N54" s="1013"/>
      <c r="O54" s="1013"/>
      <c r="P54" s="1013"/>
      <c r="Q54" s="1013"/>
      <c r="R54" s="1013"/>
      <c r="S54" s="1013"/>
      <c r="T54" s="1013"/>
      <c r="W54" s="196"/>
    </row>
    <row r="55" spans="2:23" s="31" customFormat="1" ht="15" customHeight="1">
      <c r="B55" s="34"/>
      <c r="C55" s="163" t="s">
        <v>395</v>
      </c>
      <c r="D55" s="1013" t="s">
        <v>1551</v>
      </c>
      <c r="E55" s="1013"/>
      <c r="F55" s="1013"/>
      <c r="G55" s="1013"/>
      <c r="H55" s="1013"/>
      <c r="I55" s="1013"/>
      <c r="J55" s="1013"/>
      <c r="K55" s="1013"/>
      <c r="L55" s="1013"/>
      <c r="M55" s="1013"/>
      <c r="N55" s="1013"/>
      <c r="O55" s="1013"/>
      <c r="P55" s="1013"/>
      <c r="Q55" s="1013"/>
      <c r="R55" s="1013"/>
      <c r="S55" s="1013"/>
      <c r="T55" s="1013"/>
      <c r="W55" s="196"/>
    </row>
    <row r="56" spans="2:23" s="31" customFormat="1" ht="15" customHeight="1">
      <c r="B56" s="1227" t="s">
        <v>775</v>
      </c>
      <c r="C56" s="1227"/>
      <c r="D56" s="49" t="s">
        <v>1552</v>
      </c>
      <c r="E56" s="49"/>
      <c r="F56" s="49"/>
      <c r="G56" s="49"/>
      <c r="H56" s="49"/>
      <c r="I56" s="49"/>
      <c r="J56" s="49"/>
      <c r="K56" s="49"/>
      <c r="L56" s="49"/>
      <c r="M56" s="49"/>
      <c r="N56" s="49"/>
      <c r="O56" s="49"/>
      <c r="P56" s="49"/>
      <c r="Q56" s="49"/>
      <c r="R56" s="49"/>
      <c r="S56" s="49"/>
      <c r="T56" s="49"/>
      <c r="W56" s="196"/>
    </row>
    <row r="57" spans="2:23" s="31" customFormat="1" ht="15" customHeight="1">
      <c r="B57" s="32"/>
      <c r="C57" s="49"/>
      <c r="D57" s="1013" t="s">
        <v>1553</v>
      </c>
      <c r="E57" s="1013"/>
      <c r="F57" s="1013"/>
      <c r="G57" s="1013"/>
      <c r="H57" s="1013"/>
      <c r="I57" s="1013"/>
      <c r="J57" s="1013"/>
      <c r="K57" s="1013"/>
      <c r="L57" s="1013"/>
      <c r="M57" s="1013"/>
      <c r="N57" s="1013"/>
      <c r="O57" s="1013"/>
      <c r="P57" s="1013"/>
      <c r="Q57" s="1013"/>
      <c r="R57" s="1013"/>
      <c r="S57" s="1013"/>
      <c r="T57" s="1013"/>
      <c r="W57" s="196"/>
    </row>
    <row r="58" spans="2:23" s="31" customFormat="1" ht="15" customHeight="1">
      <c r="B58" s="32"/>
      <c r="C58" s="49"/>
      <c r="D58" s="1013"/>
      <c r="E58" s="1013"/>
      <c r="F58" s="1013"/>
      <c r="G58" s="1013"/>
      <c r="H58" s="1013"/>
      <c r="I58" s="1013"/>
      <c r="J58" s="1013"/>
      <c r="K58" s="1013"/>
      <c r="L58" s="1013"/>
      <c r="M58" s="1013"/>
      <c r="N58" s="1013"/>
      <c r="O58" s="1013"/>
      <c r="P58" s="1013"/>
      <c r="Q58" s="1013"/>
      <c r="R58" s="1013"/>
      <c r="S58" s="1013"/>
      <c r="T58" s="1013"/>
      <c r="W58" s="196"/>
    </row>
    <row r="59" spans="2:23" s="31" customFormat="1" ht="15" customHeight="1">
      <c r="B59" s="32"/>
      <c r="C59" s="49"/>
      <c r="D59" s="1013"/>
      <c r="E59" s="1013"/>
      <c r="F59" s="1013"/>
      <c r="G59" s="1013"/>
      <c r="H59" s="1013"/>
      <c r="I59" s="1013"/>
      <c r="J59" s="1013"/>
      <c r="K59" s="1013"/>
      <c r="L59" s="1013"/>
      <c r="M59" s="1013"/>
      <c r="N59" s="1013"/>
      <c r="O59" s="1013"/>
      <c r="P59" s="1013"/>
      <c r="Q59" s="1013"/>
      <c r="R59" s="1013"/>
      <c r="S59" s="1013"/>
      <c r="T59" s="1013"/>
      <c r="W59" s="196"/>
    </row>
    <row r="60" spans="2:23" s="31" customFormat="1" ht="15" customHeight="1">
      <c r="B60" s="1227" t="s">
        <v>792</v>
      </c>
      <c r="C60" s="1227"/>
      <c r="D60" s="49" t="s">
        <v>1554</v>
      </c>
      <c r="E60" s="49"/>
      <c r="F60" s="49"/>
      <c r="G60" s="49"/>
      <c r="H60" s="49"/>
      <c r="I60" s="49"/>
      <c r="J60" s="49"/>
      <c r="K60" s="49"/>
      <c r="L60" s="49"/>
      <c r="M60" s="49"/>
      <c r="N60" s="49"/>
      <c r="O60" s="49"/>
      <c r="P60" s="49"/>
      <c r="Q60" s="49"/>
      <c r="R60" s="49"/>
      <c r="S60" s="49"/>
      <c r="T60" s="49"/>
      <c r="W60" s="196"/>
    </row>
    <row r="61" spans="2:23" s="31" customFormat="1" ht="45" customHeight="1">
      <c r="B61" s="162"/>
      <c r="C61" s="162"/>
      <c r="D61" s="1013" t="s">
        <v>1555</v>
      </c>
      <c r="E61" s="1013"/>
      <c r="F61" s="1013"/>
      <c r="G61" s="1013"/>
      <c r="H61" s="1013"/>
      <c r="I61" s="1013"/>
      <c r="J61" s="1013"/>
      <c r="K61" s="1013"/>
      <c r="L61" s="1013"/>
      <c r="M61" s="1013"/>
      <c r="N61" s="1013"/>
      <c r="O61" s="1013"/>
      <c r="P61" s="1013"/>
      <c r="Q61" s="1013"/>
      <c r="R61" s="1013"/>
      <c r="S61" s="1013"/>
      <c r="T61" s="1013"/>
      <c r="U61" s="31" t="s">
        <v>1556</v>
      </c>
      <c r="W61" s="196"/>
    </row>
    <row r="62" spans="2:23" s="31" customFormat="1" ht="15" customHeight="1">
      <c r="B62" s="1227" t="s">
        <v>826</v>
      </c>
      <c r="C62" s="1227"/>
      <c r="D62" s="49" t="s">
        <v>1401</v>
      </c>
      <c r="E62" s="49"/>
      <c r="F62" s="49"/>
      <c r="G62" s="49"/>
      <c r="H62" s="49"/>
      <c r="I62" s="49"/>
      <c r="J62" s="49"/>
      <c r="K62" s="49"/>
      <c r="L62" s="49"/>
      <c r="M62" s="49"/>
      <c r="N62" s="49"/>
      <c r="O62" s="49"/>
      <c r="P62" s="49"/>
      <c r="Q62" s="49"/>
      <c r="R62" s="49"/>
      <c r="S62" s="49"/>
      <c r="T62" s="49"/>
      <c r="W62" s="196"/>
    </row>
    <row r="63" spans="2:23" s="31" customFormat="1" ht="45" customHeight="1">
      <c r="B63" s="162"/>
      <c r="C63" s="162"/>
      <c r="D63" s="1013" t="s">
        <v>1402</v>
      </c>
      <c r="E63" s="1013"/>
      <c r="F63" s="1013"/>
      <c r="G63" s="1013"/>
      <c r="H63" s="1013"/>
      <c r="I63" s="1013"/>
      <c r="J63" s="1013"/>
      <c r="K63" s="1013"/>
      <c r="L63" s="1013"/>
      <c r="M63" s="1013"/>
      <c r="N63" s="1013"/>
      <c r="O63" s="1013"/>
      <c r="P63" s="1013"/>
      <c r="Q63" s="1013"/>
      <c r="R63" s="1013"/>
      <c r="S63" s="1013"/>
      <c r="T63" s="1013"/>
      <c r="W63" s="196"/>
    </row>
    <row r="64" spans="2:23" s="31" customFormat="1" ht="30" customHeight="1">
      <c r="B64" s="162"/>
      <c r="C64" s="162"/>
      <c r="D64" s="1013" t="s">
        <v>1403</v>
      </c>
      <c r="E64" s="1013"/>
      <c r="F64" s="1013"/>
      <c r="G64" s="1013"/>
      <c r="H64" s="1013"/>
      <c r="I64" s="1013"/>
      <c r="J64" s="1013"/>
      <c r="K64" s="1013"/>
      <c r="L64" s="1013"/>
      <c r="M64" s="1013"/>
      <c r="N64" s="1013"/>
      <c r="O64" s="1013"/>
      <c r="P64" s="1013"/>
      <c r="Q64" s="1013"/>
      <c r="R64" s="1013"/>
      <c r="S64" s="1013"/>
      <c r="T64" s="1013"/>
      <c r="W64" s="196"/>
    </row>
    <row r="65" spans="1:24" s="31" customFormat="1" ht="15" customHeight="1">
      <c r="B65" s="1227" t="s">
        <v>963</v>
      </c>
      <c r="C65" s="1227"/>
      <c r="D65" s="49" t="s">
        <v>137</v>
      </c>
      <c r="E65" s="49"/>
      <c r="F65" s="49"/>
      <c r="G65" s="49"/>
      <c r="H65" s="49"/>
      <c r="I65" s="49"/>
      <c r="J65" s="49"/>
      <c r="K65" s="49"/>
      <c r="L65" s="49"/>
      <c r="M65" s="49"/>
      <c r="N65" s="49"/>
      <c r="O65" s="49"/>
      <c r="P65" s="49"/>
      <c r="Q65" s="49"/>
      <c r="R65" s="49"/>
      <c r="S65" s="49"/>
      <c r="T65" s="49"/>
      <c r="U65" s="31" t="s">
        <v>1557</v>
      </c>
      <c r="W65" s="196"/>
    </row>
    <row r="66" spans="1:24" s="31" customFormat="1" ht="30" customHeight="1">
      <c r="B66" s="32"/>
      <c r="C66" s="49"/>
      <c r="D66" s="1013" t="s">
        <v>1558</v>
      </c>
      <c r="E66" s="1013"/>
      <c r="F66" s="1013"/>
      <c r="G66" s="1013"/>
      <c r="H66" s="1013"/>
      <c r="I66" s="1013"/>
      <c r="J66" s="1013"/>
      <c r="K66" s="1013"/>
      <c r="L66" s="1013"/>
      <c r="M66" s="1013"/>
      <c r="N66" s="1013"/>
      <c r="O66" s="1013"/>
      <c r="P66" s="1013"/>
      <c r="Q66" s="1013"/>
      <c r="R66" s="1013"/>
      <c r="S66" s="1013"/>
      <c r="T66" s="1013"/>
      <c r="W66" s="196"/>
    </row>
    <row r="67" spans="1:24" s="31" customFormat="1" ht="15" customHeight="1">
      <c r="B67" s="32"/>
      <c r="C67" s="32"/>
      <c r="W67" s="196"/>
    </row>
    <row r="68" spans="1:24" s="31" customFormat="1" ht="15" customHeight="1">
      <c r="A68" s="31" t="s">
        <v>1559</v>
      </c>
      <c r="B68" s="32"/>
      <c r="C68" s="32"/>
      <c r="W68" s="196"/>
    </row>
    <row r="69" spans="1:24" s="31" customFormat="1" ht="60" customHeight="1">
      <c r="A69" s="31" t="s">
        <v>767</v>
      </c>
      <c r="B69" s="32"/>
      <c r="C69" s="1013" t="s">
        <v>1560</v>
      </c>
      <c r="D69" s="1013"/>
      <c r="E69" s="1013"/>
      <c r="F69" s="1013"/>
      <c r="G69" s="1013"/>
      <c r="H69" s="1013"/>
      <c r="I69" s="1013"/>
      <c r="J69" s="1013"/>
      <c r="K69" s="1013"/>
      <c r="L69" s="1013"/>
      <c r="M69" s="1013"/>
      <c r="N69" s="1013"/>
      <c r="O69" s="1013"/>
      <c r="P69" s="1013"/>
      <c r="Q69" s="1013"/>
      <c r="R69" s="1013"/>
      <c r="S69" s="1013"/>
      <c r="T69" s="1013"/>
      <c r="X69" s="196"/>
    </row>
    <row r="70" spans="1:24" s="31" customFormat="1" ht="30" customHeight="1">
      <c r="B70" s="32" t="s">
        <v>725</v>
      </c>
      <c r="C70" s="1013" t="s">
        <v>1561</v>
      </c>
      <c r="D70" s="1013"/>
      <c r="E70" s="1013"/>
      <c r="F70" s="1013"/>
      <c r="G70" s="1013"/>
      <c r="H70" s="1013"/>
      <c r="I70" s="1013"/>
      <c r="J70" s="1013"/>
      <c r="K70" s="1013"/>
      <c r="L70" s="1013"/>
      <c r="M70" s="1013"/>
      <c r="N70" s="1013"/>
      <c r="O70" s="1013"/>
      <c r="P70" s="1013"/>
      <c r="Q70" s="1013"/>
      <c r="R70" s="1013"/>
      <c r="S70" s="1013"/>
      <c r="T70" s="1013"/>
      <c r="W70" s="196"/>
    </row>
    <row r="71" spans="1:24" s="31" customFormat="1" ht="15" customHeight="1">
      <c r="B71" s="32"/>
      <c r="C71" s="32"/>
      <c r="W71" s="196"/>
    </row>
    <row r="72" spans="1:24" s="31" customFormat="1" ht="15" customHeight="1">
      <c r="A72" s="31" t="s">
        <v>1562</v>
      </c>
      <c r="B72" s="32"/>
      <c r="C72" s="32"/>
      <c r="W72" s="196"/>
    </row>
    <row r="73" spans="1:24" s="31" customFormat="1" ht="30" customHeight="1">
      <c r="A73" s="31" t="s">
        <v>771</v>
      </c>
      <c r="B73" s="32"/>
      <c r="C73" s="1093" t="s">
        <v>1563</v>
      </c>
      <c r="D73" s="1093"/>
      <c r="E73" s="1093"/>
      <c r="F73" s="1093"/>
      <c r="G73" s="1093"/>
      <c r="H73" s="1093"/>
      <c r="I73" s="1093"/>
      <c r="J73" s="1093"/>
      <c r="K73" s="1093"/>
      <c r="L73" s="1093"/>
      <c r="M73" s="1093"/>
      <c r="N73" s="1093"/>
      <c r="O73" s="1093"/>
      <c r="P73" s="1093"/>
      <c r="Q73" s="1093"/>
      <c r="R73" s="1093"/>
      <c r="S73" s="1093"/>
      <c r="T73" s="1093"/>
      <c r="W73" s="196"/>
    </row>
    <row r="74" spans="1:24" s="31" customFormat="1" ht="30" customHeight="1">
      <c r="B74" s="32" t="s">
        <v>725</v>
      </c>
      <c r="C74" s="1013" t="s">
        <v>1564</v>
      </c>
      <c r="D74" s="1013"/>
      <c r="E74" s="1013"/>
      <c r="F74" s="1013"/>
      <c r="G74" s="1013"/>
      <c r="H74" s="1013"/>
      <c r="I74" s="1013"/>
      <c r="J74" s="1013"/>
      <c r="K74" s="1013"/>
      <c r="L74" s="1013"/>
      <c r="M74" s="1013"/>
      <c r="N74" s="1013"/>
      <c r="O74" s="1013"/>
      <c r="P74" s="1013"/>
      <c r="Q74" s="1013"/>
      <c r="R74" s="1013"/>
      <c r="S74" s="1013"/>
      <c r="T74" s="1013"/>
      <c r="W74" s="196"/>
    </row>
    <row r="75" spans="1:24" s="31" customFormat="1" ht="15" customHeight="1">
      <c r="B75" s="32"/>
      <c r="C75" s="32"/>
      <c r="W75" s="196"/>
    </row>
    <row r="76" spans="1:24" s="31" customFormat="1" ht="15" customHeight="1">
      <c r="A76" s="31" t="s">
        <v>1417</v>
      </c>
      <c r="B76" s="32"/>
      <c r="C76" s="32"/>
      <c r="W76" s="196"/>
    </row>
    <row r="77" spans="1:24" s="31" customFormat="1" ht="60" customHeight="1">
      <c r="A77" s="31" t="s">
        <v>778</v>
      </c>
      <c r="B77" s="32"/>
      <c r="C77" s="1013" t="s">
        <v>1565</v>
      </c>
      <c r="D77" s="1013"/>
      <c r="E77" s="1013"/>
      <c r="F77" s="1013"/>
      <c r="G77" s="1013"/>
      <c r="H77" s="1013"/>
      <c r="I77" s="1013"/>
      <c r="J77" s="1013"/>
      <c r="K77" s="1013"/>
      <c r="L77" s="1013"/>
      <c r="M77" s="1013"/>
      <c r="N77" s="1013"/>
      <c r="O77" s="1013"/>
      <c r="P77" s="1013"/>
      <c r="Q77" s="1013"/>
      <c r="R77" s="1013"/>
      <c r="S77" s="1013"/>
      <c r="T77" s="1013"/>
      <c r="W77" s="196"/>
    </row>
    <row r="78" spans="1:24" s="31" customFormat="1" ht="15" customHeight="1">
      <c r="B78" s="32"/>
      <c r="C78" s="32"/>
      <c r="W78" s="196"/>
    </row>
    <row r="79" spans="1:24" s="31" customFormat="1" ht="15" customHeight="1">
      <c r="A79" s="31" t="s">
        <v>1566</v>
      </c>
      <c r="B79" s="32"/>
      <c r="C79" s="32"/>
      <c r="W79" s="196"/>
    </row>
    <row r="80" spans="1:24" s="31" customFormat="1" ht="15" customHeight="1">
      <c r="A80" s="31" t="s">
        <v>781</v>
      </c>
      <c r="C80" s="31" t="s">
        <v>1567</v>
      </c>
      <c r="W80" s="196"/>
    </row>
    <row r="81" spans="1:24" s="31" customFormat="1" ht="15" customHeight="1">
      <c r="B81" s="32"/>
      <c r="M81" s="40" t="s">
        <v>1568</v>
      </c>
      <c r="N81" s="1014" t="str">
        <f>DBCS(TEXT(【マスター】!J40,"＃＃＃＃、＃＃０"))</f>
        <v>３，５００</v>
      </c>
      <c r="O81" s="1014"/>
      <c r="P81" s="1014"/>
      <c r="Q81" s="31" t="s">
        <v>1424</v>
      </c>
      <c r="W81" s="196"/>
    </row>
    <row r="82" spans="1:24" s="31" customFormat="1" ht="15" customHeight="1">
      <c r="B82" s="32"/>
      <c r="M82" s="40" t="s">
        <v>1569</v>
      </c>
      <c r="N82" s="1014" t="str">
        <f>DBCS(TEXT(【マスター】!J41,"＃＃＃＃、＃＃０"))</f>
        <v>３，５００</v>
      </c>
      <c r="O82" s="1014"/>
      <c r="P82" s="1014"/>
      <c r="Q82" s="31" t="s">
        <v>1424</v>
      </c>
      <c r="W82" s="196"/>
    </row>
    <row r="83" spans="1:24" s="31" customFormat="1" ht="15" customHeight="1">
      <c r="B83" s="32" t="s">
        <v>725</v>
      </c>
      <c r="C83" s="31" t="str">
        <f>DBCS("　夜間サポートサービスの費用については、１回あたり"&amp;TEXT(【マスター】!J42,"＃＃＃＃、＃＃０")&amp;"円を徴収する。")</f>
        <v>　夜間サポートサービスの費用については、１回あたり１，２００円を徴収する。</v>
      </c>
      <c r="P83" s="604"/>
      <c r="W83" s="196"/>
    </row>
    <row r="84" spans="1:24" s="31" customFormat="1" ht="30" customHeight="1">
      <c r="B84" s="32" t="s">
        <v>1440</v>
      </c>
      <c r="C84" s="1013" t="str">
        <f>DBCS("　自費延長サービス及び時間外サービスの費用については合計時間１時間につき"&amp;TEXT(【マスター】!J43,"＃＃＃＃、＃＃０")&amp;"円を徴収する。")</f>
        <v>　自費延長サービス及び時間外サービスの費用については合計時間１時間につき２００円を徴収する。</v>
      </c>
      <c r="D84" s="1013"/>
      <c r="E84" s="1013"/>
      <c r="F84" s="1013"/>
      <c r="G84" s="1013"/>
      <c r="H84" s="1013"/>
      <c r="I84" s="1013"/>
      <c r="J84" s="1013"/>
      <c r="K84" s="1013"/>
      <c r="L84" s="1013"/>
      <c r="M84" s="1013"/>
      <c r="N84" s="1013"/>
      <c r="O84" s="1013"/>
      <c r="P84" s="1013"/>
      <c r="Q84" s="1013"/>
      <c r="R84" s="1013"/>
      <c r="S84" s="1013"/>
      <c r="T84" s="1013"/>
      <c r="W84" s="196"/>
    </row>
    <row r="85" spans="1:24" s="31" customFormat="1" ht="15" customHeight="1">
      <c r="B85" s="32" t="s">
        <v>743</v>
      </c>
      <c r="C85" s="1013" t="s">
        <v>1570</v>
      </c>
      <c r="D85" s="1013"/>
      <c r="E85" s="1013"/>
      <c r="F85" s="1013"/>
      <c r="G85" s="1013"/>
      <c r="H85" s="1013"/>
      <c r="I85" s="1013"/>
      <c r="J85" s="1013"/>
      <c r="K85" s="1013"/>
      <c r="L85" s="1013"/>
      <c r="M85" s="1013"/>
      <c r="N85" s="1013"/>
      <c r="O85" s="1013"/>
      <c r="P85" s="1013"/>
      <c r="Q85" s="1013"/>
      <c r="R85" s="1013"/>
      <c r="S85" s="1013"/>
      <c r="T85" s="1013"/>
      <c r="W85" s="196"/>
    </row>
    <row r="86" spans="1:24" s="31" customFormat="1" ht="15" customHeight="1">
      <c r="B86" s="32"/>
      <c r="C86" s="512"/>
      <c r="I86" s="49" t="s">
        <v>188</v>
      </c>
      <c r="J86" s="49"/>
      <c r="M86" s="298" t="s">
        <v>1333</v>
      </c>
      <c r="P86" s="40" t="str">
        <f>DBCS(【マスター】!K44)</f>
        <v>５００</v>
      </c>
      <c r="Q86" s="31" t="s">
        <v>1424</v>
      </c>
      <c r="R86" s="49"/>
      <c r="S86" s="49"/>
      <c r="T86" s="49"/>
      <c r="W86" s="196"/>
    </row>
    <row r="87" spans="1:24" s="31" customFormat="1" ht="15" customHeight="1">
      <c r="B87" s="32"/>
      <c r="C87" s="512"/>
      <c r="I87" s="49" t="s">
        <v>190</v>
      </c>
      <c r="J87" s="49"/>
      <c r="M87" s="298" t="s">
        <v>1333</v>
      </c>
      <c r="P87" s="40" t="str">
        <f>DBCS(【マスター】!K45)</f>
        <v>５７０</v>
      </c>
      <c r="Q87" s="31" t="s">
        <v>1424</v>
      </c>
      <c r="R87" s="49"/>
      <c r="S87" s="49"/>
      <c r="T87" s="49"/>
      <c r="W87" s="196"/>
    </row>
    <row r="88" spans="1:24" s="31" customFormat="1" ht="15" customHeight="1">
      <c r="B88" s="32"/>
      <c r="C88" s="512"/>
      <c r="I88" s="49" t="s">
        <v>192</v>
      </c>
      <c r="J88" s="49"/>
      <c r="M88" s="298" t="s">
        <v>1333</v>
      </c>
      <c r="P88" s="40" t="str">
        <f>DBCS(【マスター】!K46)</f>
        <v>６３０</v>
      </c>
      <c r="Q88" s="31" t="s">
        <v>1424</v>
      </c>
      <c r="R88" s="49"/>
      <c r="S88" s="49"/>
      <c r="T88" s="49"/>
      <c r="W88" s="196"/>
    </row>
    <row r="89" spans="1:24" s="31" customFormat="1" ht="15" customHeight="1">
      <c r="B89" s="32" t="s">
        <v>1500</v>
      </c>
      <c r="C89" s="32" t="s">
        <v>1426</v>
      </c>
      <c r="D89" s="32"/>
      <c r="E89" s="32"/>
      <c r="F89" s="32"/>
      <c r="G89" s="32"/>
      <c r="H89" s="32"/>
      <c r="I89" s="512"/>
      <c r="J89" s="512"/>
      <c r="K89" s="512"/>
      <c r="L89" s="512"/>
      <c r="M89" s="512"/>
      <c r="O89" s="512"/>
      <c r="P89" s="512"/>
      <c r="Q89" s="512"/>
      <c r="R89" s="512"/>
      <c r="S89" s="512"/>
      <c r="T89" s="512"/>
      <c r="W89" s="196"/>
    </row>
    <row r="90" spans="1:24" s="31" customFormat="1" ht="15" customHeight="1">
      <c r="A90" s="231"/>
      <c r="B90" s="32"/>
      <c r="G90" s="32" t="s">
        <v>1571</v>
      </c>
      <c r="M90" s="231" t="s">
        <v>1333</v>
      </c>
      <c r="P90" s="40" t="str">
        <f>DBCS(【マスター】!J47)</f>
        <v>１００</v>
      </c>
      <c r="Q90" s="31" t="s">
        <v>1424</v>
      </c>
      <c r="R90" s="32"/>
      <c r="S90" s="32"/>
      <c r="W90" s="196"/>
      <c r="X90" s="751" t="s">
        <v>1905</v>
      </c>
    </row>
    <row r="91" spans="1:24" s="31" customFormat="1" ht="15" customHeight="1">
      <c r="A91" s="231"/>
      <c r="B91" s="32"/>
      <c r="G91" s="32" t="s">
        <v>1572</v>
      </c>
      <c r="J91" s="231"/>
      <c r="M91" s="231" t="s">
        <v>1333</v>
      </c>
      <c r="P91" s="40" t="str">
        <f>DBCS(【マスター】!J48)</f>
        <v>５０</v>
      </c>
      <c r="Q91" s="31" t="s">
        <v>1424</v>
      </c>
      <c r="W91" s="196"/>
      <c r="X91" s="751" t="s">
        <v>1905</v>
      </c>
    </row>
    <row r="92" spans="1:24" s="31" customFormat="1" ht="15" customHeight="1">
      <c r="B92" s="32" t="s">
        <v>1502</v>
      </c>
      <c r="C92" s="31" t="str">
        <f>DBCS("　付き添いサービスの費用ついては、１時間あたり"&amp;TEXT(【マスター】!J49,"＃＃＃＃、＃＃０")&amp;"円を徴収する。")</f>
        <v>　付き添いサービスの費用ついては、１時間あたり２００円を徴収する。</v>
      </c>
      <c r="D92" s="32"/>
      <c r="E92" s="34"/>
      <c r="F92" s="34"/>
      <c r="H92" s="605"/>
      <c r="I92" s="32"/>
      <c r="J92" s="512"/>
      <c r="K92" s="512"/>
      <c r="L92" s="512"/>
      <c r="M92" s="512"/>
      <c r="O92" s="512"/>
      <c r="P92" s="512"/>
      <c r="Q92" s="512"/>
      <c r="R92" s="512"/>
      <c r="S92" s="512"/>
      <c r="T92" s="512"/>
      <c r="W92" s="196"/>
    </row>
    <row r="93" spans="1:24" s="31" customFormat="1" ht="15" customHeight="1">
      <c r="B93" s="32" t="s">
        <v>1503</v>
      </c>
      <c r="C93" s="1013" t="s">
        <v>1573</v>
      </c>
      <c r="D93" s="1013"/>
      <c r="E93" s="1013"/>
      <c r="F93" s="1013"/>
      <c r="G93" s="1013"/>
      <c r="H93" s="1013"/>
      <c r="I93" s="1013"/>
      <c r="J93" s="1013"/>
      <c r="K93" s="1013"/>
      <c r="L93" s="1013"/>
      <c r="M93" s="1013"/>
      <c r="N93" s="1013"/>
      <c r="O93" s="1013"/>
      <c r="P93" s="1013"/>
      <c r="Q93" s="1013"/>
      <c r="R93" s="1013"/>
      <c r="S93" s="1013"/>
      <c r="T93" s="1013"/>
      <c r="U93" s="31" t="s">
        <v>1574</v>
      </c>
      <c r="W93" s="196"/>
    </row>
    <row r="94" spans="1:24" s="31" customFormat="1" ht="15" customHeight="1">
      <c r="B94" s="32"/>
      <c r="C94" s="1013"/>
      <c r="D94" s="1013"/>
      <c r="E94" s="1013"/>
      <c r="F94" s="1013"/>
      <c r="G94" s="1013"/>
      <c r="H94" s="1013"/>
      <c r="I94" s="1013"/>
      <c r="J94" s="1013"/>
      <c r="K94" s="1013"/>
      <c r="L94" s="1013"/>
      <c r="M94" s="1013"/>
      <c r="N94" s="1013"/>
      <c r="O94" s="1013"/>
      <c r="P94" s="1013"/>
      <c r="Q94" s="1013"/>
      <c r="R94" s="1013"/>
      <c r="S94" s="1013"/>
      <c r="T94" s="1013"/>
      <c r="W94" s="196"/>
    </row>
    <row r="95" spans="1:24" s="31" customFormat="1" ht="15" customHeight="1">
      <c r="B95" s="32"/>
      <c r="C95" s="1013"/>
      <c r="D95" s="1013"/>
      <c r="E95" s="1013"/>
      <c r="F95" s="1013"/>
      <c r="G95" s="1013"/>
      <c r="H95" s="1013"/>
      <c r="I95" s="1013"/>
      <c r="J95" s="1013"/>
      <c r="K95" s="1013"/>
      <c r="L95" s="1013"/>
      <c r="M95" s="1013"/>
      <c r="N95" s="1013"/>
      <c r="O95" s="1013"/>
      <c r="P95" s="1013"/>
      <c r="Q95" s="1013"/>
      <c r="R95" s="1013"/>
      <c r="S95" s="1013"/>
      <c r="T95" s="1013"/>
      <c r="W95" s="196"/>
    </row>
    <row r="96" spans="1:24" s="31" customFormat="1" ht="15" customHeight="1">
      <c r="B96" s="32" t="s">
        <v>799</v>
      </c>
      <c r="C96" s="1013" t="s">
        <v>1575</v>
      </c>
      <c r="D96" s="1013"/>
      <c r="E96" s="1013"/>
      <c r="F96" s="1013"/>
      <c r="G96" s="1013"/>
      <c r="H96" s="1013"/>
      <c r="I96" s="1013"/>
      <c r="J96" s="1013"/>
      <c r="K96" s="1013"/>
      <c r="L96" s="1013"/>
      <c r="M96" s="1013"/>
      <c r="N96" s="1013"/>
      <c r="O96" s="1013"/>
      <c r="P96" s="1013"/>
      <c r="Q96" s="1013"/>
      <c r="R96" s="1013"/>
      <c r="S96" s="1013"/>
      <c r="T96" s="1013"/>
      <c r="U96" s="31" t="s">
        <v>1576</v>
      </c>
      <c r="W96" s="196"/>
    </row>
    <row r="97" spans="1:24" s="31" customFormat="1" ht="15" customHeight="1">
      <c r="B97" s="32"/>
      <c r="C97" s="1013"/>
      <c r="D97" s="1013"/>
      <c r="E97" s="1013"/>
      <c r="F97" s="1013"/>
      <c r="G97" s="1013"/>
      <c r="H97" s="1013"/>
      <c r="I97" s="1013"/>
      <c r="J97" s="1013"/>
      <c r="K97" s="1013"/>
      <c r="L97" s="1013"/>
      <c r="M97" s="1013"/>
      <c r="N97" s="1013"/>
      <c r="O97" s="1013"/>
      <c r="P97" s="1013"/>
      <c r="Q97" s="1013"/>
      <c r="R97" s="1013"/>
      <c r="S97" s="1013"/>
      <c r="T97" s="1013"/>
      <c r="W97" s="196"/>
    </row>
    <row r="98" spans="1:24" s="31" customFormat="1" ht="15" customHeight="1">
      <c r="B98" s="32" t="s">
        <v>801</v>
      </c>
      <c r="C98" s="1013" t="s">
        <v>1577</v>
      </c>
      <c r="D98" s="1013"/>
      <c r="E98" s="1013"/>
      <c r="F98" s="1013"/>
      <c r="G98" s="1013"/>
      <c r="H98" s="1013"/>
      <c r="I98" s="1013"/>
      <c r="J98" s="1013"/>
      <c r="K98" s="1013"/>
      <c r="L98" s="1013"/>
      <c r="M98" s="1013"/>
      <c r="N98" s="1013"/>
      <c r="O98" s="1013"/>
      <c r="P98" s="1013"/>
      <c r="Q98" s="1013"/>
      <c r="R98" s="1013"/>
      <c r="S98" s="1013"/>
      <c r="T98" s="1013"/>
      <c r="U98" s="31" t="s">
        <v>1574</v>
      </c>
      <c r="W98" s="196"/>
    </row>
    <row r="99" spans="1:24" s="31" customFormat="1" ht="15" customHeight="1">
      <c r="C99" s="1013"/>
      <c r="D99" s="1013"/>
      <c r="E99" s="1013"/>
      <c r="F99" s="1013"/>
      <c r="G99" s="1013"/>
      <c r="H99" s="1013"/>
      <c r="I99" s="1013"/>
      <c r="J99" s="1013"/>
      <c r="K99" s="1013"/>
      <c r="L99" s="1013"/>
      <c r="M99" s="1013"/>
      <c r="N99" s="1013"/>
      <c r="O99" s="1013"/>
      <c r="P99" s="1013"/>
      <c r="Q99" s="1013"/>
      <c r="R99" s="1013"/>
      <c r="S99" s="1013"/>
      <c r="T99" s="1013"/>
      <c r="W99" s="196"/>
    </row>
    <row r="100" spans="1:24" s="31" customFormat="1" ht="15" customHeight="1">
      <c r="C100" s="1013"/>
      <c r="D100" s="1013"/>
      <c r="E100" s="1013"/>
      <c r="F100" s="1013"/>
      <c r="G100" s="1013"/>
      <c r="H100" s="1013"/>
      <c r="I100" s="1013"/>
      <c r="J100" s="1013"/>
      <c r="K100" s="1013"/>
      <c r="L100" s="1013"/>
      <c r="M100" s="1013"/>
      <c r="N100" s="1013"/>
      <c r="O100" s="1013"/>
      <c r="P100" s="1013"/>
      <c r="Q100" s="1013"/>
      <c r="R100" s="1013"/>
      <c r="S100" s="1013"/>
      <c r="T100" s="1013"/>
      <c r="W100" s="196"/>
    </row>
    <row r="101" spans="1:24" s="31" customFormat="1" ht="15" customHeight="1">
      <c r="B101" s="32" t="s">
        <v>1578</v>
      </c>
      <c r="C101" s="1013" t="s">
        <v>1430</v>
      </c>
      <c r="D101" s="1013"/>
      <c r="E101" s="1013"/>
      <c r="F101" s="1013"/>
      <c r="G101" s="1013"/>
      <c r="H101" s="1013"/>
      <c r="I101" s="1013"/>
      <c r="J101" s="1013"/>
      <c r="K101" s="1013"/>
      <c r="L101" s="1013"/>
      <c r="M101" s="1013"/>
      <c r="N101" s="1013"/>
      <c r="O101" s="1013"/>
      <c r="P101" s="1013"/>
      <c r="Q101" s="1013"/>
      <c r="R101" s="1013"/>
      <c r="S101" s="1013"/>
      <c r="T101" s="1013"/>
      <c r="W101" s="196"/>
    </row>
    <row r="102" spans="1:24" s="31" customFormat="1" ht="15" customHeight="1">
      <c r="C102" s="1013"/>
      <c r="D102" s="1013"/>
      <c r="E102" s="1013"/>
      <c r="F102" s="1013"/>
      <c r="G102" s="1013"/>
      <c r="H102" s="1013"/>
      <c r="I102" s="1013"/>
      <c r="J102" s="1013"/>
      <c r="K102" s="1013"/>
      <c r="L102" s="1013"/>
      <c r="M102" s="1013"/>
      <c r="N102" s="1013"/>
      <c r="O102" s="1013"/>
      <c r="P102" s="1013"/>
      <c r="Q102" s="1013"/>
      <c r="R102" s="1013"/>
      <c r="S102" s="1013"/>
      <c r="T102" s="1013"/>
      <c r="W102" s="196"/>
    </row>
    <row r="103" spans="1:24" s="31" customFormat="1" ht="15" customHeight="1">
      <c r="B103" s="32" t="s">
        <v>1579</v>
      </c>
      <c r="C103" s="1013" t="s">
        <v>1580</v>
      </c>
      <c r="D103" s="1013"/>
      <c r="E103" s="1013"/>
      <c r="F103" s="1013"/>
      <c r="G103" s="1013"/>
      <c r="H103" s="1013"/>
      <c r="I103" s="1013"/>
      <c r="J103" s="1013"/>
      <c r="K103" s="1013"/>
      <c r="L103" s="1013"/>
      <c r="M103" s="1013"/>
      <c r="N103" s="1013"/>
      <c r="O103" s="1013"/>
      <c r="P103" s="1013"/>
      <c r="Q103" s="1013"/>
      <c r="R103" s="1013"/>
      <c r="S103" s="1013"/>
      <c r="T103" s="1013"/>
      <c r="U103" s="31" t="s">
        <v>1574</v>
      </c>
      <c r="W103" s="196"/>
    </row>
    <row r="104" spans="1:24" s="31" customFormat="1" ht="15" customHeight="1">
      <c r="B104" s="32"/>
      <c r="C104" s="1013"/>
      <c r="D104" s="1013"/>
      <c r="E104" s="1013"/>
      <c r="F104" s="1013"/>
      <c r="G104" s="1013"/>
      <c r="H104" s="1013"/>
      <c r="I104" s="1013"/>
      <c r="J104" s="1013"/>
      <c r="K104" s="1013"/>
      <c r="L104" s="1013"/>
      <c r="M104" s="1013"/>
      <c r="N104" s="1013"/>
      <c r="O104" s="1013"/>
      <c r="P104" s="1013"/>
      <c r="Q104" s="1013"/>
      <c r="R104" s="1013"/>
      <c r="S104" s="1013"/>
      <c r="T104" s="1013"/>
      <c r="U104" s="31" t="s">
        <v>1581</v>
      </c>
      <c r="W104" s="196"/>
    </row>
    <row r="105" spans="1:24" s="31" customFormat="1" ht="15" customHeight="1">
      <c r="B105" s="32"/>
      <c r="C105" s="512"/>
      <c r="D105" s="512"/>
      <c r="E105" s="512"/>
      <c r="F105" s="512"/>
      <c r="G105" s="512"/>
      <c r="H105" s="512"/>
      <c r="I105" s="512"/>
      <c r="J105" s="512"/>
      <c r="K105" s="512"/>
      <c r="L105" s="512"/>
      <c r="M105" s="512"/>
      <c r="N105" s="512"/>
      <c r="O105" s="512"/>
      <c r="P105" s="512"/>
      <c r="Q105" s="512"/>
      <c r="R105" s="512"/>
      <c r="S105" s="512"/>
      <c r="T105" s="512"/>
      <c r="W105" s="196"/>
    </row>
    <row r="106" spans="1:24" s="31" customFormat="1" ht="15" customHeight="1">
      <c r="A106" s="31" t="s">
        <v>1433</v>
      </c>
      <c r="B106" s="32"/>
      <c r="C106" s="32"/>
      <c r="W106" s="196"/>
    </row>
    <row r="107" spans="1:24" s="31" customFormat="1" ht="15" customHeight="1">
      <c r="A107" s="31" t="s">
        <v>784</v>
      </c>
      <c r="B107" s="32"/>
      <c r="C107" s="1013" t="s">
        <v>1582</v>
      </c>
      <c r="D107" s="1013"/>
      <c r="E107" s="1013"/>
      <c r="F107" s="1013"/>
      <c r="G107" s="1013"/>
      <c r="H107" s="1013"/>
      <c r="I107" s="1013"/>
      <c r="J107" s="1013"/>
      <c r="K107" s="1013"/>
      <c r="L107" s="1013"/>
      <c r="M107" s="1013"/>
      <c r="N107" s="1013"/>
      <c r="O107" s="1013"/>
      <c r="P107" s="1013"/>
      <c r="Q107" s="1013"/>
      <c r="R107" s="1013"/>
      <c r="S107" s="1013"/>
      <c r="T107" s="1013"/>
      <c r="W107" s="196"/>
      <c r="X107" s="196"/>
    </row>
    <row r="108" spans="1:24" s="31" customFormat="1" ht="15" customHeight="1">
      <c r="B108" s="32"/>
      <c r="C108" s="1013"/>
      <c r="D108" s="1013"/>
      <c r="E108" s="1013"/>
      <c r="F108" s="1013"/>
      <c r="G108" s="1013"/>
      <c r="H108" s="1013"/>
      <c r="I108" s="1013"/>
      <c r="J108" s="1013"/>
      <c r="K108" s="1013"/>
      <c r="L108" s="1013"/>
      <c r="M108" s="1013"/>
      <c r="N108" s="1013"/>
      <c r="O108" s="1013"/>
      <c r="P108" s="1013"/>
      <c r="Q108" s="1013"/>
      <c r="R108" s="1013"/>
      <c r="S108" s="1013"/>
      <c r="T108" s="1013"/>
      <c r="W108" s="196"/>
    </row>
    <row r="109" spans="1:24" s="31" customFormat="1" ht="15" customHeight="1">
      <c r="B109" s="32"/>
      <c r="C109" s="32"/>
      <c r="W109" s="196"/>
    </row>
    <row r="110" spans="1:24" s="31" customFormat="1" ht="15" customHeight="1">
      <c r="A110" s="31" t="s">
        <v>1436</v>
      </c>
      <c r="B110" s="32"/>
      <c r="C110" s="32"/>
      <c r="W110" s="196"/>
    </row>
    <row r="111" spans="1:24" s="31" customFormat="1" ht="15" customHeight="1">
      <c r="A111" s="31" t="s">
        <v>804</v>
      </c>
      <c r="B111" s="32"/>
      <c r="C111" s="1093" t="s">
        <v>1583</v>
      </c>
      <c r="D111" s="1093"/>
      <c r="E111" s="1093"/>
      <c r="F111" s="1093"/>
      <c r="G111" s="1093"/>
      <c r="H111" s="1093"/>
      <c r="I111" s="1093"/>
      <c r="J111" s="1093"/>
      <c r="K111" s="1093"/>
      <c r="L111" s="1093"/>
      <c r="M111" s="1093"/>
      <c r="N111" s="1093"/>
      <c r="O111" s="1093"/>
      <c r="P111" s="1093"/>
      <c r="Q111" s="1093"/>
      <c r="R111" s="1093"/>
      <c r="S111" s="1093"/>
      <c r="T111" s="1093"/>
      <c r="W111" s="196"/>
    </row>
    <row r="112" spans="1:24" s="31" customFormat="1" ht="15" customHeight="1">
      <c r="B112" s="32"/>
      <c r="C112" s="1093"/>
      <c r="D112" s="1093"/>
      <c r="E112" s="1093"/>
      <c r="F112" s="1093"/>
      <c r="G112" s="1093"/>
      <c r="H112" s="1093"/>
      <c r="I112" s="1093"/>
      <c r="J112" s="1093"/>
      <c r="K112" s="1093"/>
      <c r="L112" s="1093"/>
      <c r="M112" s="1093"/>
      <c r="N112" s="1093"/>
      <c r="O112" s="1093"/>
      <c r="P112" s="1093"/>
      <c r="Q112" s="1093"/>
      <c r="R112" s="1093"/>
      <c r="S112" s="1093"/>
      <c r="T112" s="1093"/>
      <c r="W112" s="196"/>
    </row>
    <row r="113" spans="1:23" s="31" customFormat="1" ht="15" customHeight="1">
      <c r="B113" s="32"/>
      <c r="C113" s="1093"/>
      <c r="D113" s="1093"/>
      <c r="E113" s="1093"/>
      <c r="F113" s="1093"/>
      <c r="G113" s="1093"/>
      <c r="H113" s="1093"/>
      <c r="I113" s="1093"/>
      <c r="J113" s="1093"/>
      <c r="K113" s="1093"/>
      <c r="L113" s="1093"/>
      <c r="M113" s="1093"/>
      <c r="N113" s="1093"/>
      <c r="O113" s="1093"/>
      <c r="P113" s="1093"/>
      <c r="Q113" s="1093"/>
      <c r="R113" s="1093"/>
      <c r="S113" s="1093"/>
      <c r="T113" s="1093"/>
      <c r="W113" s="196"/>
    </row>
    <row r="114" spans="1:23" s="31" customFormat="1" ht="15" customHeight="1">
      <c r="B114" s="32"/>
      <c r="C114" s="32"/>
      <c r="W114" s="196"/>
    </row>
    <row r="115" spans="1:23" s="31" customFormat="1" ht="15" customHeight="1">
      <c r="A115" s="31" t="s">
        <v>780</v>
      </c>
      <c r="B115" s="32"/>
      <c r="C115" s="32"/>
      <c r="W115" s="196"/>
    </row>
    <row r="116" spans="1:23" s="31" customFormat="1" ht="15" customHeight="1">
      <c r="A116" s="31" t="s">
        <v>810</v>
      </c>
      <c r="B116" s="32"/>
      <c r="C116" s="1093" t="s">
        <v>1584</v>
      </c>
      <c r="D116" s="1093"/>
      <c r="E116" s="1093"/>
      <c r="F116" s="1093"/>
      <c r="G116" s="1093"/>
      <c r="H116" s="1093"/>
      <c r="I116" s="1093"/>
      <c r="J116" s="1093"/>
      <c r="K116" s="1093"/>
      <c r="L116" s="1093"/>
      <c r="M116" s="1093"/>
      <c r="N116" s="1093"/>
      <c r="O116" s="1093"/>
      <c r="P116" s="1093"/>
      <c r="Q116" s="1093"/>
      <c r="R116" s="1093"/>
      <c r="S116" s="1093"/>
      <c r="T116" s="1093"/>
      <c r="W116" s="196"/>
    </row>
    <row r="117" spans="1:23" s="31" customFormat="1" ht="15" customHeight="1">
      <c r="B117" s="32"/>
      <c r="C117" s="1093"/>
      <c r="D117" s="1093"/>
      <c r="E117" s="1093"/>
      <c r="F117" s="1093"/>
      <c r="G117" s="1093"/>
      <c r="H117" s="1093"/>
      <c r="I117" s="1093"/>
      <c r="J117" s="1093"/>
      <c r="K117" s="1093"/>
      <c r="L117" s="1093"/>
      <c r="M117" s="1093"/>
      <c r="N117" s="1093"/>
      <c r="O117" s="1093"/>
      <c r="P117" s="1093"/>
      <c r="Q117" s="1093"/>
      <c r="R117" s="1093"/>
      <c r="S117" s="1093"/>
      <c r="T117" s="1093"/>
      <c r="W117" s="196"/>
    </row>
    <row r="118" spans="1:23" s="31" customFormat="1" ht="15" customHeight="1">
      <c r="B118" s="32"/>
      <c r="C118" s="1093"/>
      <c r="D118" s="1093"/>
      <c r="E118" s="1093"/>
      <c r="F118" s="1093"/>
      <c r="G118" s="1093"/>
      <c r="H118" s="1093"/>
      <c r="I118" s="1093"/>
      <c r="J118" s="1093"/>
      <c r="K118" s="1093"/>
      <c r="L118" s="1093"/>
      <c r="M118" s="1093"/>
      <c r="N118" s="1093"/>
      <c r="O118" s="1093"/>
      <c r="P118" s="1093"/>
      <c r="Q118" s="1093"/>
      <c r="R118" s="1093"/>
      <c r="S118" s="1093"/>
      <c r="T118" s="1093"/>
      <c r="W118" s="196"/>
    </row>
    <row r="119" spans="1:23" s="31" customFormat="1" ht="15" customHeight="1">
      <c r="B119" s="32"/>
      <c r="C119" s="1093"/>
      <c r="D119" s="1093"/>
      <c r="E119" s="1093"/>
      <c r="F119" s="1093"/>
      <c r="G119" s="1093"/>
      <c r="H119" s="1093"/>
      <c r="I119" s="1093"/>
      <c r="J119" s="1093"/>
      <c r="K119" s="1093"/>
      <c r="L119" s="1093"/>
      <c r="M119" s="1093"/>
      <c r="N119" s="1093"/>
      <c r="O119" s="1093"/>
      <c r="P119" s="1093"/>
      <c r="Q119" s="1093"/>
      <c r="R119" s="1093"/>
      <c r="S119" s="1093"/>
      <c r="T119" s="1093"/>
      <c r="W119" s="196"/>
    </row>
    <row r="120" spans="1:23" s="31" customFormat="1" ht="15" customHeight="1">
      <c r="B120" s="32" t="s">
        <v>725</v>
      </c>
      <c r="C120" s="1093" t="s">
        <v>1585</v>
      </c>
      <c r="D120" s="1093"/>
      <c r="E120" s="1093"/>
      <c r="F120" s="1093"/>
      <c r="G120" s="1093"/>
      <c r="H120" s="1093"/>
      <c r="I120" s="1093"/>
      <c r="J120" s="1093"/>
      <c r="K120" s="1093"/>
      <c r="L120" s="1093"/>
      <c r="M120" s="1093"/>
      <c r="N120" s="1093"/>
      <c r="O120" s="1093"/>
      <c r="P120" s="1093"/>
      <c r="Q120" s="1093"/>
      <c r="R120" s="1093"/>
      <c r="S120" s="1093"/>
      <c r="T120" s="1093"/>
      <c r="W120" s="196"/>
    </row>
    <row r="121" spans="1:23" s="31" customFormat="1" ht="15" customHeight="1">
      <c r="C121" s="1093"/>
      <c r="D121" s="1093"/>
      <c r="E121" s="1093"/>
      <c r="F121" s="1093"/>
      <c r="G121" s="1093"/>
      <c r="H121" s="1093"/>
      <c r="I121" s="1093"/>
      <c r="J121" s="1093"/>
      <c r="K121" s="1093"/>
      <c r="L121" s="1093"/>
      <c r="M121" s="1093"/>
      <c r="N121" s="1093"/>
      <c r="O121" s="1093"/>
      <c r="P121" s="1093"/>
      <c r="Q121" s="1093"/>
      <c r="R121" s="1093"/>
      <c r="S121" s="1093"/>
      <c r="T121" s="1093"/>
      <c r="W121" s="196"/>
    </row>
    <row r="122" spans="1:23" s="31" customFormat="1" ht="15" customHeight="1">
      <c r="B122" s="32" t="s">
        <v>1440</v>
      </c>
      <c r="C122" s="1093" t="s">
        <v>1586</v>
      </c>
      <c r="D122" s="1093"/>
      <c r="E122" s="1093"/>
      <c r="F122" s="1093"/>
      <c r="G122" s="1093"/>
      <c r="H122" s="1093"/>
      <c r="I122" s="1093"/>
      <c r="J122" s="1093"/>
      <c r="K122" s="1093"/>
      <c r="L122" s="1093"/>
      <c r="M122" s="1093"/>
      <c r="N122" s="1093"/>
      <c r="O122" s="1093"/>
      <c r="P122" s="1093"/>
      <c r="Q122" s="1093"/>
      <c r="R122" s="1093"/>
      <c r="S122" s="1093"/>
      <c r="T122" s="1093"/>
      <c r="W122" s="196"/>
    </row>
    <row r="123" spans="1:23" s="31" customFormat="1" ht="15" customHeight="1">
      <c r="B123" s="32"/>
      <c r="C123" s="1093"/>
      <c r="D123" s="1093"/>
      <c r="E123" s="1093"/>
      <c r="F123" s="1093"/>
      <c r="G123" s="1093"/>
      <c r="H123" s="1093"/>
      <c r="I123" s="1093"/>
      <c r="J123" s="1093"/>
      <c r="K123" s="1093"/>
      <c r="L123" s="1093"/>
      <c r="M123" s="1093"/>
      <c r="N123" s="1093"/>
      <c r="O123" s="1093"/>
      <c r="P123" s="1093"/>
      <c r="Q123" s="1093"/>
      <c r="R123" s="1093"/>
      <c r="S123" s="1093"/>
      <c r="T123" s="1093"/>
      <c r="W123" s="196"/>
    </row>
    <row r="124" spans="1:23" s="31" customFormat="1" ht="15" customHeight="1">
      <c r="B124" s="32"/>
      <c r="C124" s="1093"/>
      <c r="D124" s="1093"/>
      <c r="E124" s="1093"/>
      <c r="F124" s="1093"/>
      <c r="G124" s="1093"/>
      <c r="H124" s="1093"/>
      <c r="I124" s="1093"/>
      <c r="J124" s="1093"/>
      <c r="K124" s="1093"/>
      <c r="L124" s="1093"/>
      <c r="M124" s="1093"/>
      <c r="N124" s="1093"/>
      <c r="O124" s="1093"/>
      <c r="P124" s="1093"/>
      <c r="Q124" s="1093"/>
      <c r="R124" s="1093"/>
      <c r="S124" s="1093"/>
      <c r="T124" s="1093"/>
      <c r="W124" s="196"/>
    </row>
    <row r="125" spans="1:23" s="31" customFormat="1" ht="15" customHeight="1">
      <c r="B125" s="32" t="s">
        <v>743</v>
      </c>
      <c r="C125" s="1093" t="s">
        <v>1587</v>
      </c>
      <c r="D125" s="1093"/>
      <c r="E125" s="1093"/>
      <c r="F125" s="1093"/>
      <c r="G125" s="1093"/>
      <c r="H125" s="1093"/>
      <c r="I125" s="1093"/>
      <c r="J125" s="1093"/>
      <c r="K125" s="1093"/>
      <c r="L125" s="1093"/>
      <c r="M125" s="1093"/>
      <c r="N125" s="1093"/>
      <c r="O125" s="1093"/>
      <c r="P125" s="1093"/>
      <c r="Q125" s="1093"/>
      <c r="R125" s="1093"/>
      <c r="S125" s="1093"/>
      <c r="T125" s="1093"/>
      <c r="W125" s="196"/>
    </row>
    <row r="126" spans="1:23" s="31" customFormat="1" ht="15" customHeight="1">
      <c r="C126" s="1093"/>
      <c r="D126" s="1093"/>
      <c r="E126" s="1093"/>
      <c r="F126" s="1093"/>
      <c r="G126" s="1093"/>
      <c r="H126" s="1093"/>
      <c r="I126" s="1093"/>
      <c r="J126" s="1093"/>
      <c r="K126" s="1093"/>
      <c r="L126" s="1093"/>
      <c r="M126" s="1093"/>
      <c r="N126" s="1093"/>
      <c r="O126" s="1093"/>
      <c r="P126" s="1093"/>
      <c r="Q126" s="1093"/>
      <c r="R126" s="1093"/>
      <c r="S126" s="1093"/>
      <c r="T126" s="1093"/>
      <c r="W126" s="196"/>
    </row>
    <row r="127" spans="1:23" s="31" customFormat="1" ht="15" customHeight="1">
      <c r="B127" s="32"/>
      <c r="C127" s="513"/>
      <c r="D127" s="513"/>
      <c r="E127" s="513"/>
      <c r="F127" s="513"/>
      <c r="G127" s="513"/>
      <c r="H127" s="513"/>
      <c r="I127" s="513"/>
      <c r="J127" s="513"/>
      <c r="K127" s="513"/>
      <c r="L127" s="513"/>
      <c r="M127" s="513"/>
      <c r="N127" s="513"/>
      <c r="O127" s="513"/>
      <c r="P127" s="513"/>
      <c r="Q127" s="513"/>
      <c r="R127" s="513"/>
      <c r="S127" s="513"/>
      <c r="T127" s="513"/>
      <c r="W127" s="196"/>
    </row>
    <row r="128" spans="1:23" s="31" customFormat="1" ht="15" customHeight="1">
      <c r="A128" s="31" t="s">
        <v>1443</v>
      </c>
      <c r="B128" s="32"/>
      <c r="C128" s="513"/>
      <c r="D128" s="513"/>
      <c r="E128" s="513"/>
      <c r="F128" s="513"/>
      <c r="G128" s="513"/>
      <c r="H128" s="513"/>
      <c r="I128" s="513"/>
      <c r="J128" s="513"/>
      <c r="K128" s="513"/>
      <c r="L128" s="513"/>
      <c r="M128" s="513"/>
      <c r="N128" s="513"/>
      <c r="O128" s="513"/>
      <c r="P128" s="513"/>
      <c r="Q128" s="513"/>
      <c r="R128" s="513"/>
      <c r="S128" s="513"/>
      <c r="T128" s="513"/>
      <c r="W128" s="196"/>
    </row>
    <row r="129" spans="1:23" s="31" customFormat="1" ht="15" customHeight="1">
      <c r="A129" s="31" t="s">
        <v>815</v>
      </c>
      <c r="B129" s="32"/>
      <c r="C129" s="1093" t="s">
        <v>1588</v>
      </c>
      <c r="D129" s="1093"/>
      <c r="E129" s="1093"/>
      <c r="F129" s="1093"/>
      <c r="G129" s="1093"/>
      <c r="H129" s="1093"/>
      <c r="I129" s="1093"/>
      <c r="J129" s="1093"/>
      <c r="K129" s="1093"/>
      <c r="L129" s="1093"/>
      <c r="M129" s="1093"/>
      <c r="N129" s="1093"/>
      <c r="O129" s="1093"/>
      <c r="P129" s="1093"/>
      <c r="Q129" s="1093"/>
      <c r="R129" s="1093"/>
      <c r="S129" s="1093"/>
      <c r="T129" s="1093"/>
      <c r="U129" s="31" t="s">
        <v>1589</v>
      </c>
      <c r="W129" s="196"/>
    </row>
    <row r="130" spans="1:23" s="31" customFormat="1" ht="15" customHeight="1">
      <c r="B130" s="32"/>
      <c r="C130" s="1093"/>
      <c r="D130" s="1093"/>
      <c r="E130" s="1093"/>
      <c r="F130" s="1093"/>
      <c r="G130" s="1093"/>
      <c r="H130" s="1093"/>
      <c r="I130" s="1093"/>
      <c r="J130" s="1093"/>
      <c r="K130" s="1093"/>
      <c r="L130" s="1093"/>
      <c r="M130" s="1093"/>
      <c r="N130" s="1093"/>
      <c r="O130" s="1093"/>
      <c r="P130" s="1093"/>
      <c r="Q130" s="1093"/>
      <c r="R130" s="1093"/>
      <c r="S130" s="1093"/>
      <c r="T130" s="1093"/>
      <c r="W130" s="196"/>
    </row>
    <row r="131" spans="1:23" s="31" customFormat="1" ht="15" customHeight="1">
      <c r="B131" s="32"/>
      <c r="C131" s="513"/>
      <c r="D131" s="35" t="s">
        <v>1445</v>
      </c>
      <c r="E131" s="35"/>
      <c r="F131" s="35"/>
      <c r="H131" s="513"/>
      <c r="J131" s="188" t="s">
        <v>1446</v>
      </c>
      <c r="K131" s="513"/>
      <c r="L131" s="513"/>
      <c r="M131" s="513"/>
      <c r="N131" s="513"/>
      <c r="O131" s="513"/>
      <c r="P131" s="513"/>
      <c r="Q131" s="513"/>
      <c r="R131" s="513"/>
      <c r="S131" s="513"/>
      <c r="T131" s="513"/>
      <c r="W131" s="196"/>
    </row>
    <row r="132" spans="1:23" s="31" customFormat="1" ht="15" customHeight="1">
      <c r="B132" s="32"/>
      <c r="C132" s="513"/>
      <c r="D132" s="35" t="s">
        <v>1590</v>
      </c>
      <c r="E132" s="35"/>
      <c r="F132" s="35"/>
      <c r="H132" s="513"/>
      <c r="J132" s="36" t="s">
        <v>1448</v>
      </c>
      <c r="K132" s="513"/>
      <c r="L132" s="513"/>
      <c r="M132" s="513"/>
      <c r="N132" s="513"/>
      <c r="O132" s="513"/>
      <c r="P132" s="513"/>
      <c r="Q132" s="513"/>
      <c r="R132" s="513"/>
      <c r="S132" s="513"/>
      <c r="T132" s="513"/>
      <c r="W132" s="196"/>
    </row>
    <row r="133" spans="1:23" s="31" customFormat="1" ht="15" customHeight="1">
      <c r="B133" s="32"/>
      <c r="C133" s="32"/>
      <c r="W133" s="196"/>
    </row>
    <row r="134" spans="1:23" s="31" customFormat="1" ht="15" customHeight="1">
      <c r="A134" s="31" t="s">
        <v>1460</v>
      </c>
      <c r="B134" s="32"/>
      <c r="C134" s="32"/>
      <c r="W134" s="196"/>
    </row>
    <row r="135" spans="1:23" s="31" customFormat="1" ht="15" customHeight="1">
      <c r="A135" s="31" t="s">
        <v>818</v>
      </c>
      <c r="B135" s="32"/>
      <c r="C135" s="1093" t="s">
        <v>1591</v>
      </c>
      <c r="D135" s="1093"/>
      <c r="E135" s="1093"/>
      <c r="F135" s="1093"/>
      <c r="G135" s="1093"/>
      <c r="H135" s="1093"/>
      <c r="I135" s="1093"/>
      <c r="J135" s="1093"/>
      <c r="K135" s="1093"/>
      <c r="L135" s="1093"/>
      <c r="M135" s="1093"/>
      <c r="N135" s="1093"/>
      <c r="O135" s="1093"/>
      <c r="P135" s="1093"/>
      <c r="Q135" s="1093"/>
      <c r="R135" s="1093"/>
      <c r="S135" s="1093"/>
      <c r="T135" s="1093"/>
      <c r="W135" s="196"/>
    </row>
    <row r="136" spans="1:23" s="31" customFormat="1" ht="15" customHeight="1">
      <c r="B136" s="32"/>
      <c r="C136" s="1093"/>
      <c r="D136" s="1093"/>
      <c r="E136" s="1093"/>
      <c r="F136" s="1093"/>
      <c r="G136" s="1093"/>
      <c r="H136" s="1093"/>
      <c r="I136" s="1093"/>
      <c r="J136" s="1093"/>
      <c r="K136" s="1093"/>
      <c r="L136" s="1093"/>
      <c r="M136" s="1093"/>
      <c r="N136" s="1093"/>
      <c r="O136" s="1093"/>
      <c r="P136" s="1093"/>
      <c r="Q136" s="1093"/>
      <c r="R136" s="1093"/>
      <c r="S136" s="1093"/>
      <c r="T136" s="1093"/>
      <c r="W136" s="196"/>
    </row>
    <row r="137" spans="1:23" s="31" customFormat="1" ht="15" customHeight="1">
      <c r="B137" s="32" t="s">
        <v>725</v>
      </c>
      <c r="C137" s="1093" t="s">
        <v>1592</v>
      </c>
      <c r="D137" s="1093"/>
      <c r="E137" s="1093"/>
      <c r="F137" s="1093"/>
      <c r="G137" s="1093"/>
      <c r="H137" s="1093"/>
      <c r="I137" s="1093"/>
      <c r="J137" s="1093"/>
      <c r="K137" s="1093"/>
      <c r="L137" s="1093"/>
      <c r="M137" s="1093"/>
      <c r="N137" s="1093"/>
      <c r="O137" s="1093"/>
      <c r="P137" s="1093"/>
      <c r="Q137" s="1093"/>
      <c r="R137" s="1093"/>
      <c r="S137" s="1093"/>
      <c r="T137" s="1093"/>
      <c r="W137" s="196"/>
    </row>
    <row r="138" spans="1:23" s="31" customFormat="1" ht="15" customHeight="1">
      <c r="B138" s="32"/>
      <c r="C138" s="32"/>
      <c r="W138" s="196"/>
    </row>
    <row r="139" spans="1:23" s="31" customFormat="1" ht="15" customHeight="1">
      <c r="A139" s="31" t="s">
        <v>1453</v>
      </c>
      <c r="B139" s="32"/>
      <c r="C139" s="32"/>
      <c r="W139" s="196"/>
    </row>
    <row r="140" spans="1:23" s="31" customFormat="1" ht="15" customHeight="1">
      <c r="A140" s="31" t="s">
        <v>822</v>
      </c>
      <c r="B140" s="32"/>
      <c r="C140" s="1093" t="s">
        <v>1593</v>
      </c>
      <c r="D140" s="1093"/>
      <c r="E140" s="1093"/>
      <c r="F140" s="1093"/>
      <c r="G140" s="1093"/>
      <c r="H140" s="1093"/>
      <c r="I140" s="1093"/>
      <c r="J140" s="1093"/>
      <c r="K140" s="1093"/>
      <c r="L140" s="1093"/>
      <c r="M140" s="1093"/>
      <c r="N140" s="1093"/>
      <c r="O140" s="1093"/>
      <c r="P140" s="1093"/>
      <c r="Q140" s="1093"/>
      <c r="R140" s="1093"/>
      <c r="S140" s="1093"/>
      <c r="T140" s="1093"/>
      <c r="W140" s="196"/>
    </row>
    <row r="141" spans="1:23" s="31" customFormat="1" ht="15" customHeight="1">
      <c r="B141" s="32"/>
      <c r="C141" s="1093"/>
      <c r="D141" s="1093"/>
      <c r="E141" s="1093"/>
      <c r="F141" s="1093"/>
      <c r="G141" s="1093"/>
      <c r="H141" s="1093"/>
      <c r="I141" s="1093"/>
      <c r="J141" s="1093"/>
      <c r="K141" s="1093"/>
      <c r="L141" s="1093"/>
      <c r="M141" s="1093"/>
      <c r="N141" s="1093"/>
      <c r="O141" s="1093"/>
      <c r="P141" s="1093"/>
      <c r="Q141" s="1093"/>
      <c r="R141" s="1093"/>
      <c r="S141" s="1093"/>
      <c r="T141" s="1093"/>
      <c r="W141" s="196"/>
    </row>
    <row r="142" spans="1:23" s="31" customFormat="1" ht="15" customHeight="1">
      <c r="B142" s="32" t="s">
        <v>725</v>
      </c>
      <c r="C142" s="1093" t="s">
        <v>1594</v>
      </c>
      <c r="D142" s="1093"/>
      <c r="E142" s="1093"/>
      <c r="F142" s="1093"/>
      <c r="G142" s="1093"/>
      <c r="H142" s="1093"/>
      <c r="I142" s="1093"/>
      <c r="J142" s="1093"/>
      <c r="K142" s="1093"/>
      <c r="L142" s="1093"/>
      <c r="M142" s="1093"/>
      <c r="N142" s="1093"/>
      <c r="O142" s="1093"/>
      <c r="P142" s="1093"/>
      <c r="Q142" s="1093"/>
      <c r="R142" s="1093"/>
      <c r="S142" s="1093"/>
      <c r="T142" s="1093"/>
      <c r="W142" s="196"/>
    </row>
    <row r="143" spans="1:23" s="31" customFormat="1" ht="15" customHeight="1">
      <c r="B143" s="32"/>
      <c r="C143" s="1093"/>
      <c r="D143" s="1093"/>
      <c r="E143" s="1093"/>
      <c r="F143" s="1093"/>
      <c r="G143" s="1093"/>
      <c r="H143" s="1093"/>
      <c r="I143" s="1093"/>
      <c r="J143" s="1093"/>
      <c r="K143" s="1093"/>
      <c r="L143" s="1093"/>
      <c r="M143" s="1093"/>
      <c r="N143" s="1093"/>
      <c r="O143" s="1093"/>
      <c r="P143" s="1093"/>
      <c r="Q143" s="1093"/>
      <c r="R143" s="1093"/>
      <c r="S143" s="1093"/>
      <c r="T143" s="1093"/>
      <c r="W143" s="196"/>
    </row>
    <row r="144" spans="1:23" s="31" customFormat="1" ht="15" customHeight="1">
      <c r="B144" s="32" t="s">
        <v>741</v>
      </c>
      <c r="C144" s="1093" t="s">
        <v>1456</v>
      </c>
      <c r="D144" s="1093"/>
      <c r="E144" s="1093"/>
      <c r="F144" s="1093"/>
      <c r="G144" s="1093"/>
      <c r="H144" s="1093"/>
      <c r="I144" s="1093"/>
      <c r="J144" s="1093"/>
      <c r="K144" s="1093"/>
      <c r="L144" s="1093"/>
      <c r="M144" s="1093"/>
      <c r="N144" s="1093"/>
      <c r="O144" s="1093"/>
      <c r="P144" s="1093"/>
      <c r="Q144" s="1093"/>
      <c r="R144" s="1093"/>
      <c r="S144" s="1093"/>
      <c r="T144" s="1093"/>
      <c r="W144" s="196"/>
    </row>
    <row r="145" spans="1:23" s="31" customFormat="1" ht="15" customHeight="1">
      <c r="B145" s="32"/>
      <c r="C145" s="1093"/>
      <c r="D145" s="1093"/>
      <c r="E145" s="1093"/>
      <c r="F145" s="1093"/>
      <c r="G145" s="1093"/>
      <c r="H145" s="1093"/>
      <c r="I145" s="1093"/>
      <c r="J145" s="1093"/>
      <c r="K145" s="1093"/>
      <c r="L145" s="1093"/>
      <c r="M145" s="1093"/>
      <c r="N145" s="1093"/>
      <c r="O145" s="1093"/>
      <c r="P145" s="1093"/>
      <c r="Q145" s="1093"/>
      <c r="R145" s="1093"/>
      <c r="S145" s="1093"/>
      <c r="T145" s="1093"/>
      <c r="W145" s="196"/>
    </row>
    <row r="146" spans="1:23" s="31" customFormat="1" ht="15" customHeight="1">
      <c r="B146" s="32"/>
      <c r="C146" s="32"/>
      <c r="W146" s="196"/>
    </row>
    <row r="147" spans="1:23" s="31" customFormat="1" ht="15" customHeight="1">
      <c r="A147" s="31" t="s">
        <v>1457</v>
      </c>
      <c r="B147" s="32"/>
      <c r="C147" s="32"/>
      <c r="W147" s="196"/>
    </row>
    <row r="148" spans="1:23" s="31" customFormat="1" ht="15" customHeight="1">
      <c r="A148" s="31" t="s">
        <v>834</v>
      </c>
      <c r="B148" s="32"/>
      <c r="C148" s="1093" t="s">
        <v>1458</v>
      </c>
      <c r="D148" s="1093"/>
      <c r="E148" s="1093"/>
      <c r="F148" s="1093"/>
      <c r="G148" s="1093"/>
      <c r="H148" s="1093"/>
      <c r="I148" s="1093"/>
      <c r="J148" s="1093"/>
      <c r="K148" s="1093"/>
      <c r="L148" s="1093"/>
      <c r="M148" s="1093"/>
      <c r="N148" s="1093"/>
      <c r="O148" s="1093"/>
      <c r="P148" s="1093"/>
      <c r="Q148" s="1093"/>
      <c r="R148" s="1093"/>
      <c r="S148" s="1093"/>
      <c r="T148" s="1093"/>
      <c r="W148" s="196"/>
    </row>
    <row r="149" spans="1:23" s="31" customFormat="1" ht="15" customHeight="1">
      <c r="B149" s="32"/>
      <c r="C149" s="1093"/>
      <c r="D149" s="1093"/>
      <c r="E149" s="1093"/>
      <c r="F149" s="1093"/>
      <c r="G149" s="1093"/>
      <c r="H149" s="1093"/>
      <c r="I149" s="1093"/>
      <c r="J149" s="1093"/>
      <c r="K149" s="1093"/>
      <c r="L149" s="1093"/>
      <c r="M149" s="1093"/>
      <c r="N149" s="1093"/>
      <c r="O149" s="1093"/>
      <c r="P149" s="1093"/>
      <c r="Q149" s="1093"/>
      <c r="R149" s="1093"/>
      <c r="S149" s="1093"/>
      <c r="T149" s="1093"/>
      <c r="W149" s="196"/>
    </row>
    <row r="150" spans="1:23" s="31" customFormat="1" ht="15" customHeight="1">
      <c r="B150" s="32" t="s">
        <v>725</v>
      </c>
      <c r="C150" s="1093" t="s">
        <v>1595</v>
      </c>
      <c r="D150" s="1093"/>
      <c r="E150" s="1093"/>
      <c r="F150" s="1093"/>
      <c r="G150" s="1093"/>
      <c r="H150" s="1093"/>
      <c r="I150" s="1093"/>
      <c r="J150" s="1093"/>
      <c r="K150" s="1093"/>
      <c r="L150" s="1093"/>
      <c r="M150" s="1093"/>
      <c r="N150" s="1093"/>
      <c r="O150" s="1093"/>
      <c r="P150" s="1093"/>
      <c r="Q150" s="1093"/>
      <c r="R150" s="1093"/>
      <c r="S150" s="1093"/>
      <c r="T150" s="1093"/>
      <c r="W150" s="196"/>
    </row>
    <row r="151" spans="1:23" s="31" customFormat="1" ht="15" customHeight="1">
      <c r="B151" s="32"/>
      <c r="C151" s="1093"/>
      <c r="D151" s="1093"/>
      <c r="E151" s="1093"/>
      <c r="F151" s="1093"/>
      <c r="G151" s="1093"/>
      <c r="H151" s="1093"/>
      <c r="I151" s="1093"/>
      <c r="J151" s="1093"/>
      <c r="K151" s="1093"/>
      <c r="L151" s="1093"/>
      <c r="M151" s="1093"/>
      <c r="N151" s="1093"/>
      <c r="O151" s="1093"/>
      <c r="P151" s="1093"/>
      <c r="Q151" s="1093"/>
      <c r="R151" s="1093"/>
      <c r="S151" s="1093"/>
      <c r="T151" s="1093"/>
      <c r="W151" s="196"/>
    </row>
    <row r="152" spans="1:23" s="31" customFormat="1" ht="15" customHeight="1">
      <c r="B152" s="32"/>
      <c r="C152" s="1093"/>
      <c r="D152" s="1093"/>
      <c r="E152" s="1093"/>
      <c r="F152" s="1093"/>
      <c r="G152" s="1093"/>
      <c r="H152" s="1093"/>
      <c r="I152" s="1093"/>
      <c r="J152" s="1093"/>
      <c r="K152" s="1093"/>
      <c r="L152" s="1093"/>
      <c r="M152" s="1093"/>
      <c r="N152" s="1093"/>
      <c r="O152" s="1093"/>
      <c r="P152" s="1093"/>
      <c r="Q152" s="1093"/>
      <c r="R152" s="1093"/>
      <c r="S152" s="1093"/>
      <c r="T152" s="1093"/>
      <c r="W152" s="196"/>
    </row>
    <row r="153" spans="1:23" s="31" customFormat="1" ht="15" customHeight="1">
      <c r="B153" s="32"/>
      <c r="C153" s="32"/>
      <c r="W153" s="196"/>
    </row>
    <row r="154" spans="1:23" s="31" customFormat="1" ht="15" customHeight="1">
      <c r="A154" s="31" t="s">
        <v>1463</v>
      </c>
      <c r="B154" s="32"/>
      <c r="C154" s="32"/>
      <c r="W154" s="196"/>
    </row>
    <row r="155" spans="1:23" s="31" customFormat="1" ht="15" customHeight="1">
      <c r="A155" s="31" t="s">
        <v>841</v>
      </c>
      <c r="B155" s="32"/>
      <c r="C155" s="1093" t="s">
        <v>1464</v>
      </c>
      <c r="D155" s="1093"/>
      <c r="E155" s="1093"/>
      <c r="F155" s="1093"/>
      <c r="G155" s="1093"/>
      <c r="H155" s="1093"/>
      <c r="I155" s="1093"/>
      <c r="J155" s="1093"/>
      <c r="K155" s="1093"/>
      <c r="L155" s="1093"/>
      <c r="M155" s="1093"/>
      <c r="N155" s="1093"/>
      <c r="O155" s="1093"/>
      <c r="P155" s="1093"/>
      <c r="Q155" s="1093"/>
      <c r="R155" s="1093"/>
      <c r="S155" s="1093"/>
      <c r="T155" s="1093"/>
      <c r="W155" s="196"/>
    </row>
    <row r="156" spans="1:23" s="31" customFormat="1" ht="15" customHeight="1">
      <c r="B156" s="32"/>
      <c r="C156" s="1093"/>
      <c r="D156" s="1093"/>
      <c r="E156" s="1093"/>
      <c r="F156" s="1093"/>
      <c r="G156" s="1093"/>
      <c r="H156" s="1093"/>
      <c r="I156" s="1093"/>
      <c r="J156" s="1093"/>
      <c r="K156" s="1093"/>
      <c r="L156" s="1093"/>
      <c r="M156" s="1093"/>
      <c r="N156" s="1093"/>
      <c r="O156" s="1093"/>
      <c r="P156" s="1093"/>
      <c r="Q156" s="1093"/>
      <c r="R156" s="1093"/>
      <c r="S156" s="1093"/>
      <c r="T156" s="1093"/>
      <c r="W156" s="196"/>
    </row>
    <row r="157" spans="1:23" s="31" customFormat="1" ht="15" customHeight="1">
      <c r="B157" s="32"/>
      <c r="C157" s="1093"/>
      <c r="D157" s="1093"/>
      <c r="E157" s="1093"/>
      <c r="F157" s="1093"/>
      <c r="G157" s="1093"/>
      <c r="H157" s="1093"/>
      <c r="I157" s="1093"/>
      <c r="J157" s="1093"/>
      <c r="K157" s="1093"/>
      <c r="L157" s="1093"/>
      <c r="M157" s="1093"/>
      <c r="N157" s="1093"/>
      <c r="O157" s="1093"/>
      <c r="P157" s="1093"/>
      <c r="Q157" s="1093"/>
      <c r="R157" s="1093"/>
      <c r="S157" s="1093"/>
      <c r="T157" s="1093"/>
      <c r="W157" s="196"/>
    </row>
    <row r="158" spans="1:23" s="31" customFormat="1" ht="15" customHeight="1">
      <c r="B158" s="32" t="s">
        <v>725</v>
      </c>
      <c r="C158" s="1093" t="s">
        <v>1596</v>
      </c>
      <c r="D158" s="1093"/>
      <c r="E158" s="1093"/>
      <c r="F158" s="1093"/>
      <c r="G158" s="1093"/>
      <c r="H158" s="1093"/>
      <c r="I158" s="1093"/>
      <c r="J158" s="1093"/>
      <c r="K158" s="1093"/>
      <c r="L158" s="1093"/>
      <c r="M158" s="1093"/>
      <c r="N158" s="1093"/>
      <c r="O158" s="1093"/>
      <c r="P158" s="1093"/>
      <c r="Q158" s="1093"/>
      <c r="R158" s="1093"/>
      <c r="S158" s="1093"/>
      <c r="T158" s="1093"/>
      <c r="W158" s="196"/>
    </row>
    <row r="159" spans="1:23" s="31" customFormat="1" ht="15" customHeight="1">
      <c r="B159" s="32"/>
      <c r="C159" s="1093"/>
      <c r="D159" s="1093"/>
      <c r="E159" s="1093"/>
      <c r="F159" s="1093"/>
      <c r="G159" s="1093"/>
      <c r="H159" s="1093"/>
      <c r="I159" s="1093"/>
      <c r="J159" s="1093"/>
      <c r="K159" s="1093"/>
      <c r="L159" s="1093"/>
      <c r="M159" s="1093"/>
      <c r="N159" s="1093"/>
      <c r="O159" s="1093"/>
      <c r="P159" s="1093"/>
      <c r="Q159" s="1093"/>
      <c r="R159" s="1093"/>
      <c r="S159" s="1093"/>
      <c r="T159" s="1093"/>
      <c r="W159" s="196"/>
    </row>
    <row r="160" spans="1:23" s="31" customFormat="1" ht="15" customHeight="1">
      <c r="B160" s="32"/>
      <c r="C160" s="1093"/>
      <c r="D160" s="1093"/>
      <c r="E160" s="1093"/>
      <c r="F160" s="1093"/>
      <c r="G160" s="1093"/>
      <c r="H160" s="1093"/>
      <c r="I160" s="1093"/>
      <c r="J160" s="1093"/>
      <c r="K160" s="1093"/>
      <c r="L160" s="1093"/>
      <c r="M160" s="1093"/>
      <c r="N160" s="1093"/>
      <c r="O160" s="1093"/>
      <c r="P160" s="1093"/>
      <c r="Q160" s="1093"/>
      <c r="R160" s="1093"/>
      <c r="S160" s="1093"/>
      <c r="T160" s="1093"/>
      <c r="W160" s="196"/>
    </row>
    <row r="161" spans="1:23" s="31" customFormat="1" ht="15" customHeight="1">
      <c r="B161" s="32"/>
      <c r="C161" s="513"/>
      <c r="D161" s="513"/>
      <c r="E161" s="513"/>
      <c r="F161" s="513"/>
      <c r="G161" s="513"/>
      <c r="H161" s="513"/>
      <c r="I161" s="513"/>
      <c r="J161" s="513"/>
      <c r="K161" s="513"/>
      <c r="L161" s="513"/>
      <c r="M161" s="513"/>
      <c r="N161" s="513"/>
      <c r="O161" s="513"/>
      <c r="P161" s="513"/>
      <c r="Q161" s="513"/>
      <c r="R161" s="513"/>
      <c r="S161" s="513"/>
      <c r="T161" s="513"/>
      <c r="W161" s="196"/>
    </row>
    <row r="162" spans="1:23" s="31" customFormat="1" ht="15" customHeight="1">
      <c r="A162" s="31" t="s">
        <v>1597</v>
      </c>
      <c r="B162" s="32"/>
      <c r="C162" s="32"/>
      <c r="W162" s="196"/>
    </row>
    <row r="163" spans="1:23" s="31" customFormat="1" ht="15" customHeight="1">
      <c r="A163" s="31" t="s">
        <v>845</v>
      </c>
      <c r="B163" s="32"/>
      <c r="C163" s="1093" t="s">
        <v>1598</v>
      </c>
      <c r="D163" s="1093"/>
      <c r="E163" s="1093"/>
      <c r="F163" s="1093"/>
      <c r="G163" s="1093"/>
      <c r="H163" s="1093"/>
      <c r="I163" s="1093"/>
      <c r="J163" s="1093"/>
      <c r="K163" s="1093"/>
      <c r="L163" s="1093"/>
      <c r="M163" s="1093"/>
      <c r="N163" s="1093"/>
      <c r="O163" s="1093"/>
      <c r="P163" s="1093"/>
      <c r="Q163" s="1093"/>
      <c r="R163" s="1093"/>
      <c r="S163" s="1093"/>
      <c r="T163" s="1093"/>
      <c r="W163" s="196"/>
    </row>
    <row r="164" spans="1:23" s="31" customFormat="1" ht="15" customHeight="1">
      <c r="B164" s="32"/>
      <c r="C164" s="1093"/>
      <c r="D164" s="1093"/>
      <c r="E164" s="1093"/>
      <c r="F164" s="1093"/>
      <c r="G164" s="1093"/>
      <c r="H164" s="1093"/>
      <c r="I164" s="1093"/>
      <c r="J164" s="1093"/>
      <c r="K164" s="1093"/>
      <c r="L164" s="1093"/>
      <c r="M164" s="1093"/>
      <c r="N164" s="1093"/>
      <c r="O164" s="1093"/>
      <c r="P164" s="1093"/>
      <c r="Q164" s="1093"/>
      <c r="R164" s="1093"/>
      <c r="S164" s="1093"/>
      <c r="T164" s="1093"/>
      <c r="W164" s="196"/>
    </row>
    <row r="165" spans="1:23" s="31" customFormat="1" ht="15" customHeight="1">
      <c r="B165" s="32" t="s">
        <v>725</v>
      </c>
      <c r="C165" s="1093" t="s">
        <v>1599</v>
      </c>
      <c r="D165" s="1093"/>
      <c r="E165" s="1093"/>
      <c r="F165" s="1093"/>
      <c r="G165" s="1093"/>
      <c r="H165" s="1093"/>
      <c r="I165" s="1093"/>
      <c r="J165" s="1093"/>
      <c r="K165" s="1093"/>
      <c r="L165" s="1093"/>
      <c r="M165" s="1093"/>
      <c r="N165" s="1093"/>
      <c r="O165" s="1093"/>
      <c r="P165" s="1093"/>
      <c r="Q165" s="1093"/>
      <c r="R165" s="1093"/>
      <c r="S165" s="1093"/>
      <c r="T165" s="1093"/>
      <c r="W165" s="196"/>
    </row>
    <row r="166" spans="1:23" s="31" customFormat="1" ht="15" customHeight="1">
      <c r="B166" s="32"/>
      <c r="C166" s="1093"/>
      <c r="D166" s="1093"/>
      <c r="E166" s="1093"/>
      <c r="F166" s="1093"/>
      <c r="G166" s="1093"/>
      <c r="H166" s="1093"/>
      <c r="I166" s="1093"/>
      <c r="J166" s="1093"/>
      <c r="K166" s="1093"/>
      <c r="L166" s="1093"/>
      <c r="M166" s="1093"/>
      <c r="N166" s="1093"/>
      <c r="O166" s="1093"/>
      <c r="P166" s="1093"/>
      <c r="Q166" s="1093"/>
      <c r="R166" s="1093"/>
      <c r="S166" s="1093"/>
      <c r="T166" s="1093"/>
      <c r="W166" s="196"/>
    </row>
    <row r="167" spans="1:23" s="31" customFormat="1" ht="15" customHeight="1">
      <c r="B167" s="32"/>
      <c r="C167" s="1093"/>
      <c r="D167" s="1093"/>
      <c r="E167" s="1093"/>
      <c r="F167" s="1093"/>
      <c r="G167" s="1093"/>
      <c r="H167" s="1093"/>
      <c r="I167" s="1093"/>
      <c r="J167" s="1093"/>
      <c r="K167" s="1093"/>
      <c r="L167" s="1093"/>
      <c r="M167" s="1093"/>
      <c r="N167" s="1093"/>
      <c r="O167" s="1093"/>
      <c r="P167" s="1093"/>
      <c r="Q167" s="1093"/>
      <c r="R167" s="1093"/>
      <c r="S167" s="1093"/>
      <c r="T167" s="1093"/>
      <c r="W167" s="196"/>
    </row>
    <row r="168" spans="1:23" s="31" customFormat="1" ht="15" customHeight="1">
      <c r="B168" s="32" t="s">
        <v>741</v>
      </c>
      <c r="C168" s="1093" t="s">
        <v>1600</v>
      </c>
      <c r="D168" s="1093"/>
      <c r="E168" s="1093"/>
      <c r="F168" s="1093"/>
      <c r="G168" s="1093"/>
      <c r="H168" s="1093"/>
      <c r="I168" s="1093"/>
      <c r="J168" s="1093"/>
      <c r="K168" s="1093"/>
      <c r="L168" s="1093"/>
      <c r="M168" s="1093"/>
      <c r="N168" s="1093"/>
      <c r="O168" s="1093"/>
      <c r="P168" s="1093"/>
      <c r="Q168" s="1093"/>
      <c r="R168" s="1093"/>
      <c r="S168" s="1093"/>
      <c r="T168" s="1093"/>
      <c r="W168" s="196"/>
    </row>
    <row r="169" spans="1:23" s="31" customFormat="1" ht="15" customHeight="1">
      <c r="B169" s="32"/>
      <c r="C169" s="1093"/>
      <c r="D169" s="1093"/>
      <c r="E169" s="1093"/>
      <c r="F169" s="1093"/>
      <c r="G169" s="1093"/>
      <c r="H169" s="1093"/>
      <c r="I169" s="1093"/>
      <c r="J169" s="1093"/>
      <c r="K169" s="1093"/>
      <c r="L169" s="1093"/>
      <c r="M169" s="1093"/>
      <c r="N169" s="1093"/>
      <c r="O169" s="1093"/>
      <c r="P169" s="1093"/>
      <c r="Q169" s="1093"/>
      <c r="R169" s="1093"/>
      <c r="S169" s="1093"/>
      <c r="T169" s="1093"/>
      <c r="W169" s="196"/>
    </row>
    <row r="170" spans="1:23" s="31" customFormat="1" ht="15" customHeight="1">
      <c r="B170" s="32"/>
      <c r="C170" s="1093"/>
      <c r="D170" s="1093"/>
      <c r="E170" s="1093"/>
      <c r="F170" s="1093"/>
      <c r="G170" s="1093"/>
      <c r="H170" s="1093"/>
      <c r="I170" s="1093"/>
      <c r="J170" s="1093"/>
      <c r="K170" s="1093"/>
      <c r="L170" s="1093"/>
      <c r="M170" s="1093"/>
      <c r="N170" s="1093"/>
      <c r="O170" s="1093"/>
      <c r="P170" s="1093"/>
      <c r="Q170" s="1093"/>
      <c r="R170" s="1093"/>
      <c r="S170" s="1093"/>
      <c r="T170" s="1093"/>
      <c r="W170" s="196"/>
    </row>
    <row r="171" spans="1:23" s="31" customFormat="1" ht="15" customHeight="1">
      <c r="B171" s="32"/>
      <c r="C171" s="32"/>
      <c r="W171" s="196"/>
    </row>
    <row r="172" spans="1:23" s="31" customFormat="1" ht="15" customHeight="1">
      <c r="A172" s="31" t="s">
        <v>1601</v>
      </c>
      <c r="B172" s="32"/>
      <c r="C172" s="32"/>
      <c r="W172" s="196"/>
    </row>
    <row r="173" spans="1:23" s="31" customFormat="1" ht="15" customHeight="1">
      <c r="A173" s="31" t="s">
        <v>848</v>
      </c>
      <c r="B173" s="32"/>
      <c r="C173" s="1093" t="s">
        <v>1602</v>
      </c>
      <c r="D173" s="1093"/>
      <c r="E173" s="1093"/>
      <c r="F173" s="1093"/>
      <c r="G173" s="1093"/>
      <c r="H173" s="1093"/>
      <c r="I173" s="1093"/>
      <c r="J173" s="1093"/>
      <c r="K173" s="1093"/>
      <c r="L173" s="1093"/>
      <c r="M173" s="1093"/>
      <c r="N173" s="1093"/>
      <c r="O173" s="1093"/>
      <c r="P173" s="1093"/>
      <c r="Q173" s="1093"/>
      <c r="R173" s="1093"/>
      <c r="S173" s="1093"/>
      <c r="T173" s="1093"/>
      <c r="W173" s="196"/>
    </row>
    <row r="174" spans="1:23" s="31" customFormat="1" ht="15" customHeight="1">
      <c r="B174" s="32"/>
      <c r="C174" s="1093"/>
      <c r="D174" s="1093"/>
      <c r="E174" s="1093"/>
      <c r="F174" s="1093"/>
      <c r="G174" s="1093"/>
      <c r="H174" s="1093"/>
      <c r="I174" s="1093"/>
      <c r="J174" s="1093"/>
      <c r="K174" s="1093"/>
      <c r="L174" s="1093"/>
      <c r="M174" s="1093"/>
      <c r="N174" s="1093"/>
      <c r="O174" s="1093"/>
      <c r="P174" s="1093"/>
      <c r="Q174" s="1093"/>
      <c r="R174" s="1093"/>
      <c r="S174" s="1093"/>
      <c r="T174" s="1093"/>
      <c r="W174" s="196"/>
    </row>
    <row r="175" spans="1:23" s="31" customFormat="1" ht="15" customHeight="1">
      <c r="B175" s="32"/>
      <c r="C175" s="1093"/>
      <c r="D175" s="1093"/>
      <c r="E175" s="1093"/>
      <c r="F175" s="1093"/>
      <c r="G175" s="1093"/>
      <c r="H175" s="1093"/>
      <c r="I175" s="1093"/>
      <c r="J175" s="1093"/>
      <c r="K175" s="1093"/>
      <c r="L175" s="1093"/>
      <c r="M175" s="1093"/>
      <c r="N175" s="1093"/>
      <c r="O175" s="1093"/>
      <c r="P175" s="1093"/>
      <c r="Q175" s="1093"/>
      <c r="R175" s="1093"/>
      <c r="S175" s="1093"/>
      <c r="T175" s="1093"/>
      <c r="W175" s="196"/>
    </row>
    <row r="176" spans="1:23" s="31" customFormat="1" ht="15" customHeight="1">
      <c r="B176" s="32"/>
      <c r="C176" s="513"/>
      <c r="D176" s="513"/>
      <c r="E176" s="513"/>
      <c r="F176" s="513"/>
      <c r="G176" s="513"/>
      <c r="H176" s="513"/>
      <c r="I176" s="513"/>
      <c r="J176" s="513"/>
      <c r="K176" s="513"/>
      <c r="L176" s="513"/>
      <c r="M176" s="513"/>
      <c r="N176" s="513"/>
      <c r="O176" s="513"/>
      <c r="P176" s="513"/>
      <c r="Q176" s="513"/>
      <c r="R176" s="513"/>
      <c r="S176" s="513"/>
      <c r="T176" s="513"/>
    </row>
    <row r="177" spans="1:41" s="31" customFormat="1" ht="15" customHeight="1">
      <c r="A177" s="32" t="s">
        <v>1764</v>
      </c>
      <c r="B177" s="661"/>
      <c r="C177" s="661"/>
      <c r="D177" s="661"/>
      <c r="E177" s="661"/>
      <c r="F177" s="662"/>
      <c r="G177" s="662"/>
      <c r="H177" s="662"/>
      <c r="I177" s="662"/>
      <c r="J177" s="662"/>
      <c r="K177" s="662"/>
      <c r="L177" s="662"/>
      <c r="M177" s="662"/>
      <c r="N177" s="662"/>
      <c r="O177" s="662"/>
      <c r="P177" s="662"/>
      <c r="Q177" s="662"/>
      <c r="R177" s="662"/>
      <c r="S177" s="662"/>
      <c r="T177" s="73"/>
      <c r="U177" s="196" t="s">
        <v>1740</v>
      </c>
      <c r="W177" s="702"/>
      <c r="X177" s="512"/>
      <c r="Y177" s="512"/>
    </row>
    <row r="178" spans="1:41" s="31" customFormat="1" ht="15" customHeight="1">
      <c r="A178" s="31" t="s">
        <v>851</v>
      </c>
      <c r="B178" s="32"/>
      <c r="C178" s="1018" t="s">
        <v>1794</v>
      </c>
      <c r="D178" s="1018"/>
      <c r="E178" s="1018"/>
      <c r="F178" s="1018"/>
      <c r="G178" s="1018"/>
      <c r="H178" s="1018"/>
      <c r="I178" s="1018"/>
      <c r="J178" s="1018"/>
      <c r="K178" s="1018"/>
      <c r="L178" s="1018"/>
      <c r="M178" s="1018"/>
      <c r="N178" s="1018"/>
      <c r="O178" s="1018"/>
      <c r="P178" s="1018"/>
      <c r="Q178" s="1018"/>
      <c r="R178" s="1018"/>
      <c r="S178" s="1018"/>
      <c r="T178" s="1018"/>
      <c r="V178" s="196"/>
      <c r="W178" s="33"/>
      <c r="X178" s="33"/>
      <c r="Y178" s="33"/>
      <c r="Z178" s="33"/>
      <c r="AA178" s="33"/>
      <c r="AB178" s="33"/>
      <c r="AC178" s="33"/>
      <c r="AD178" s="33"/>
      <c r="AE178" s="33"/>
      <c r="AF178" s="33"/>
      <c r="AG178" s="33"/>
      <c r="AH178" s="33"/>
      <c r="AI178" s="33"/>
      <c r="AJ178" s="33"/>
      <c r="AK178" s="33"/>
      <c r="AL178" s="33"/>
      <c r="AM178" s="33"/>
      <c r="AN178" s="33"/>
    </row>
    <row r="179" spans="1:41" s="31" customFormat="1" ht="15" customHeight="1">
      <c r="C179" s="1018"/>
      <c r="D179" s="1018"/>
      <c r="E179" s="1018"/>
      <c r="F179" s="1018"/>
      <c r="G179" s="1018"/>
      <c r="H179" s="1018"/>
      <c r="I179" s="1018"/>
      <c r="J179" s="1018"/>
      <c r="K179" s="1018"/>
      <c r="L179" s="1018"/>
      <c r="M179" s="1018"/>
      <c r="N179" s="1018"/>
      <c r="O179" s="1018"/>
      <c r="P179" s="1018"/>
      <c r="Q179" s="1018"/>
      <c r="R179" s="1018"/>
      <c r="S179" s="1018"/>
      <c r="T179" s="1018"/>
      <c r="W179" s="196"/>
    </row>
    <row r="180" spans="1:41" s="31" customFormat="1" ht="15" customHeight="1">
      <c r="A180" s="663"/>
      <c r="B180" s="717"/>
      <c r="C180" s="1018" t="s">
        <v>1835</v>
      </c>
      <c r="D180" s="1018"/>
      <c r="E180" s="1018"/>
      <c r="F180" s="1018"/>
      <c r="G180" s="1018"/>
      <c r="H180" s="1018"/>
      <c r="I180" s="1018"/>
      <c r="J180" s="1018"/>
      <c r="K180" s="1018"/>
      <c r="L180" s="1018"/>
      <c r="M180" s="1018"/>
      <c r="N180" s="1018"/>
      <c r="O180" s="1018"/>
      <c r="P180" s="1018"/>
      <c r="Q180" s="1018"/>
      <c r="R180" s="1018"/>
      <c r="S180" s="1018"/>
      <c r="T180" s="1018"/>
      <c r="V180" s="196"/>
      <c r="W180" s="33"/>
      <c r="X180" s="33"/>
      <c r="Y180" s="33"/>
      <c r="Z180" s="33"/>
      <c r="AA180" s="33"/>
      <c r="AB180" s="33"/>
      <c r="AC180" s="33"/>
      <c r="AD180" s="33"/>
      <c r="AE180" s="33"/>
      <c r="AF180" s="33"/>
      <c r="AG180" s="33"/>
      <c r="AH180" s="33"/>
      <c r="AI180" s="33"/>
      <c r="AJ180" s="33"/>
      <c r="AK180" s="33"/>
      <c r="AL180" s="33"/>
      <c r="AM180" s="33"/>
      <c r="AN180" s="33"/>
      <c r="AO180" s="33"/>
    </row>
    <row r="181" spans="1:41" s="31" customFormat="1" ht="15" customHeight="1">
      <c r="A181" s="663"/>
      <c r="B181" s="717"/>
      <c r="C181" s="1018"/>
      <c r="D181" s="1018"/>
      <c r="E181" s="1018"/>
      <c r="F181" s="1018"/>
      <c r="G181" s="1018"/>
      <c r="H181" s="1018"/>
      <c r="I181" s="1018"/>
      <c r="J181" s="1018"/>
      <c r="K181" s="1018"/>
      <c r="L181" s="1018"/>
      <c r="M181" s="1018"/>
      <c r="N181" s="1018"/>
      <c r="O181" s="1018"/>
      <c r="P181" s="1018"/>
      <c r="Q181" s="1018"/>
      <c r="R181" s="1018"/>
      <c r="S181" s="1018"/>
      <c r="T181" s="1018"/>
      <c r="V181" s="196"/>
      <c r="W181" s="33"/>
      <c r="X181" s="33"/>
      <c r="Y181" s="33"/>
      <c r="Z181" s="33"/>
      <c r="AA181" s="33"/>
      <c r="AB181" s="33"/>
      <c r="AC181" s="33"/>
      <c r="AD181" s="33"/>
      <c r="AE181" s="33"/>
      <c r="AF181" s="33"/>
      <c r="AG181" s="33"/>
      <c r="AH181" s="33"/>
      <c r="AI181" s="33"/>
      <c r="AJ181" s="33"/>
      <c r="AK181" s="33"/>
      <c r="AL181" s="33"/>
      <c r="AM181" s="33"/>
      <c r="AN181" s="33"/>
      <c r="AO181" s="33"/>
    </row>
    <row r="182" spans="1:41" s="31" customFormat="1" ht="15" customHeight="1">
      <c r="A182" s="663"/>
      <c r="C182" s="718" t="s">
        <v>1771</v>
      </c>
      <c r="D182" s="718"/>
      <c r="E182" s="718"/>
      <c r="F182" s="718"/>
      <c r="G182" s="718"/>
      <c r="H182" s="718"/>
      <c r="I182" s="718"/>
      <c r="J182" s="718"/>
      <c r="K182" s="718"/>
      <c r="L182" s="718"/>
      <c r="M182" s="718"/>
      <c r="N182" s="718"/>
      <c r="O182" s="718"/>
      <c r="P182" s="718"/>
      <c r="Q182" s="718"/>
      <c r="R182" s="718"/>
      <c r="S182" s="718"/>
      <c r="T182" s="713"/>
      <c r="V182" s="196"/>
      <c r="W182" s="33"/>
      <c r="X182" s="33"/>
      <c r="Y182" s="33"/>
      <c r="Z182" s="33"/>
      <c r="AA182" s="33"/>
      <c r="AB182" s="33"/>
      <c r="AC182" s="33"/>
      <c r="AD182" s="33"/>
      <c r="AE182" s="33"/>
      <c r="AF182" s="33"/>
      <c r="AG182" s="33"/>
      <c r="AH182" s="33"/>
      <c r="AI182" s="33"/>
      <c r="AJ182" s="33"/>
      <c r="AK182" s="33"/>
      <c r="AL182" s="33"/>
      <c r="AM182" s="33"/>
      <c r="AN182" s="33"/>
      <c r="AO182" s="33"/>
    </row>
    <row r="183" spans="1:41" s="31" customFormat="1" ht="15" customHeight="1">
      <c r="A183" s="663"/>
      <c r="B183" s="719"/>
      <c r="C183" s="1018" t="s">
        <v>1772</v>
      </c>
      <c r="D183" s="1018"/>
      <c r="E183" s="1018"/>
      <c r="F183" s="1018"/>
      <c r="G183" s="1018"/>
      <c r="H183" s="1018"/>
      <c r="I183" s="1018"/>
      <c r="J183" s="1018"/>
      <c r="K183" s="1018"/>
      <c r="L183" s="1018"/>
      <c r="M183" s="1018"/>
      <c r="N183" s="1018"/>
      <c r="O183" s="1018"/>
      <c r="P183" s="1018"/>
      <c r="Q183" s="1018"/>
      <c r="R183" s="1018"/>
      <c r="S183" s="1018"/>
      <c r="T183" s="1018"/>
      <c r="V183" s="196"/>
      <c r="W183" s="33"/>
      <c r="X183" s="33"/>
      <c r="Y183" s="33"/>
      <c r="Z183" s="33"/>
      <c r="AA183" s="33"/>
      <c r="AB183" s="33"/>
      <c r="AC183" s="33"/>
      <c r="AD183" s="33"/>
      <c r="AE183" s="33"/>
      <c r="AF183" s="33"/>
      <c r="AG183" s="33"/>
      <c r="AH183" s="33"/>
      <c r="AI183" s="33"/>
      <c r="AJ183" s="33"/>
      <c r="AK183" s="33"/>
      <c r="AL183" s="33"/>
      <c r="AM183" s="33"/>
      <c r="AN183" s="33"/>
      <c r="AO183" s="33"/>
    </row>
    <row r="184" spans="1:41" s="31" customFormat="1" ht="15" customHeight="1">
      <c r="A184" s="663"/>
      <c r="B184" s="719"/>
      <c r="C184" s="1018"/>
      <c r="D184" s="1018"/>
      <c r="E184" s="1018"/>
      <c r="F184" s="1018"/>
      <c r="G184" s="1018"/>
      <c r="H184" s="1018"/>
      <c r="I184" s="1018"/>
      <c r="J184" s="1018"/>
      <c r="K184" s="1018"/>
      <c r="L184" s="1018"/>
      <c r="M184" s="1018"/>
      <c r="N184" s="1018"/>
      <c r="O184" s="1018"/>
      <c r="P184" s="1018"/>
      <c r="Q184" s="1018"/>
      <c r="R184" s="1018"/>
      <c r="S184" s="1018"/>
      <c r="T184" s="1018"/>
      <c r="V184" s="196"/>
      <c r="W184" s="33"/>
      <c r="X184" s="33"/>
      <c r="Y184" s="33"/>
      <c r="Z184" s="33"/>
      <c r="AA184" s="33"/>
      <c r="AB184" s="33"/>
      <c r="AC184" s="33"/>
      <c r="AD184" s="33"/>
      <c r="AE184" s="33"/>
      <c r="AF184" s="33"/>
      <c r="AG184" s="33"/>
      <c r="AH184" s="33"/>
      <c r="AI184" s="33"/>
      <c r="AJ184" s="33"/>
      <c r="AK184" s="33"/>
      <c r="AL184" s="33"/>
      <c r="AM184" s="33"/>
      <c r="AN184" s="33"/>
      <c r="AO184" s="33"/>
    </row>
    <row r="185" spans="1:41" s="31" customFormat="1" ht="15" customHeight="1">
      <c r="A185" s="663"/>
      <c r="B185" s="719"/>
      <c r="C185" s="1018" t="s">
        <v>1830</v>
      </c>
      <c r="D185" s="1019"/>
      <c r="E185" s="1019"/>
      <c r="F185" s="1019"/>
      <c r="G185" s="1019"/>
      <c r="H185" s="1019"/>
      <c r="I185" s="1019"/>
      <c r="J185" s="1019"/>
      <c r="K185" s="1019"/>
      <c r="L185" s="1019"/>
      <c r="M185" s="1019"/>
      <c r="N185" s="1019"/>
      <c r="O185" s="1019"/>
      <c r="P185" s="1019"/>
      <c r="Q185" s="1019"/>
      <c r="R185" s="1019"/>
      <c r="S185" s="1019"/>
      <c r="T185" s="1019"/>
      <c r="V185" s="196"/>
      <c r="W185" s="33"/>
      <c r="X185" s="33"/>
      <c r="Y185" s="33"/>
      <c r="Z185" s="33"/>
      <c r="AA185" s="33"/>
      <c r="AB185" s="33"/>
      <c r="AC185" s="33"/>
      <c r="AD185" s="33"/>
      <c r="AE185" s="33"/>
      <c r="AF185" s="33"/>
      <c r="AG185" s="33"/>
      <c r="AH185" s="33"/>
      <c r="AI185" s="33"/>
      <c r="AJ185" s="33"/>
      <c r="AK185" s="33"/>
      <c r="AL185" s="33"/>
      <c r="AM185" s="33"/>
      <c r="AN185" s="33"/>
      <c r="AO185" s="33"/>
    </row>
    <row r="186" spans="1:41" s="31" customFormat="1" ht="15" customHeight="1">
      <c r="A186" s="663"/>
      <c r="B186" s="719"/>
      <c r="C186" s="1019"/>
      <c r="D186" s="1019"/>
      <c r="E186" s="1019"/>
      <c r="F186" s="1019"/>
      <c r="G186" s="1019"/>
      <c r="H186" s="1019"/>
      <c r="I186" s="1019"/>
      <c r="J186" s="1019"/>
      <c r="K186" s="1019"/>
      <c r="L186" s="1019"/>
      <c r="M186" s="1019"/>
      <c r="N186" s="1019"/>
      <c r="O186" s="1019"/>
      <c r="P186" s="1019"/>
      <c r="Q186" s="1019"/>
      <c r="R186" s="1019"/>
      <c r="S186" s="1019"/>
      <c r="T186" s="1019"/>
      <c r="V186" s="196"/>
      <c r="W186" s="33"/>
      <c r="X186" s="33"/>
      <c r="Y186" s="33"/>
      <c r="Z186" s="33"/>
      <c r="AA186" s="33"/>
      <c r="AB186" s="33"/>
      <c r="AC186" s="33"/>
      <c r="AD186" s="33"/>
      <c r="AE186" s="33"/>
      <c r="AF186" s="33"/>
      <c r="AG186" s="33"/>
      <c r="AH186" s="33"/>
      <c r="AI186" s="33"/>
      <c r="AJ186" s="33"/>
      <c r="AK186" s="33"/>
      <c r="AL186" s="33"/>
      <c r="AM186" s="33"/>
      <c r="AN186" s="33"/>
      <c r="AO186" s="33"/>
    </row>
    <row r="187" spans="1:41" s="31" customFormat="1" ht="15" customHeight="1">
      <c r="A187" s="665"/>
      <c r="B187" s="718"/>
      <c r="C187" s="1018" t="s">
        <v>1789</v>
      </c>
      <c r="D187" s="1018"/>
      <c r="E187" s="1018"/>
      <c r="F187" s="1018"/>
      <c r="G187" s="1018"/>
      <c r="H187" s="1018"/>
      <c r="I187" s="1018"/>
      <c r="J187" s="1018"/>
      <c r="K187" s="1018"/>
      <c r="L187" s="1018"/>
      <c r="M187" s="1018"/>
      <c r="N187" s="1018"/>
      <c r="O187" s="1018"/>
      <c r="P187" s="1018"/>
      <c r="Q187" s="1018"/>
      <c r="R187" s="1018"/>
      <c r="S187" s="1018"/>
      <c r="T187" s="1018"/>
      <c r="V187" s="196"/>
      <c r="W187" s="33"/>
      <c r="X187" s="33"/>
      <c r="Y187" s="33"/>
      <c r="Z187" s="33"/>
      <c r="AA187" s="33"/>
      <c r="AB187" s="33"/>
      <c r="AC187" s="33"/>
      <c r="AD187" s="33"/>
      <c r="AE187" s="33"/>
      <c r="AF187" s="33"/>
      <c r="AG187" s="33"/>
      <c r="AH187" s="33"/>
      <c r="AI187" s="33"/>
      <c r="AJ187" s="33"/>
      <c r="AK187" s="33"/>
      <c r="AL187" s="33"/>
      <c r="AM187" s="33"/>
      <c r="AN187" s="33"/>
      <c r="AO187" s="33"/>
    </row>
    <row r="188" spans="1:41" s="31" customFormat="1" ht="15" customHeight="1">
      <c r="A188" s="665"/>
      <c r="B188" s="718"/>
      <c r="C188" s="1018"/>
      <c r="D188" s="1018"/>
      <c r="E188" s="1018"/>
      <c r="F188" s="1018"/>
      <c r="G188" s="1018"/>
      <c r="H188" s="1018"/>
      <c r="I188" s="1018"/>
      <c r="J188" s="1018"/>
      <c r="K188" s="1018"/>
      <c r="L188" s="1018"/>
      <c r="M188" s="1018"/>
      <c r="N188" s="1018"/>
      <c r="O188" s="1018"/>
      <c r="P188" s="1018"/>
      <c r="Q188" s="1018"/>
      <c r="R188" s="1018"/>
      <c r="S188" s="1018"/>
      <c r="T188" s="1018"/>
      <c r="V188" s="196"/>
      <c r="W188" s="33"/>
      <c r="X188" s="33"/>
      <c r="Y188" s="33"/>
      <c r="Z188" s="33"/>
      <c r="AA188" s="33"/>
      <c r="AB188" s="33"/>
      <c r="AC188" s="33"/>
      <c r="AD188" s="33"/>
      <c r="AE188" s="33"/>
      <c r="AF188" s="33"/>
      <c r="AG188" s="33"/>
      <c r="AH188" s="33"/>
      <c r="AI188" s="33"/>
      <c r="AJ188" s="33"/>
      <c r="AK188" s="33"/>
      <c r="AL188" s="33"/>
      <c r="AM188" s="33"/>
      <c r="AN188" s="33"/>
      <c r="AO188" s="33"/>
    </row>
    <row r="189" spans="1:41" s="31" customFormat="1" ht="15" customHeight="1">
      <c r="A189" s="32"/>
      <c r="B189" s="664" t="s">
        <v>725</v>
      </c>
      <c r="C189" s="1020" t="s">
        <v>1836</v>
      </c>
      <c r="D189" s="1020"/>
      <c r="E189" s="1020"/>
      <c r="F189" s="1020"/>
      <c r="G189" s="1020"/>
      <c r="H189" s="1020"/>
      <c r="I189" s="1020"/>
      <c r="J189" s="1020"/>
      <c r="K189" s="1020"/>
      <c r="L189" s="1020"/>
      <c r="M189" s="1020"/>
      <c r="N189" s="1020"/>
      <c r="O189" s="1020"/>
      <c r="P189" s="1020"/>
      <c r="Q189" s="1020"/>
      <c r="R189" s="1020"/>
      <c r="S189" s="1020"/>
      <c r="T189" s="1020"/>
      <c r="W189" s="196"/>
      <c r="X189" s="196"/>
      <c r="Y189" s="512"/>
      <c r="Z189" s="512"/>
    </row>
    <row r="190" spans="1:41" s="31" customFormat="1" ht="15" customHeight="1">
      <c r="A190" s="32"/>
      <c r="B190" s="664"/>
      <c r="C190" s="1020"/>
      <c r="D190" s="1020"/>
      <c r="E190" s="1020"/>
      <c r="F190" s="1020"/>
      <c r="G190" s="1020"/>
      <c r="H190" s="1020"/>
      <c r="I190" s="1020"/>
      <c r="J190" s="1020"/>
      <c r="K190" s="1020"/>
      <c r="L190" s="1020"/>
      <c r="M190" s="1020"/>
      <c r="N190" s="1020"/>
      <c r="O190" s="1020"/>
      <c r="P190" s="1020"/>
      <c r="Q190" s="1020"/>
      <c r="R190" s="1020"/>
      <c r="S190" s="1020"/>
      <c r="T190" s="1020"/>
      <c r="W190" s="196"/>
      <c r="X190" s="196"/>
      <c r="Y190" s="512"/>
      <c r="Z190" s="512"/>
    </row>
    <row r="191" spans="1:41" s="31" customFormat="1" ht="15" customHeight="1">
      <c r="A191" s="32"/>
      <c r="B191" s="664" t="s">
        <v>741</v>
      </c>
      <c r="C191" s="1020" t="s">
        <v>1790</v>
      </c>
      <c r="D191" s="1020"/>
      <c r="E191" s="1020"/>
      <c r="F191" s="1020"/>
      <c r="G191" s="1020"/>
      <c r="H191" s="1020"/>
      <c r="I191" s="1020"/>
      <c r="J191" s="1020"/>
      <c r="K191" s="1020"/>
      <c r="L191" s="1020"/>
      <c r="M191" s="1020"/>
      <c r="N191" s="1020"/>
      <c r="O191" s="1020"/>
      <c r="P191" s="1020"/>
      <c r="Q191" s="1020"/>
      <c r="R191" s="1020"/>
      <c r="S191" s="1020"/>
      <c r="T191" s="1020"/>
      <c r="W191" s="196"/>
      <c r="X191" s="196"/>
      <c r="Y191" s="512"/>
      <c r="Z191" s="512"/>
    </row>
    <row r="192" spans="1:41" s="31" customFormat="1" ht="15" customHeight="1">
      <c r="A192" s="32"/>
      <c r="B192" s="664"/>
      <c r="C192" s="1020"/>
      <c r="D192" s="1020"/>
      <c r="E192" s="1020"/>
      <c r="F192" s="1020"/>
      <c r="G192" s="1020"/>
      <c r="H192" s="1020"/>
      <c r="I192" s="1020"/>
      <c r="J192" s="1020"/>
      <c r="K192" s="1020"/>
      <c r="L192" s="1020"/>
      <c r="M192" s="1020"/>
      <c r="N192" s="1020"/>
      <c r="O192" s="1020"/>
      <c r="P192" s="1020"/>
      <c r="Q192" s="1020"/>
      <c r="R192" s="1020"/>
      <c r="S192" s="1020"/>
      <c r="T192" s="1020"/>
      <c r="W192" s="196"/>
      <c r="X192" s="196"/>
      <c r="Y192" s="512"/>
      <c r="Z192" s="512"/>
    </row>
    <row r="193" spans="1:41" s="31" customFormat="1" ht="15" customHeight="1">
      <c r="A193" s="32"/>
      <c r="B193" s="664"/>
      <c r="C193" s="1020"/>
      <c r="D193" s="1020"/>
      <c r="E193" s="1020"/>
      <c r="F193" s="1020"/>
      <c r="G193" s="1020"/>
      <c r="H193" s="1020"/>
      <c r="I193" s="1020"/>
      <c r="J193" s="1020"/>
      <c r="K193" s="1020"/>
      <c r="L193" s="1020"/>
      <c r="M193" s="1020"/>
      <c r="N193" s="1020"/>
      <c r="O193" s="1020"/>
      <c r="P193" s="1020"/>
      <c r="Q193" s="1020"/>
      <c r="R193" s="1020"/>
      <c r="S193" s="1020"/>
      <c r="T193" s="1020"/>
      <c r="W193" s="196"/>
      <c r="X193" s="196"/>
      <c r="Y193" s="512"/>
      <c r="Z193" s="512"/>
    </row>
    <row r="194" spans="1:41" s="31" customFormat="1" ht="15" customHeight="1">
      <c r="A194" s="665"/>
      <c r="B194" s="749" t="s">
        <v>1903</v>
      </c>
      <c r="C194" s="1018" t="s">
        <v>1791</v>
      </c>
      <c r="D194" s="1018"/>
      <c r="E194" s="1018"/>
      <c r="F194" s="1018"/>
      <c r="G194" s="1018"/>
      <c r="H194" s="1018"/>
      <c r="I194" s="1018"/>
      <c r="J194" s="1018"/>
      <c r="K194" s="1018"/>
      <c r="L194" s="1018"/>
      <c r="M194" s="1018"/>
      <c r="N194" s="1018"/>
      <c r="O194" s="1018"/>
      <c r="P194" s="1018"/>
      <c r="Q194" s="1018"/>
      <c r="R194" s="1018"/>
      <c r="S194" s="1018"/>
      <c r="T194" s="1018"/>
      <c r="V194" s="196"/>
      <c r="W194" s="33"/>
      <c r="X194" s="33"/>
      <c r="Y194" s="33"/>
      <c r="Z194" s="33"/>
      <c r="AA194" s="33"/>
      <c r="AB194" s="33"/>
      <c r="AC194" s="33"/>
      <c r="AD194" s="33"/>
      <c r="AE194" s="33"/>
      <c r="AF194" s="33"/>
      <c r="AG194" s="33"/>
      <c r="AH194" s="33"/>
      <c r="AI194" s="33"/>
      <c r="AJ194" s="33"/>
      <c r="AK194" s="33"/>
      <c r="AL194" s="33"/>
      <c r="AM194" s="33"/>
      <c r="AN194" s="33"/>
      <c r="AO194" s="33"/>
    </row>
    <row r="195" spans="1:41" s="31" customFormat="1" ht="15" customHeight="1">
      <c r="A195" s="665"/>
      <c r="B195" s="665"/>
      <c r="C195" s="1018"/>
      <c r="D195" s="1018"/>
      <c r="E195" s="1018"/>
      <c r="F195" s="1018"/>
      <c r="G195" s="1018"/>
      <c r="H195" s="1018"/>
      <c r="I195" s="1018"/>
      <c r="J195" s="1018"/>
      <c r="K195" s="1018"/>
      <c r="L195" s="1018"/>
      <c r="M195" s="1018"/>
      <c r="N195" s="1018"/>
      <c r="O195" s="1018"/>
      <c r="P195" s="1018"/>
      <c r="Q195" s="1018"/>
      <c r="R195" s="1018"/>
      <c r="S195" s="1018"/>
      <c r="T195" s="1018"/>
      <c r="V195" s="196"/>
      <c r="W195" s="33"/>
      <c r="X195" s="33"/>
      <c r="Y195" s="33"/>
      <c r="Z195" s="33"/>
      <c r="AA195" s="33"/>
      <c r="AB195" s="33"/>
      <c r="AC195" s="33"/>
      <c r="AD195" s="33"/>
      <c r="AE195" s="33"/>
      <c r="AF195" s="33"/>
      <c r="AG195" s="33"/>
      <c r="AH195" s="33"/>
      <c r="AI195" s="33"/>
      <c r="AJ195" s="33"/>
      <c r="AK195" s="33"/>
      <c r="AL195" s="33"/>
      <c r="AM195" s="33"/>
      <c r="AN195" s="33"/>
      <c r="AO195" s="33"/>
    </row>
    <row r="196" spans="1:41" s="31" customFormat="1" ht="15" customHeight="1">
      <c r="A196" s="665"/>
      <c r="B196" s="718"/>
      <c r="C196" s="713"/>
      <c r="D196" s="713"/>
      <c r="E196" s="713"/>
      <c r="F196" s="713"/>
      <c r="G196" s="713"/>
      <c r="H196" s="713"/>
      <c r="I196" s="713"/>
      <c r="J196" s="713"/>
      <c r="K196" s="713"/>
      <c r="L196" s="713"/>
      <c r="M196" s="713"/>
      <c r="N196" s="713"/>
      <c r="O196" s="713"/>
      <c r="P196" s="713"/>
      <c r="Q196" s="713"/>
      <c r="R196" s="713"/>
      <c r="S196" s="713"/>
      <c r="T196" s="713"/>
      <c r="V196" s="196"/>
      <c r="W196" s="33"/>
      <c r="X196" s="33"/>
      <c r="Y196" s="33"/>
      <c r="Z196" s="33"/>
      <c r="AA196" s="33"/>
      <c r="AB196" s="33"/>
      <c r="AC196" s="33"/>
      <c r="AD196" s="33"/>
      <c r="AE196" s="33"/>
      <c r="AF196" s="33"/>
      <c r="AG196" s="33"/>
      <c r="AH196" s="33"/>
      <c r="AI196" s="33"/>
      <c r="AJ196" s="33"/>
      <c r="AK196" s="33"/>
      <c r="AL196" s="33"/>
      <c r="AM196" s="33"/>
      <c r="AN196" s="33"/>
      <c r="AO196" s="33"/>
    </row>
    <row r="197" spans="1:41" s="31" customFormat="1" ht="15" customHeight="1">
      <c r="A197" s="31" t="s">
        <v>1603</v>
      </c>
      <c r="B197" s="32"/>
      <c r="C197" s="32"/>
      <c r="W197" s="196"/>
    </row>
    <row r="198" spans="1:41" s="31" customFormat="1" ht="15" customHeight="1">
      <c r="A198" s="31" t="s">
        <v>1605</v>
      </c>
      <c r="B198" s="32"/>
      <c r="C198" s="1093" t="s">
        <v>1604</v>
      </c>
      <c r="D198" s="1093"/>
      <c r="E198" s="1093"/>
      <c r="F198" s="1093"/>
      <c r="G198" s="1093"/>
      <c r="H198" s="1093"/>
      <c r="I198" s="1093"/>
      <c r="J198" s="1093"/>
      <c r="K198" s="1093"/>
      <c r="L198" s="1093"/>
      <c r="M198" s="1093"/>
      <c r="N198" s="1093"/>
      <c r="O198" s="1093"/>
      <c r="P198" s="1093"/>
      <c r="Q198" s="1093"/>
      <c r="R198" s="1093"/>
      <c r="S198" s="1093"/>
      <c r="T198" s="1093"/>
      <c r="W198" s="196"/>
    </row>
    <row r="199" spans="1:41" s="31" customFormat="1" ht="15" customHeight="1">
      <c r="B199" s="32"/>
      <c r="C199" s="1093"/>
      <c r="D199" s="1093"/>
      <c r="E199" s="1093"/>
      <c r="F199" s="1093"/>
      <c r="G199" s="1093"/>
      <c r="H199" s="1093"/>
      <c r="I199" s="1093"/>
      <c r="J199" s="1093"/>
      <c r="K199" s="1093"/>
      <c r="L199" s="1093"/>
      <c r="M199" s="1093"/>
      <c r="N199" s="1093"/>
      <c r="O199" s="1093"/>
      <c r="P199" s="1093"/>
      <c r="Q199" s="1093"/>
      <c r="R199" s="1093"/>
      <c r="S199" s="1093"/>
      <c r="T199" s="1093"/>
      <c r="W199" s="196"/>
    </row>
    <row r="200" spans="1:41" s="31" customFormat="1" ht="15" customHeight="1">
      <c r="B200" s="32"/>
      <c r="C200" s="1093"/>
      <c r="D200" s="1093"/>
      <c r="E200" s="1093"/>
      <c r="F200" s="1093"/>
      <c r="G200" s="1093"/>
      <c r="H200" s="1093"/>
      <c r="I200" s="1093"/>
      <c r="J200" s="1093"/>
      <c r="K200" s="1093"/>
      <c r="L200" s="1093"/>
      <c r="M200" s="1093"/>
      <c r="N200" s="1093"/>
      <c r="O200" s="1093"/>
      <c r="P200" s="1093"/>
      <c r="Q200" s="1093"/>
      <c r="R200" s="1093"/>
      <c r="S200" s="1093"/>
      <c r="T200" s="1093"/>
      <c r="W200" s="196"/>
    </row>
    <row r="201" spans="1:41" s="31" customFormat="1" ht="15" customHeight="1">
      <c r="B201" s="32"/>
      <c r="C201" s="32"/>
      <c r="W201" s="196"/>
    </row>
    <row r="202" spans="1:41" s="31" customFormat="1" ht="15" customHeight="1">
      <c r="A202" s="31" t="s">
        <v>1356</v>
      </c>
      <c r="B202" s="32"/>
      <c r="C202" s="32"/>
      <c r="W202" s="196"/>
    </row>
    <row r="203" spans="1:41" s="31" customFormat="1" ht="15" customHeight="1">
      <c r="A203" s="31" t="s">
        <v>1479</v>
      </c>
      <c r="B203" s="32"/>
      <c r="C203" s="1093" t="s">
        <v>1606</v>
      </c>
      <c r="D203" s="1093"/>
      <c r="E203" s="1093"/>
      <c r="F203" s="1093"/>
      <c r="G203" s="1093"/>
      <c r="H203" s="1093"/>
      <c r="I203" s="1093"/>
      <c r="J203" s="1093"/>
      <c r="K203" s="1093"/>
      <c r="L203" s="1093"/>
      <c r="M203" s="1093"/>
      <c r="N203" s="1093"/>
      <c r="O203" s="1093"/>
      <c r="P203" s="1093"/>
      <c r="Q203" s="1093"/>
      <c r="R203" s="1093"/>
      <c r="S203" s="1093"/>
      <c r="T203" s="1093"/>
      <c r="W203" s="196"/>
    </row>
    <row r="204" spans="1:41" s="31" customFormat="1" ht="15" customHeight="1">
      <c r="B204" s="32"/>
      <c r="C204" s="1093"/>
      <c r="D204" s="1093"/>
      <c r="E204" s="1093"/>
      <c r="F204" s="1093"/>
      <c r="G204" s="1093"/>
      <c r="H204" s="1093"/>
      <c r="I204" s="1093"/>
      <c r="J204" s="1093"/>
      <c r="K204" s="1093"/>
      <c r="L204" s="1093"/>
      <c r="M204" s="1093"/>
      <c r="N204" s="1093"/>
      <c r="O204" s="1093"/>
      <c r="P204" s="1093"/>
      <c r="Q204" s="1093"/>
      <c r="R204" s="1093"/>
      <c r="S204" s="1093"/>
      <c r="T204" s="1093"/>
      <c r="W204" s="196"/>
    </row>
    <row r="205" spans="1:41" s="31" customFormat="1" ht="15" customHeight="1">
      <c r="B205" s="32" t="s">
        <v>725</v>
      </c>
      <c r="C205" s="1093" t="s">
        <v>1607</v>
      </c>
      <c r="D205" s="1093"/>
      <c r="E205" s="1093"/>
      <c r="F205" s="1093"/>
      <c r="G205" s="1093"/>
      <c r="H205" s="1093"/>
      <c r="I205" s="1093"/>
      <c r="J205" s="1093"/>
      <c r="K205" s="1093"/>
      <c r="L205" s="1093"/>
      <c r="M205" s="1093"/>
      <c r="N205" s="1093"/>
      <c r="O205" s="1093"/>
      <c r="P205" s="1093"/>
      <c r="Q205" s="1093"/>
      <c r="R205" s="1093"/>
      <c r="S205" s="1093"/>
      <c r="T205" s="1093"/>
      <c r="W205" s="196"/>
    </row>
    <row r="206" spans="1:41" s="31" customFormat="1" ht="15" customHeight="1">
      <c r="B206" s="32"/>
      <c r="C206" s="1093"/>
      <c r="D206" s="1093"/>
      <c r="E206" s="1093"/>
      <c r="F206" s="1093"/>
      <c r="G206" s="1093"/>
      <c r="H206" s="1093"/>
      <c r="I206" s="1093"/>
      <c r="J206" s="1093"/>
      <c r="K206" s="1093"/>
      <c r="L206" s="1093"/>
      <c r="M206" s="1093"/>
      <c r="N206" s="1093"/>
      <c r="O206" s="1093"/>
      <c r="P206" s="1093"/>
      <c r="Q206" s="1093"/>
      <c r="R206" s="1093"/>
      <c r="S206" s="1093"/>
      <c r="T206" s="1093"/>
      <c r="W206" s="196"/>
    </row>
    <row r="207" spans="1:41" s="31" customFormat="1" ht="15" customHeight="1">
      <c r="B207" s="32" t="s">
        <v>741</v>
      </c>
      <c r="C207" s="1093" t="s">
        <v>1608</v>
      </c>
      <c r="D207" s="1093"/>
      <c r="E207" s="1093"/>
      <c r="F207" s="1093"/>
      <c r="G207" s="1093"/>
      <c r="H207" s="1093"/>
      <c r="I207" s="1093"/>
      <c r="J207" s="1093"/>
      <c r="K207" s="1093"/>
      <c r="L207" s="1093"/>
      <c r="M207" s="1093"/>
      <c r="N207" s="1093"/>
      <c r="O207" s="1093"/>
      <c r="P207" s="1093"/>
      <c r="Q207" s="1093"/>
      <c r="R207" s="1093"/>
      <c r="S207" s="1093"/>
      <c r="T207" s="1093"/>
      <c r="W207" s="196"/>
    </row>
    <row r="208" spans="1:41" s="31" customFormat="1" ht="15" customHeight="1">
      <c r="B208" s="32"/>
      <c r="C208" s="1093"/>
      <c r="D208" s="1093"/>
      <c r="E208" s="1093"/>
      <c r="F208" s="1093"/>
      <c r="G208" s="1093"/>
      <c r="H208" s="1093"/>
      <c r="I208" s="1093"/>
      <c r="J208" s="1093"/>
      <c r="K208" s="1093"/>
      <c r="L208" s="1093"/>
      <c r="M208" s="1093"/>
      <c r="N208" s="1093"/>
      <c r="O208" s="1093"/>
      <c r="P208" s="1093"/>
      <c r="Q208" s="1093"/>
      <c r="R208" s="1093"/>
      <c r="S208" s="1093"/>
      <c r="T208" s="1093"/>
      <c r="W208" s="196"/>
    </row>
    <row r="209" spans="1:23" s="31" customFormat="1" ht="15" customHeight="1">
      <c r="B209" s="32" t="s">
        <v>743</v>
      </c>
      <c r="C209" s="1013" t="s">
        <v>1609</v>
      </c>
      <c r="D209" s="1013"/>
      <c r="E209" s="1013"/>
      <c r="F209" s="1013"/>
      <c r="G209" s="1013"/>
      <c r="H209" s="1013"/>
      <c r="I209" s="1013"/>
      <c r="J209" s="1013"/>
      <c r="K209" s="1013"/>
      <c r="L209" s="1013"/>
      <c r="M209" s="1013"/>
      <c r="N209" s="1013"/>
      <c r="O209" s="1013"/>
      <c r="P209" s="1013"/>
      <c r="Q209" s="1013"/>
      <c r="R209" s="1013"/>
      <c r="S209" s="1013"/>
      <c r="T209" s="1013"/>
      <c r="W209" s="196"/>
    </row>
    <row r="210" spans="1:23" s="31" customFormat="1" ht="15" customHeight="1">
      <c r="B210" s="32"/>
      <c r="C210" s="1013"/>
      <c r="D210" s="1013"/>
      <c r="E210" s="1013"/>
      <c r="F210" s="1013"/>
      <c r="G210" s="1013"/>
      <c r="H210" s="1013"/>
      <c r="I210" s="1013"/>
      <c r="J210" s="1013"/>
      <c r="K210" s="1013"/>
      <c r="L210" s="1013"/>
      <c r="M210" s="1013"/>
      <c r="N210" s="1013"/>
      <c r="O210" s="1013"/>
      <c r="P210" s="1013"/>
      <c r="Q210" s="1013"/>
      <c r="R210" s="1013"/>
      <c r="S210" s="1013"/>
      <c r="T210" s="1013"/>
      <c r="W210" s="196"/>
    </row>
    <row r="211" spans="1:23" s="31" customFormat="1" ht="15" customHeight="1">
      <c r="B211" s="32"/>
      <c r="C211" s="1013"/>
      <c r="D211" s="1013"/>
      <c r="E211" s="1013"/>
      <c r="F211" s="1013"/>
      <c r="G211" s="1013"/>
      <c r="H211" s="1013"/>
      <c r="I211" s="1013"/>
      <c r="J211" s="1013"/>
      <c r="K211" s="1013"/>
      <c r="L211" s="1013"/>
      <c r="M211" s="1013"/>
      <c r="N211" s="1013"/>
      <c r="O211" s="1013"/>
      <c r="P211" s="1013"/>
      <c r="Q211" s="1013"/>
      <c r="R211" s="1013"/>
      <c r="S211" s="1013"/>
      <c r="T211" s="1013"/>
      <c r="W211" s="196"/>
    </row>
    <row r="212" spans="1:23" s="31" customFormat="1" ht="15" customHeight="1">
      <c r="B212" s="32" t="s">
        <v>749</v>
      </c>
      <c r="C212" s="1013" t="str">
        <f>"　この規程の定める事項の他、運営に関する重要事項は、"&amp;【マスター】!C22&amp;"と事業所の管理者との協議に基づき定めるものとする。"</f>
        <v>　この規程の定める事項の他、運営に関する重要事項は、株式会社ケアサポートと事業所の管理者との協議に基づき定めるものとする。</v>
      </c>
      <c r="D212" s="1013"/>
      <c r="E212" s="1013"/>
      <c r="F212" s="1013"/>
      <c r="G212" s="1013"/>
      <c r="H212" s="1013"/>
      <c r="I212" s="1013"/>
      <c r="J212" s="1013"/>
      <c r="K212" s="1013"/>
      <c r="L212" s="1013"/>
      <c r="M212" s="1013"/>
      <c r="N212" s="1013"/>
      <c r="O212" s="1013"/>
      <c r="P212" s="1013"/>
      <c r="Q212" s="1013"/>
      <c r="R212" s="1013"/>
      <c r="S212" s="1013"/>
      <c r="T212" s="1013"/>
      <c r="U212" s="31" t="s">
        <v>1489</v>
      </c>
      <c r="W212" s="196"/>
    </row>
    <row r="213" spans="1:23" s="31" customFormat="1" ht="15" customHeight="1">
      <c r="B213" s="32"/>
      <c r="C213" s="1013"/>
      <c r="D213" s="1013"/>
      <c r="E213" s="1013"/>
      <c r="F213" s="1013"/>
      <c r="G213" s="1013"/>
      <c r="H213" s="1013"/>
      <c r="I213" s="1013"/>
      <c r="J213" s="1013"/>
      <c r="K213" s="1013"/>
      <c r="L213" s="1013"/>
      <c r="M213" s="1013"/>
      <c r="N213" s="1013"/>
      <c r="O213" s="1013"/>
      <c r="P213" s="1013"/>
      <c r="Q213" s="1013"/>
      <c r="R213" s="1013"/>
      <c r="S213" s="1013"/>
      <c r="T213" s="1013"/>
      <c r="W213" s="196"/>
    </row>
    <row r="214" spans="1:23" s="31" customFormat="1" ht="15" customHeight="1">
      <c r="B214" s="32"/>
      <c r="C214" s="512"/>
      <c r="D214" s="512"/>
      <c r="E214" s="512"/>
      <c r="F214" s="512"/>
      <c r="G214" s="512"/>
      <c r="H214" s="512"/>
      <c r="I214" s="512"/>
      <c r="J214" s="512"/>
      <c r="K214" s="512"/>
      <c r="L214" s="512"/>
      <c r="M214" s="512"/>
      <c r="N214" s="512"/>
      <c r="O214" s="512"/>
      <c r="P214" s="512"/>
      <c r="Q214" s="512"/>
      <c r="R214" s="512"/>
      <c r="S214" s="512"/>
      <c r="T214" s="512"/>
      <c r="W214" s="196"/>
    </row>
    <row r="215" spans="1:23" s="31" customFormat="1" ht="15" customHeight="1">
      <c r="A215" s="31" t="s">
        <v>1490</v>
      </c>
      <c r="B215" s="32"/>
      <c r="C215" s="32"/>
      <c r="W215" s="196"/>
    </row>
    <row r="216" spans="1:23" s="31" customFormat="1" ht="15" customHeight="1">
      <c r="A216" s="3"/>
      <c r="B216" s="3" t="s">
        <v>1491</v>
      </c>
      <c r="C216" s="83"/>
      <c r="D216" s="3"/>
      <c r="E216" s="165" t="str">
        <f>DBCS(【マスター】!C12)</f>
        <v>令和</v>
      </c>
      <c r="F216" s="750" t="str">
        <f>DBCS(【マスター】!D12)</f>
        <v>１</v>
      </c>
      <c r="G216" s="165" t="str">
        <f>DBCS(【マスター】!E12)</f>
        <v>年</v>
      </c>
      <c r="H216" s="166" t="str">
        <f>DBCS(【マスター】!F12)</f>
        <v>６</v>
      </c>
      <c r="I216" s="165" t="str">
        <f>DBCS(【マスター】!G12)</f>
        <v>月</v>
      </c>
      <c r="J216" s="166" t="str">
        <f>DBCS(【マスター】!H12)</f>
        <v>１</v>
      </c>
      <c r="K216" s="165" t="str">
        <f>DBCS(【マスター】!I12)</f>
        <v>日</v>
      </c>
      <c r="L216" s="3" t="s">
        <v>1492</v>
      </c>
      <c r="M216" s="3"/>
      <c r="N216" s="3"/>
      <c r="O216" s="3"/>
      <c r="P216" s="3"/>
      <c r="Q216" s="3"/>
      <c r="R216" s="3"/>
      <c r="S216" s="3"/>
      <c r="T216" s="3"/>
      <c r="W216" s="196"/>
    </row>
    <row r="217" spans="1:23" s="31" customFormat="1" ht="15" customHeight="1">
      <c r="A217" s="3"/>
      <c r="B217" s="83"/>
      <c r="C217" s="83"/>
      <c r="D217" s="3"/>
      <c r="E217" s="165" t="str">
        <f>DBCS(【マスター】!D105)</f>
        <v>令和</v>
      </c>
      <c r="F217" s="166" t="str">
        <f>DBCS(IF(【マスター】!D105="","",【マスター】!E105))</f>
        <v>１</v>
      </c>
      <c r="G217" s="165" t="str">
        <f>DBCS(IF(【マスター】!$D$105="","",【マスター】!F105))</f>
        <v>年</v>
      </c>
      <c r="H217" s="166" t="str">
        <f>DBCS(IF(【マスター】!$D$105="","",【マスター】!G105))</f>
        <v>８</v>
      </c>
      <c r="I217" s="165" t="str">
        <f>DBCS(IF(【マスター】!$D$105="","",【マスター】!H105))</f>
        <v>月</v>
      </c>
      <c r="J217" s="166" t="str">
        <f>DBCS(IF(【マスター】!$D$105="","",【マスター】!I105))</f>
        <v>１</v>
      </c>
      <c r="K217" s="165" t="str">
        <f>DBCS(IF(【マスター】!D105="","",【マスター】!J105))</f>
        <v>日</v>
      </c>
      <c r="L217" s="3" t="str">
        <f>IF(【マスター】!D105=0,"","改訂")</f>
        <v>改訂</v>
      </c>
      <c r="M217" s="3"/>
      <c r="N217" s="3"/>
      <c r="O217" s="3"/>
      <c r="P217" s="3"/>
      <c r="Q217" s="3"/>
      <c r="R217" s="3"/>
      <c r="S217" s="3"/>
      <c r="T217" s="3"/>
      <c r="W217" s="196"/>
    </row>
    <row r="218" spans="1:23" s="31" customFormat="1" ht="15" customHeight="1">
      <c r="A218" s="3"/>
      <c r="B218" s="83"/>
      <c r="C218" s="83"/>
      <c r="D218" s="3"/>
      <c r="E218" s="165" t="str">
        <f>DBCS(【マスター】!D106)</f>
        <v>令和</v>
      </c>
      <c r="F218" s="166" t="str">
        <f>DBCS(IF(【マスター】!D106="","",【マスター】!E106))</f>
        <v>２</v>
      </c>
      <c r="G218" s="165" t="str">
        <f>DBCS(IF(【マスター】!$D$105="","",【マスター】!F106))</f>
        <v>年</v>
      </c>
      <c r="H218" s="166" t="str">
        <f>DBCS(IF(【マスター】!$D$105="","",【マスター】!G106))</f>
        <v>１</v>
      </c>
      <c r="I218" s="165" t="str">
        <f>DBCS(IF(【マスター】!$D$105="","",【マスター】!H106))</f>
        <v>月</v>
      </c>
      <c r="J218" s="166" t="str">
        <f>DBCS(IF(【マスター】!$D$105="","",【マスター】!I106))</f>
        <v>１</v>
      </c>
      <c r="K218" s="165" t="str">
        <f>DBCS(IF(【マスター】!D106="","",【マスター】!J106))</f>
        <v>日</v>
      </c>
      <c r="L218" s="3" t="str">
        <f>IF(【マスター】!D106=0,"","改訂")</f>
        <v>改訂</v>
      </c>
      <c r="M218" s="3"/>
      <c r="N218" s="3"/>
      <c r="O218" s="3"/>
      <c r="P218" s="3"/>
      <c r="Q218" s="3"/>
      <c r="R218" s="3"/>
      <c r="S218" s="3"/>
      <c r="T218" s="3"/>
      <c r="W218" s="196"/>
    </row>
    <row r="219" spans="1:23" s="31" customFormat="1" ht="15" customHeight="1">
      <c r="A219" s="3"/>
      <c r="B219" s="83"/>
      <c r="C219" s="83"/>
      <c r="D219" s="3"/>
      <c r="E219" s="165" t="str">
        <f>DBCS(【マスター】!D107)</f>
        <v>令和</v>
      </c>
      <c r="F219" s="166" t="str">
        <f>DBCS(IF(【マスター】!D107="","",【マスター】!E107))</f>
        <v>２</v>
      </c>
      <c r="G219" s="165" t="str">
        <f>DBCS(IF(【マスター】!$D$105="","",【マスター】!F107))</f>
        <v>年</v>
      </c>
      <c r="H219" s="166" t="str">
        <f>DBCS(IF(【マスター】!$D$105="","",【マスター】!G107))</f>
        <v>３</v>
      </c>
      <c r="I219" s="165" t="str">
        <f>DBCS(IF(【マスター】!$D$105="","",【マスター】!H107))</f>
        <v>月</v>
      </c>
      <c r="J219" s="166" t="str">
        <f>DBCS(IF(【マスター】!$D$105="","",【マスター】!I107))</f>
        <v>１</v>
      </c>
      <c r="K219" s="165" t="str">
        <f>DBCS(IF(【マスター】!D107="","",【マスター】!J107))</f>
        <v>日</v>
      </c>
      <c r="L219" s="3" t="str">
        <f>IF(【マスター】!D107=0,"","改訂")</f>
        <v>改訂</v>
      </c>
      <c r="M219" s="3"/>
      <c r="N219" s="3"/>
      <c r="O219" s="3"/>
      <c r="P219" s="3"/>
      <c r="Q219" s="3"/>
      <c r="R219" s="3"/>
      <c r="S219" s="3"/>
      <c r="T219" s="3"/>
      <c r="W219" s="196"/>
    </row>
    <row r="220" spans="1:23" s="31" customFormat="1" ht="15" customHeight="1">
      <c r="A220" s="3"/>
      <c r="B220" s="83"/>
      <c r="C220" s="83"/>
      <c r="D220" s="3"/>
      <c r="E220" s="165" t="str">
        <f>DBCS(【マスター】!D108)</f>
        <v>令和</v>
      </c>
      <c r="F220" s="166" t="str">
        <f>DBCS(IF(【マスター】!D108="","",【マスター】!E108))</f>
        <v>２</v>
      </c>
      <c r="G220" s="165" t="str">
        <f>DBCS(IF(【マスター】!$D$105="","",【マスター】!F108))</f>
        <v>年</v>
      </c>
      <c r="H220" s="166" t="str">
        <f>DBCS(IF(【マスター】!$D$105="","",【マスター】!G108))</f>
        <v>８</v>
      </c>
      <c r="I220" s="165" t="str">
        <f>DBCS(IF(【マスター】!$D$105="","",【マスター】!H108))</f>
        <v>月</v>
      </c>
      <c r="J220" s="166" t="str">
        <f>DBCS(IF(【マスター】!$D$105="","",【マスター】!I108))</f>
        <v>１</v>
      </c>
      <c r="K220" s="165" t="str">
        <f>DBCS(IF(【マスター】!D108="","",【マスター】!J108))</f>
        <v>日</v>
      </c>
      <c r="L220" s="3" t="str">
        <f>IF(【マスター】!D108=0,"","改訂")</f>
        <v>改訂</v>
      </c>
      <c r="M220" s="3"/>
      <c r="N220" s="3"/>
      <c r="O220" s="3"/>
      <c r="P220" s="3"/>
      <c r="Q220" s="3"/>
      <c r="R220" s="3"/>
      <c r="S220" s="3"/>
      <c r="T220" s="3"/>
      <c r="W220" s="196"/>
    </row>
    <row r="221" spans="1:23" s="31" customFormat="1" ht="15" customHeight="1">
      <c r="A221" s="3"/>
      <c r="B221" s="83"/>
      <c r="C221" s="83"/>
      <c r="D221" s="3"/>
      <c r="E221" s="165" t="str">
        <f>DBCS(【マスター】!D109)</f>
        <v>令和</v>
      </c>
      <c r="F221" s="166" t="str">
        <f>DBCS(IF(【マスター】!D109="","",【マスター】!E109))</f>
        <v>２</v>
      </c>
      <c r="G221" s="165" t="str">
        <f>DBCS(IF(【マスター】!$D$105="","",【マスター】!F109))</f>
        <v>年</v>
      </c>
      <c r="H221" s="166" t="str">
        <f>DBCS(IF(【マスター】!$D$105="","",【マスター】!G109))</f>
        <v>１０</v>
      </c>
      <c r="I221" s="165" t="str">
        <f>DBCS(IF(【マスター】!$D$105="","",【マスター】!H109))</f>
        <v>月</v>
      </c>
      <c r="J221" s="166" t="str">
        <f>DBCS(IF(【マスター】!$D$105="","",【マスター】!I109))</f>
        <v>１</v>
      </c>
      <c r="K221" s="165" t="str">
        <f>DBCS(IF(【マスター】!D109="","",【マスター】!J109))</f>
        <v>日</v>
      </c>
      <c r="L221" s="3" t="str">
        <f>IF(【マスター】!D109=0,"","改訂")</f>
        <v>改訂</v>
      </c>
      <c r="M221" s="3"/>
      <c r="N221" s="3"/>
      <c r="O221" s="3"/>
      <c r="P221" s="3"/>
      <c r="Q221" s="3"/>
      <c r="R221" s="3"/>
      <c r="S221" s="3"/>
      <c r="T221" s="3"/>
      <c r="W221" s="196"/>
    </row>
    <row r="222" spans="1:23" s="31" customFormat="1" ht="15" customHeight="1">
      <c r="A222" s="3"/>
      <c r="B222" s="83"/>
      <c r="C222" s="83"/>
      <c r="D222" s="3"/>
      <c r="E222" s="165" t="str">
        <f>DBCS(【マスター】!D110)</f>
        <v>令和</v>
      </c>
      <c r="F222" s="166" t="str">
        <f>DBCS(IF(【マスター】!D110="","",【マスター】!E110))</f>
        <v>４</v>
      </c>
      <c r="G222" s="165" t="str">
        <f>DBCS(IF(【マスター】!$D$105="","",【マスター】!F110))</f>
        <v>年</v>
      </c>
      <c r="H222" s="166" t="str">
        <f>DBCS(IF(【マスター】!$D$105="","",【マスター】!G110))</f>
        <v>８</v>
      </c>
      <c r="I222" s="165" t="str">
        <f>DBCS(IF(【マスター】!$D$105="","",【マスター】!H110))</f>
        <v>月</v>
      </c>
      <c r="J222" s="166" t="str">
        <f>DBCS(IF(【マスター】!$D$105="","",【マスター】!I110))</f>
        <v>１</v>
      </c>
      <c r="K222" s="165" t="str">
        <f>DBCS(IF(【マスター】!D110="","",【マスター】!J110))</f>
        <v>日</v>
      </c>
      <c r="L222" s="3" t="str">
        <f>IF(【マスター】!D110=0,"","改訂")</f>
        <v>改訂</v>
      </c>
      <c r="M222" s="3"/>
      <c r="N222" s="3"/>
      <c r="O222" s="3"/>
      <c r="P222" s="3"/>
      <c r="Q222" s="3"/>
      <c r="R222" s="3"/>
      <c r="S222" s="3"/>
      <c r="T222" s="3"/>
      <c r="W222" s="196"/>
    </row>
    <row r="223" spans="1:23" s="31" customFormat="1" ht="15" customHeight="1">
      <c r="A223" s="3"/>
      <c r="B223" s="83"/>
      <c r="C223" s="83"/>
      <c r="D223" s="3"/>
      <c r="E223" s="165" t="str">
        <f>DBCS(【マスター】!D111)</f>
        <v>令和</v>
      </c>
      <c r="F223" s="166" t="str">
        <f>DBCS(IF(【マスター】!D111="","",【マスター】!E111))</f>
        <v>４</v>
      </c>
      <c r="G223" s="165" t="str">
        <f>DBCS(IF(【マスター】!$D$105="","",【マスター】!F111))</f>
        <v>年</v>
      </c>
      <c r="H223" s="166" t="str">
        <f>DBCS(IF(【マスター】!$D$105="","",【マスター】!G111))</f>
        <v>１０</v>
      </c>
      <c r="I223" s="165" t="str">
        <f>DBCS(IF(【マスター】!$D$105="","",【マスター】!H111))</f>
        <v>月</v>
      </c>
      <c r="J223" s="166" t="str">
        <f>DBCS(IF(【マスター】!$D$105="","",【マスター】!I111))</f>
        <v>１</v>
      </c>
      <c r="K223" s="165" t="str">
        <f>DBCS(IF(【マスター】!D111="","",【マスター】!J111))</f>
        <v>日</v>
      </c>
      <c r="L223" s="3" t="str">
        <f>IF(【マスター】!D111=0,"","改訂")</f>
        <v>改訂</v>
      </c>
      <c r="M223" s="3"/>
      <c r="N223" s="3"/>
      <c r="O223" s="3"/>
      <c r="P223" s="3"/>
      <c r="Q223" s="3"/>
      <c r="R223" s="3"/>
      <c r="S223" s="3"/>
      <c r="T223" s="3"/>
      <c r="W223" s="196"/>
    </row>
    <row r="224" spans="1:23" s="31" customFormat="1" ht="15" customHeight="1">
      <c r="A224" s="3"/>
      <c r="B224" s="83"/>
      <c r="C224" s="83"/>
      <c r="D224" s="3"/>
      <c r="E224" s="165" t="str">
        <f>DBCS(【マスター】!D112)</f>
        <v>令和</v>
      </c>
      <c r="F224" s="166" t="str">
        <f>DBCS(IF(【マスター】!D112="","",【マスター】!E112))</f>
        <v>５</v>
      </c>
      <c r="G224" s="165" t="str">
        <f>DBCS(IF(【マスター】!$D$105="","",【マスター】!F112))</f>
        <v>年</v>
      </c>
      <c r="H224" s="166" t="str">
        <f>DBCS(IF(【マスター】!$D$105="","",【マスター】!G112))</f>
        <v>４</v>
      </c>
      <c r="I224" s="165" t="str">
        <f>DBCS(IF(【マスター】!$D$105="","",【マスター】!H112))</f>
        <v>月</v>
      </c>
      <c r="J224" s="166" t="str">
        <f>DBCS(IF(【マスター】!$D$105="","",【マスター】!I112))</f>
        <v>１</v>
      </c>
      <c r="K224" s="165" t="str">
        <f>DBCS(IF(【マスター】!D112="","",【マスター】!J112))</f>
        <v>日</v>
      </c>
      <c r="L224" s="3" t="str">
        <f>IF(【マスター】!D112=0,"","改訂")</f>
        <v>改訂</v>
      </c>
      <c r="M224" s="3"/>
      <c r="N224" s="3"/>
      <c r="O224" s="3"/>
      <c r="P224" s="3"/>
      <c r="Q224" s="3"/>
      <c r="R224" s="3"/>
      <c r="S224" s="3"/>
      <c r="T224" s="3"/>
      <c r="W224" s="196"/>
    </row>
    <row r="225" spans="1:23" s="31" customFormat="1" ht="15" customHeight="1">
      <c r="A225" s="3"/>
      <c r="B225" s="83"/>
      <c r="C225" s="83"/>
      <c r="D225" s="3"/>
      <c r="E225" s="165" t="str">
        <f>DBCS(【マスター】!D113)</f>
        <v>令和</v>
      </c>
      <c r="F225" s="166" t="str">
        <f>DBCS(IF(【マスター】!D113="","",【マスター】!E113))</f>
        <v>６</v>
      </c>
      <c r="G225" s="165" t="str">
        <f>DBCS(IF(【マスター】!$D$105="","",【マスター】!F113))</f>
        <v>年</v>
      </c>
      <c r="H225" s="166" t="str">
        <f>DBCS(IF(【マスター】!$D$105="","",【マスター】!G113))</f>
        <v>４</v>
      </c>
      <c r="I225" s="165" t="str">
        <f>DBCS(IF(【マスター】!$D$105="","",【マスター】!H113))</f>
        <v>月</v>
      </c>
      <c r="J225" s="166" t="str">
        <f>DBCS(IF(【マスター】!$D$105="","",【マスター】!I113))</f>
        <v>１</v>
      </c>
      <c r="K225" s="165" t="str">
        <f>DBCS(IF(【マスター】!D113="","",【マスター】!J113))</f>
        <v>日</v>
      </c>
      <c r="L225" s="3" t="str">
        <f>IF(【マスター】!D113=0,"","改訂")</f>
        <v>改訂</v>
      </c>
      <c r="M225" s="3"/>
      <c r="N225" s="3"/>
      <c r="O225" s="3"/>
      <c r="P225" s="3"/>
      <c r="Q225" s="3"/>
      <c r="R225" s="3"/>
      <c r="S225" s="3"/>
      <c r="T225" s="3"/>
      <c r="W225" s="196"/>
    </row>
    <row r="226" spans="1:23" s="31" customFormat="1" ht="15" customHeight="1">
      <c r="A226" s="3"/>
      <c r="B226" s="83"/>
      <c r="C226" s="83"/>
      <c r="D226" s="3"/>
      <c r="E226" s="165" t="str">
        <f>DBCS(【マスター】!D114)</f>
        <v>令和</v>
      </c>
      <c r="F226" s="166" t="str">
        <f>DBCS(IF(【マスター】!D114="","",【マスター】!E114))</f>
        <v>６</v>
      </c>
      <c r="G226" s="165" t="str">
        <f>DBCS(IF(【マスター】!$D$105="","",【マスター】!F114))</f>
        <v>年</v>
      </c>
      <c r="H226" s="166" t="e">
        <f>DBCS(IF(【マスター】!$D$105="","",【マスター】!#REF!))</f>
        <v>#REF!</v>
      </c>
      <c r="I226" s="165" t="str">
        <f>DBCS(IF(【マスター】!$D$105="","",【マスター】!H114))</f>
        <v>月</v>
      </c>
      <c r="J226" s="166" t="str">
        <f>DBCS(IF(【マスター】!$D$105="","",【マスター】!I114))</f>
        <v>１</v>
      </c>
      <c r="K226" s="165" t="str">
        <f>DBCS(IF(【マスター】!D114="","",【マスター】!J114))</f>
        <v>日</v>
      </c>
      <c r="L226" s="3" t="str">
        <f>IF(【マスター】!D114=0,"","改訂")</f>
        <v>改訂</v>
      </c>
      <c r="M226" s="3"/>
      <c r="N226" s="3"/>
      <c r="O226" s="3"/>
      <c r="P226" s="3"/>
      <c r="Q226" s="3"/>
      <c r="R226" s="3"/>
      <c r="S226" s="3"/>
      <c r="T226" s="3"/>
      <c r="W226" s="196"/>
    </row>
    <row r="227" spans="1:23" s="31" customFormat="1" ht="15" customHeight="1">
      <c r="A227" s="3"/>
      <c r="B227" s="83"/>
      <c r="C227" s="83"/>
      <c r="D227" s="3"/>
      <c r="E227" s="165" t="str">
        <f>DBCS(【マスター】!D115)</f>
        <v>令和</v>
      </c>
      <c r="F227" s="166" t="str">
        <f>DBCS(IF(【マスター】!D115="","",【マスター】!E115))</f>
        <v>７</v>
      </c>
      <c r="G227" s="165" t="str">
        <f>DBCS(IF(【マスター】!$D$105="","",【マスター】!F115))</f>
        <v>年</v>
      </c>
      <c r="H227" s="166" t="str">
        <f>DBCS(IF(【マスター】!$D$105="","",【マスター】!G114))</f>
        <v>６</v>
      </c>
      <c r="I227" s="165" t="str">
        <f>DBCS(IF(【マスター】!$D$105="","",【マスター】!H115))</f>
        <v>月</v>
      </c>
      <c r="J227" s="166" t="str">
        <f>DBCS(IF(【マスター】!$D$105="","",【マスター】!I115))</f>
        <v>１</v>
      </c>
      <c r="K227" s="165" t="str">
        <f>DBCS(IF(【マスター】!D115="","",【マスター】!J115))</f>
        <v>日</v>
      </c>
      <c r="L227" s="3" t="str">
        <f>IF(【マスター】!D115=0,"","改訂")</f>
        <v>改訂</v>
      </c>
      <c r="M227" s="3"/>
      <c r="N227" s="3"/>
      <c r="O227" s="3"/>
      <c r="P227" s="3"/>
      <c r="Q227" s="3"/>
      <c r="R227" s="3"/>
      <c r="S227" s="3"/>
      <c r="T227" s="3"/>
      <c r="W227" s="196"/>
    </row>
    <row r="228" spans="1:23" s="31" customFormat="1" ht="15" customHeight="1">
      <c r="A228" s="3"/>
      <c r="B228" s="83"/>
      <c r="C228" s="83"/>
      <c r="D228" s="3"/>
      <c r="E228" s="165" t="str">
        <f>DBCS(【マスター】!D116)</f>
        <v/>
      </c>
      <c r="F228" s="166" t="str">
        <f>DBCS(IF(【マスター】!D116="","",【マスター】!E116))</f>
        <v/>
      </c>
      <c r="G228" s="165" t="str">
        <f>DBCS(IF(【マスター】!$D$105="","",【マスター】!F116))</f>
        <v>年</v>
      </c>
      <c r="H228" s="166" t="str">
        <f>DBCS(IF(【マスター】!$D$105="","",【マスター】!G116))</f>
        <v/>
      </c>
      <c r="I228" s="165" t="str">
        <f>DBCS(IF(【マスター】!$D$105="","",【マスター】!H116))</f>
        <v>月</v>
      </c>
      <c r="J228" s="166" t="str">
        <f>DBCS(IF(【マスター】!$D$105="","",【マスター】!I116))</f>
        <v>１</v>
      </c>
      <c r="K228" s="165" t="str">
        <f>DBCS(IF(【マスター】!D116="","",【マスター】!J116))</f>
        <v/>
      </c>
      <c r="L228" s="3" t="str">
        <f>IF(【マスター】!D116=0,"","改訂")</f>
        <v/>
      </c>
      <c r="M228" s="3"/>
      <c r="N228" s="3"/>
      <c r="O228" s="3"/>
      <c r="P228" s="3"/>
      <c r="Q228" s="3"/>
      <c r="R228" s="3"/>
      <c r="S228" s="3"/>
      <c r="T228" s="3"/>
      <c r="W228" s="196"/>
    </row>
    <row r="229" spans="1:23" s="31" customFormat="1" ht="15" customHeight="1">
      <c r="A229" s="3"/>
      <c r="B229" s="83"/>
      <c r="C229" s="83"/>
      <c r="D229" s="3"/>
      <c r="E229" s="165" t="str">
        <f>DBCS(【マスター】!D117)</f>
        <v/>
      </c>
      <c r="F229" s="166" t="str">
        <f>DBCS(IF(【マスター】!D117="","",【マスター】!E117))</f>
        <v/>
      </c>
      <c r="G229" s="165" t="str">
        <f>DBCS(IF(【マスター】!$D$105="","",【マスター】!F117))</f>
        <v>年</v>
      </c>
      <c r="H229" s="166" t="str">
        <f>DBCS(IF(【マスター】!$D$105="","",【マスター】!G117))</f>
        <v/>
      </c>
      <c r="I229" s="165" t="str">
        <f>DBCS(IF(【マスター】!$D$105="","",【マスター】!H117))</f>
        <v>月</v>
      </c>
      <c r="J229" s="166" t="str">
        <f>DBCS(IF(【マスター】!$D$105="","",【マスター】!I117))</f>
        <v>１</v>
      </c>
      <c r="K229" s="165" t="str">
        <f>DBCS(IF(【マスター】!D117="","",【マスター】!J117))</f>
        <v/>
      </c>
      <c r="L229" s="3" t="str">
        <f>IF(【マスター】!D117=0,"","改訂")</f>
        <v/>
      </c>
      <c r="M229" s="3"/>
      <c r="N229" s="3"/>
      <c r="O229" s="3"/>
      <c r="P229" s="3"/>
      <c r="Q229" s="3"/>
      <c r="R229" s="3"/>
      <c r="S229" s="3"/>
      <c r="T229" s="3"/>
      <c r="W229" s="196"/>
    </row>
    <row r="230" spans="1:23" s="31" customFormat="1" ht="15" customHeight="1">
      <c r="A230" s="3"/>
      <c r="B230" s="83"/>
      <c r="C230" s="83"/>
      <c r="D230" s="3"/>
      <c r="E230" s="165" t="str">
        <f>DBCS(【マスター】!D118)</f>
        <v/>
      </c>
      <c r="F230" s="166" t="str">
        <f>DBCS(IF(【マスター】!D118="","",【マスター】!E118))</f>
        <v/>
      </c>
      <c r="G230" s="165" t="str">
        <f>DBCS(IF(【マスター】!$D$105="","",【マスター】!F118))</f>
        <v>年</v>
      </c>
      <c r="H230" s="166" t="str">
        <f>DBCS(IF(【マスター】!$D$105="","",【マスター】!G118))</f>
        <v/>
      </c>
      <c r="I230" s="165" t="str">
        <f>DBCS(IF(【マスター】!$D$105="","",【マスター】!H118))</f>
        <v>月</v>
      </c>
      <c r="J230" s="166" t="str">
        <f>DBCS(IF(【マスター】!$D$105="","",【マスター】!I118))</f>
        <v>１</v>
      </c>
      <c r="K230" s="165" t="str">
        <f>DBCS(IF(【マスター】!D118="","",【マスター】!J118))</f>
        <v/>
      </c>
      <c r="L230" s="3" t="str">
        <f>IF(【マスター】!D118=0,"","改訂")</f>
        <v/>
      </c>
      <c r="M230" s="3"/>
      <c r="N230" s="3"/>
      <c r="O230" s="3"/>
      <c r="P230" s="3"/>
      <c r="Q230" s="3"/>
      <c r="R230" s="3"/>
      <c r="S230" s="3"/>
      <c r="T230" s="3"/>
      <c r="W230" s="196"/>
    </row>
    <row r="231" spans="1:23" s="31" customFormat="1" ht="15" customHeight="1">
      <c r="A231" s="3"/>
      <c r="B231" s="83"/>
      <c r="C231" s="83"/>
      <c r="D231" s="3"/>
      <c r="E231" s="165" t="str">
        <f>DBCS(【マスター】!D119)</f>
        <v/>
      </c>
      <c r="F231" s="166" t="str">
        <f>DBCS(IF(【マスター】!D119="","",【マスター】!E119))</f>
        <v/>
      </c>
      <c r="G231" s="165" t="str">
        <f>DBCS(IF(【マスター】!$D$105="","",【マスター】!F119))</f>
        <v>年</v>
      </c>
      <c r="H231" s="166" t="str">
        <f>DBCS(IF(【マスター】!$D$105="","",【マスター】!G119))</f>
        <v/>
      </c>
      <c r="I231" s="165" t="str">
        <f>DBCS(IF(【マスター】!$D$105="","",【マスター】!H119))</f>
        <v>月</v>
      </c>
      <c r="J231" s="166" t="str">
        <f>DBCS(IF(【マスター】!$D$105="","",【マスター】!I119))</f>
        <v>１</v>
      </c>
      <c r="K231" s="165" t="str">
        <f>DBCS(IF(【マスター】!D119="","",【マスター】!J119))</f>
        <v/>
      </c>
      <c r="L231" s="3" t="str">
        <f>IF(【マスター】!D119=0,"","改訂")</f>
        <v/>
      </c>
      <c r="M231" s="3"/>
      <c r="N231" s="3"/>
      <c r="O231" s="3"/>
      <c r="P231" s="3"/>
      <c r="Q231" s="3"/>
      <c r="R231" s="3"/>
      <c r="S231" s="3"/>
      <c r="T231" s="3"/>
      <c r="W231" s="196"/>
    </row>
    <row r="232" spans="1:23" s="31" customFormat="1" ht="15" customHeight="1">
      <c r="A232" s="3"/>
      <c r="B232" s="83"/>
      <c r="C232" s="83"/>
      <c r="D232" s="3"/>
      <c r="E232" s="165" t="str">
        <f>DBCS(【マスター】!D120)</f>
        <v/>
      </c>
      <c r="F232" s="166" t="str">
        <f>DBCS(IF(【マスター】!D120="","",【マスター】!E120))</f>
        <v/>
      </c>
      <c r="G232" s="165" t="str">
        <f>DBCS(IF(【マスター】!$D$105="","",【マスター】!F120))</f>
        <v>年</v>
      </c>
      <c r="H232" s="166" t="str">
        <f>DBCS(IF(【マスター】!$D$105="","",【マスター】!G120))</f>
        <v/>
      </c>
      <c r="I232" s="165" t="str">
        <f>DBCS(IF(【マスター】!$D$105="","",【マスター】!H120))</f>
        <v>月</v>
      </c>
      <c r="J232" s="166" t="str">
        <f>DBCS(IF(【マスター】!$D$105="","",【マスター】!I120))</f>
        <v>１</v>
      </c>
      <c r="K232" s="165" t="str">
        <f>DBCS(IF(【マスター】!D120="","",【マスター】!J120))</f>
        <v/>
      </c>
      <c r="L232" s="3" t="str">
        <f>IF(【マスター】!D120=0,"","改訂")</f>
        <v/>
      </c>
      <c r="M232" s="3"/>
      <c r="N232" s="3"/>
      <c r="O232" s="3"/>
      <c r="P232" s="3"/>
      <c r="Q232" s="3"/>
      <c r="R232" s="3"/>
      <c r="S232" s="3"/>
      <c r="T232" s="3"/>
      <c r="W232" s="196"/>
    </row>
    <row r="233" spans="1:23" s="31" customFormat="1" ht="15" customHeight="1">
      <c r="A233" s="3"/>
      <c r="B233" s="83"/>
      <c r="C233" s="83"/>
      <c r="D233" s="3"/>
      <c r="E233" s="165" t="str">
        <f>DBCS(【マスター】!D121)</f>
        <v/>
      </c>
      <c r="F233" s="166" t="str">
        <f>DBCS(IF(【マスター】!D121="","",【マスター】!E121))</f>
        <v/>
      </c>
      <c r="G233" s="165" t="str">
        <f>DBCS(IF(【マスター】!$D$105="","",【マスター】!F121))</f>
        <v>年</v>
      </c>
      <c r="H233" s="166" t="str">
        <f>DBCS(IF(【マスター】!$D$105="","",【マスター】!G121))</f>
        <v/>
      </c>
      <c r="I233" s="165" t="str">
        <f>DBCS(IF(【マスター】!$D$105="","",【マスター】!H121))</f>
        <v>月</v>
      </c>
      <c r="J233" s="166" t="str">
        <f>DBCS(IF(【マスター】!$D$105="","",【マスター】!I121))</f>
        <v>１</v>
      </c>
      <c r="K233" s="165" t="str">
        <f>DBCS(IF(【マスター】!D121="","",【マスター】!J121))</f>
        <v/>
      </c>
      <c r="L233" s="3" t="str">
        <f>IF(【マスター】!D121=0,"","改訂")</f>
        <v/>
      </c>
      <c r="M233" s="3"/>
      <c r="N233" s="3"/>
      <c r="O233" s="3"/>
      <c r="P233" s="3"/>
      <c r="Q233" s="3"/>
      <c r="R233" s="3"/>
      <c r="S233" s="3"/>
      <c r="T233" s="3"/>
      <c r="W233" s="196"/>
    </row>
    <row r="234" spans="1:23" s="31" customFormat="1" ht="15" customHeight="1">
      <c r="A234" s="3"/>
      <c r="B234" s="83"/>
      <c r="C234" s="83"/>
      <c r="D234" s="3"/>
      <c r="E234" s="165" t="str">
        <f>DBCS(【マスター】!D122)</f>
        <v/>
      </c>
      <c r="F234" s="166" t="str">
        <f>DBCS(IF(【マスター】!D122="","",【マスター】!E122))</f>
        <v/>
      </c>
      <c r="G234" s="165" t="str">
        <f>DBCS(IF(【マスター】!$D$105="","",【マスター】!F122))</f>
        <v>年</v>
      </c>
      <c r="H234" s="166" t="str">
        <f>DBCS(IF(【マスター】!$D$105="","",【マスター】!G122))</f>
        <v/>
      </c>
      <c r="I234" s="165" t="str">
        <f>DBCS(IF(【マスター】!$D$105="","",【マスター】!H122))</f>
        <v>月</v>
      </c>
      <c r="J234" s="166" t="str">
        <f>DBCS(IF(【マスター】!$D$105="","",【マスター】!I122))</f>
        <v/>
      </c>
      <c r="K234" s="165" t="str">
        <f>DBCS(IF(【マスター】!D122="","",【マスター】!J122))</f>
        <v/>
      </c>
      <c r="L234" s="3" t="str">
        <f>IF(【マスター】!D122=0,"","改訂")</f>
        <v/>
      </c>
      <c r="M234" s="3"/>
      <c r="N234" s="3"/>
      <c r="O234" s="3"/>
      <c r="P234" s="3"/>
      <c r="Q234" s="3"/>
      <c r="R234" s="3"/>
      <c r="S234" s="3"/>
      <c r="T234" s="3"/>
      <c r="W234" s="196"/>
    </row>
    <row r="235" spans="1:23">
      <c r="E235" s="165" t="str">
        <f>DBCS(【マスター】!D123)</f>
        <v/>
      </c>
      <c r="F235" s="166" t="str">
        <f>DBCS(IF(【マスター】!D123="","",【マスター】!E123))</f>
        <v/>
      </c>
      <c r="G235" s="165" t="str">
        <f>DBCS(IF(【マスター】!$D$105="","",【マスター】!F123))</f>
        <v>年</v>
      </c>
      <c r="H235" s="166" t="str">
        <f>DBCS(IF(【マスター】!$D$105="","",【マスター】!G123))</f>
        <v/>
      </c>
      <c r="I235" s="165" t="str">
        <f>DBCS(IF(【マスター】!$D$105="","",【マスター】!H123))</f>
        <v>月</v>
      </c>
      <c r="J235" s="166" t="str">
        <f>DBCS(IF(【マスター】!$D$105="","",【マスター】!I123))</f>
        <v/>
      </c>
      <c r="K235" s="165" t="str">
        <f>DBCS(IF(【マスター】!D123="","",【マスター】!J123))</f>
        <v/>
      </c>
      <c r="L235" s="3" t="str">
        <f>IF(【マスター】!D123=0,"","改訂")</f>
        <v/>
      </c>
      <c r="M235" s="3"/>
    </row>
    <row r="236" spans="1:23">
      <c r="E236" s="165" t="str">
        <f>DBCS(【マスター】!D124)</f>
        <v/>
      </c>
      <c r="F236" s="166" t="str">
        <f>DBCS(IF(【マスター】!D124="","",【マスター】!E124))</f>
        <v/>
      </c>
      <c r="G236" s="165" t="str">
        <f>DBCS(IF(【マスター】!$D$105="","",【マスター】!F124))</f>
        <v>年</v>
      </c>
      <c r="H236" s="166" t="str">
        <f>DBCS(IF(【マスター】!$D$105="","",【マスター】!G124))</f>
        <v/>
      </c>
      <c r="I236" s="165" t="str">
        <f>DBCS(IF(【マスター】!$D$105="","",【マスター】!H124))</f>
        <v>月</v>
      </c>
      <c r="J236" s="166" t="str">
        <f>DBCS(IF(【マスター】!$D$105="","",【マスター】!I124))</f>
        <v/>
      </c>
      <c r="K236" s="165" t="str">
        <f>DBCS(IF(【マスター】!D124="","",【マスター】!J124))</f>
        <v/>
      </c>
      <c r="L236" s="3" t="str">
        <f>IF(【マスター】!D124=0,"","改訂")</f>
        <v/>
      </c>
      <c r="M236" s="3"/>
    </row>
    <row r="237" spans="1:23">
      <c r="E237" s="165" t="str">
        <f>DBCS(【マスター】!D125)</f>
        <v/>
      </c>
      <c r="F237" s="166" t="str">
        <f>DBCS(IF(【マスター】!D125="","",【マスター】!E125))</f>
        <v/>
      </c>
      <c r="G237" s="165" t="str">
        <f>DBCS(IF(【マスター】!$D$105="","",【マスター】!F125))</f>
        <v>年</v>
      </c>
      <c r="H237" s="166" t="str">
        <f>DBCS(IF(【マスター】!$D$105="","",【マスター】!G125))</f>
        <v/>
      </c>
      <c r="I237" s="165" t="str">
        <f>DBCS(IF(【マスター】!$D$105="","",【マスター】!H125))</f>
        <v>月</v>
      </c>
      <c r="J237" s="166" t="str">
        <f>DBCS(IF(【マスター】!$D$105="","",【マスター】!I125))</f>
        <v/>
      </c>
      <c r="K237" s="165" t="str">
        <f>DBCS(IF(【マスター】!D125="","",【マスター】!J125))</f>
        <v/>
      </c>
      <c r="L237" s="3" t="str">
        <f>IF(【マスター】!D125=0,"","改訂")</f>
        <v/>
      </c>
      <c r="M237" s="3"/>
    </row>
    <row r="238" spans="1:23">
      <c r="E238" s="165" t="str">
        <f>DBCS(【マスター】!D126)</f>
        <v/>
      </c>
      <c r="F238" s="166" t="str">
        <f>DBCS(IF(【マスター】!D126="","",【マスター】!E126))</f>
        <v/>
      </c>
      <c r="G238" s="165" t="str">
        <f>DBCS(IF(【マスター】!$D$105="","",【マスター】!F126))</f>
        <v>年</v>
      </c>
      <c r="H238" s="166" t="str">
        <f>DBCS(IF(【マスター】!$D$105="","",【マスター】!G126))</f>
        <v/>
      </c>
      <c r="I238" s="165" t="str">
        <f>DBCS(IF(【マスター】!$D$105="","",【マスター】!H126))</f>
        <v>月</v>
      </c>
      <c r="J238" s="166" t="str">
        <f>DBCS(IF(【マスター】!$D$105="","",【マスター】!I126))</f>
        <v/>
      </c>
      <c r="K238" s="165" t="str">
        <f>DBCS(IF(【マスター】!D126="","",【マスター】!J126))</f>
        <v/>
      </c>
      <c r="L238" s="3" t="str">
        <f>IF(【マスター】!D126=0,"","改訂")</f>
        <v/>
      </c>
      <c r="M238" s="3"/>
    </row>
    <row r="239" spans="1:23">
      <c r="E239" s="165" t="str">
        <f>DBCS(【マスター】!D127)</f>
        <v/>
      </c>
      <c r="F239" s="166" t="str">
        <f>DBCS(IF(【マスター】!D127="","",【マスター】!E127))</f>
        <v/>
      </c>
      <c r="G239" s="165" t="str">
        <f>DBCS(IF(【マスター】!$D$105="","",【マスター】!F127))</f>
        <v>年</v>
      </c>
      <c r="H239" s="166" t="str">
        <f>DBCS(IF(【マスター】!$D$105="","",【マスター】!G127))</f>
        <v/>
      </c>
      <c r="I239" s="165" t="str">
        <f>DBCS(IF(【マスター】!$D$105="","",【マスター】!H127))</f>
        <v>月</v>
      </c>
      <c r="J239" s="166" t="str">
        <f>DBCS(IF(【マスター】!$D$105="","",【マスター】!I127))</f>
        <v/>
      </c>
      <c r="K239" s="165" t="str">
        <f>DBCS(IF(【マスター】!D127="","",【マスター】!J127))</f>
        <v/>
      </c>
      <c r="L239" s="3" t="str">
        <f>IF(【マスター】!D127=0,"","改訂")</f>
        <v/>
      </c>
      <c r="M239" s="3"/>
    </row>
    <row r="240" spans="1:23">
      <c r="E240" s="165" t="str">
        <f>DBCS(【マスター】!D128)</f>
        <v/>
      </c>
      <c r="F240" s="166" t="str">
        <f>DBCS(IF(【マスター】!D128="","",【マスター】!E128))</f>
        <v/>
      </c>
      <c r="G240" s="165" t="str">
        <f>DBCS(IF(【マスター】!$D$105="","",【マスター】!F128))</f>
        <v>年</v>
      </c>
      <c r="H240" s="166" t="str">
        <f>DBCS(IF(【マスター】!$D$105="","",【マスター】!G128))</f>
        <v/>
      </c>
      <c r="I240" s="165" t="str">
        <f>DBCS(IF(【マスター】!$D$105="","",【マスター】!H128))</f>
        <v>月</v>
      </c>
      <c r="J240" s="166" t="str">
        <f>DBCS(IF(【マスター】!$D$105="","",【マスター】!I128))</f>
        <v/>
      </c>
      <c r="K240" s="165" t="str">
        <f>DBCS(IF(【マスター】!D128="","",【マスター】!J128))</f>
        <v/>
      </c>
      <c r="L240" s="3" t="str">
        <f>IF(【マスター】!D128=0,"","改訂")</f>
        <v/>
      </c>
      <c r="M240" s="3"/>
    </row>
    <row r="241" spans="5:13">
      <c r="E241" s="165" t="str">
        <f>DBCS(【マスター】!D129)</f>
        <v/>
      </c>
      <c r="F241" s="166" t="str">
        <f>DBCS(IF(【マスター】!D129="","",【マスター】!E129))</f>
        <v/>
      </c>
      <c r="G241" s="165" t="str">
        <f>DBCS(IF(【マスター】!$D$105="","",【マスター】!F129))</f>
        <v>年</v>
      </c>
      <c r="H241" s="166" t="str">
        <f>DBCS(IF(【マスター】!$D$105="","",【マスター】!G129))</f>
        <v/>
      </c>
      <c r="I241" s="165" t="str">
        <f>DBCS(IF(【マスター】!$D$105="","",【マスター】!H129))</f>
        <v>月</v>
      </c>
      <c r="J241" s="166" t="str">
        <f>DBCS(IF(【マスター】!$D$105="","",【マスター】!I129))</f>
        <v/>
      </c>
      <c r="K241" s="165" t="str">
        <f>DBCS(IF(【マスター】!D129="","",【マスター】!J129))</f>
        <v/>
      </c>
      <c r="L241" s="3" t="str">
        <f>IF(【マスター】!D129=0,"","改訂")</f>
        <v/>
      </c>
      <c r="M241" s="3"/>
    </row>
    <row r="242" spans="5:13">
      <c r="E242" s="165" t="str">
        <f>DBCS(【マスター】!D130)</f>
        <v/>
      </c>
      <c r="F242" s="166" t="str">
        <f>DBCS(IF(【マスター】!D130="","",【マスター】!E130))</f>
        <v/>
      </c>
      <c r="G242" s="165" t="str">
        <f>DBCS(IF(【マスター】!$D$105="","",【マスター】!F130))</f>
        <v>年</v>
      </c>
      <c r="H242" s="166" t="str">
        <f>DBCS(IF(【マスター】!$D$105="","",【マスター】!G130))</f>
        <v/>
      </c>
      <c r="I242" s="165" t="str">
        <f>DBCS(IF(【マスター】!$D$105="","",【マスター】!H130))</f>
        <v>月</v>
      </c>
      <c r="J242" s="166" t="str">
        <f>DBCS(IF(【マスター】!$D$105="","",【マスター】!I130))</f>
        <v/>
      </c>
      <c r="K242" s="165" t="str">
        <f>DBCS(IF(【マスター】!D130="","",【マスター】!J130))</f>
        <v/>
      </c>
      <c r="L242" s="3" t="str">
        <f>IF(【マスター】!D130=0,"","改訂")</f>
        <v/>
      </c>
      <c r="M242" s="3"/>
    </row>
    <row r="243" spans="5:13">
      <c r="E243" s="165" t="str">
        <f>DBCS(【マスター】!D131)</f>
        <v/>
      </c>
      <c r="F243" s="166" t="str">
        <f>DBCS(IF(【マスター】!D131="","",【マスター】!E131))</f>
        <v/>
      </c>
      <c r="G243" s="165" t="str">
        <f>DBCS(IF(【マスター】!$D$105="","",【マスター】!F131))</f>
        <v>年</v>
      </c>
      <c r="H243" s="166" t="str">
        <f>DBCS(IF(【マスター】!$D$105="","",【マスター】!G131))</f>
        <v/>
      </c>
      <c r="I243" s="165" t="str">
        <f>DBCS(IF(【マスター】!$D$105="","",【マスター】!H131))</f>
        <v>月</v>
      </c>
      <c r="J243" s="166" t="str">
        <f>DBCS(IF(【マスター】!$D$105="","",【マスター】!I131))</f>
        <v/>
      </c>
      <c r="K243" s="165" t="str">
        <f>DBCS(IF(【マスター】!D131="","",【マスター】!J131))</f>
        <v/>
      </c>
      <c r="L243" s="3" t="str">
        <f>IF(【マスター】!D131=0,"","改訂")</f>
        <v/>
      </c>
      <c r="M243" s="3"/>
    </row>
    <row r="244" spans="5:13">
      <c r="E244" s="165" t="str">
        <f>DBCS(【マスター】!D132)</f>
        <v/>
      </c>
      <c r="F244" s="166" t="str">
        <f>DBCS(IF(【マスター】!D132="","",【マスター】!E132))</f>
        <v/>
      </c>
      <c r="G244" s="165" t="str">
        <f>DBCS(IF(【マスター】!$D$105="","",【マスター】!F132))</f>
        <v>年</v>
      </c>
      <c r="H244" s="166" t="str">
        <f>DBCS(IF(【マスター】!$D$105="","",【マスター】!G132))</f>
        <v/>
      </c>
      <c r="I244" s="165" t="str">
        <f>DBCS(IF(【マスター】!$D$105="","",【マスター】!H132))</f>
        <v>月</v>
      </c>
      <c r="J244" s="166" t="str">
        <f>DBCS(IF(【マスター】!$D$105="","",【マスター】!I132))</f>
        <v/>
      </c>
      <c r="K244" s="165" t="str">
        <f>DBCS(IF(【マスター】!D132="","",【マスター】!J132))</f>
        <v/>
      </c>
      <c r="L244" s="3" t="str">
        <f>IF(【マスター】!D132=0,"","改訂")</f>
        <v/>
      </c>
      <c r="M244" s="3"/>
    </row>
    <row r="245" spans="5:13">
      <c r="E245" s="165" t="str">
        <f>DBCS(【マスター】!D133)</f>
        <v/>
      </c>
      <c r="F245" s="166" t="str">
        <f>DBCS(IF(【マスター】!D133="","",【マスター】!E133))</f>
        <v/>
      </c>
      <c r="G245" s="165" t="str">
        <f>DBCS(IF(【マスター】!$D$105="","",【マスター】!F133))</f>
        <v>年</v>
      </c>
      <c r="H245" s="166" t="str">
        <f>DBCS(IF(【マスター】!$D$105="","",【マスター】!G133))</f>
        <v/>
      </c>
      <c r="I245" s="165" t="str">
        <f>DBCS(IF(【マスター】!$D$105="","",【マスター】!H133))</f>
        <v>月</v>
      </c>
      <c r="J245" s="166" t="str">
        <f>DBCS(IF(【マスター】!$D$105="","",【マスター】!I133))</f>
        <v/>
      </c>
      <c r="K245" s="165" t="str">
        <f>DBCS(IF(【マスター】!D133="","",【マスター】!J133))</f>
        <v/>
      </c>
      <c r="L245" s="3" t="str">
        <f>IF(【マスター】!D133=0,"","改訂")</f>
        <v/>
      </c>
      <c r="M245" s="3"/>
    </row>
    <row r="246" spans="5:13">
      <c r="E246" s="165" t="str">
        <f>DBCS(【マスター】!D134)</f>
        <v/>
      </c>
      <c r="F246" s="166" t="str">
        <f>DBCS(IF(【マスター】!D134="","",【マスター】!E134))</f>
        <v/>
      </c>
      <c r="G246" s="165" t="str">
        <f>DBCS(IF(【マスター】!$D$105="","",【マスター】!F134))</f>
        <v>年</v>
      </c>
      <c r="H246" s="166" t="str">
        <f>DBCS(IF(【マスター】!$D$105="","",【マスター】!G134))</f>
        <v/>
      </c>
      <c r="I246" s="165" t="str">
        <f>DBCS(IF(【マスター】!$D$105="","",【マスター】!H134))</f>
        <v>月</v>
      </c>
      <c r="J246" s="166" t="str">
        <f>DBCS(IF(【マスター】!$D$105="","",【マスター】!I134))</f>
        <v/>
      </c>
      <c r="K246" s="165" t="str">
        <f>DBCS(IF(【マスター】!D134="","",【マスター】!J134))</f>
        <v/>
      </c>
      <c r="L246" s="3" t="str">
        <f>IF(【マスター】!D134=0,"","改訂")</f>
        <v/>
      </c>
      <c r="M246" s="3"/>
    </row>
    <row r="247" spans="5:13">
      <c r="E247" s="165" t="str">
        <f>DBCS(【マスター】!D135)</f>
        <v/>
      </c>
      <c r="F247" s="166" t="str">
        <f>DBCS(IF(【マスター】!D135="","",【マスター】!E135))</f>
        <v/>
      </c>
      <c r="G247" s="165" t="str">
        <f>DBCS(IF(【マスター】!$D$105="","",【マスター】!F135))</f>
        <v>年</v>
      </c>
      <c r="H247" s="166" t="str">
        <f>DBCS(IF(【マスター】!$D$105="","",【マスター】!G135))</f>
        <v/>
      </c>
      <c r="I247" s="165" t="str">
        <f>DBCS(IF(【マスター】!$D$105="","",【マスター】!H135))</f>
        <v>月</v>
      </c>
      <c r="J247" s="166" t="str">
        <f>DBCS(IF(【マスター】!$D$105="","",【マスター】!I135))</f>
        <v/>
      </c>
      <c r="K247" s="165" t="str">
        <f>DBCS(IF(【マスター】!D135="","",【マスター】!J135))</f>
        <v/>
      </c>
      <c r="L247" s="3" t="str">
        <f>IF(【マスター】!D135=0,"","改訂")</f>
        <v/>
      </c>
      <c r="M247" s="3"/>
    </row>
    <row r="248" spans="5:13">
      <c r="E248" s="165" t="str">
        <f>DBCS(【マスター】!D136)</f>
        <v/>
      </c>
      <c r="F248" s="166" t="str">
        <f>DBCS(IF(【マスター】!D136="","",【マスター】!E136))</f>
        <v/>
      </c>
      <c r="G248" s="165" t="str">
        <f>DBCS(IF(【マスター】!$D$105="","",【マスター】!F136))</f>
        <v>年</v>
      </c>
      <c r="H248" s="166" t="str">
        <f>DBCS(IF(【マスター】!$D$105="","",【マスター】!G136))</f>
        <v/>
      </c>
      <c r="I248" s="165" t="str">
        <f>DBCS(IF(【マスター】!$D$105="","",【マスター】!H136))</f>
        <v>月</v>
      </c>
      <c r="J248" s="166" t="str">
        <f>DBCS(IF(【マスター】!$D$105="","",【マスター】!I136))</f>
        <v/>
      </c>
      <c r="K248" s="165" t="str">
        <f>DBCS(IF(【マスター】!D136="","",【マスター】!J136))</f>
        <v/>
      </c>
      <c r="L248" s="3" t="str">
        <f>IF(【マスター】!D136=0,"","改訂")</f>
        <v/>
      </c>
      <c r="M248" s="3"/>
    </row>
    <row r="249" spans="5:13">
      <c r="E249" s="165" t="str">
        <f>DBCS(【マスター】!D137)</f>
        <v/>
      </c>
      <c r="F249" s="166" t="str">
        <f>DBCS(IF(【マスター】!D137="","",【マスター】!E137))</f>
        <v/>
      </c>
      <c r="G249" s="165" t="str">
        <f>DBCS(IF(【マスター】!$D$105="","",【マスター】!F137))</f>
        <v>年</v>
      </c>
      <c r="H249" s="166" t="str">
        <f>DBCS(IF(【マスター】!$D$105="","",【マスター】!G137))</f>
        <v/>
      </c>
      <c r="I249" s="165" t="str">
        <f>DBCS(IF(【マスター】!$D$105="","",【マスター】!H137))</f>
        <v>月</v>
      </c>
      <c r="J249" s="166" t="str">
        <f>DBCS(IF(【マスター】!$D$105="","",【マスター】!I137))</f>
        <v/>
      </c>
      <c r="K249" s="165" t="str">
        <f>DBCS(IF(【マスター】!D137="","",【マスター】!J137))</f>
        <v/>
      </c>
      <c r="L249" s="3" t="str">
        <f>IF(【マスター】!D137=0,"","改訂")</f>
        <v/>
      </c>
      <c r="M249" s="3"/>
    </row>
    <row r="250" spans="5:13">
      <c r="E250" s="165" t="str">
        <f>DBCS(【マスター】!D138)</f>
        <v/>
      </c>
      <c r="F250" s="166" t="str">
        <f>DBCS(IF(【マスター】!D138="","",【マスター】!E138))</f>
        <v/>
      </c>
      <c r="G250" s="165" t="str">
        <f>DBCS(IF(【マスター】!$D$105="","",【マスター】!F138))</f>
        <v>年</v>
      </c>
      <c r="H250" s="166" t="str">
        <f>DBCS(IF(【マスター】!$D$105="","",【マスター】!G138))</f>
        <v/>
      </c>
      <c r="I250" s="165" t="str">
        <f>DBCS(IF(【マスター】!$D$105="","",【マスター】!H138))</f>
        <v>月</v>
      </c>
      <c r="J250" s="166" t="str">
        <f>DBCS(IF(【マスター】!$D$105="","",【マスター】!I138))</f>
        <v/>
      </c>
      <c r="K250" s="165" t="str">
        <f>DBCS(IF(【マスター】!D138="","",【マスター】!J138))</f>
        <v/>
      </c>
      <c r="L250" s="3" t="str">
        <f>IF(【マスター】!D138=0,"","改訂")</f>
        <v/>
      </c>
      <c r="M250" s="3"/>
    </row>
    <row r="251" spans="5:13">
      <c r="E251" s="165" t="str">
        <f>DBCS(【マスター】!D139)</f>
        <v/>
      </c>
      <c r="F251" s="166" t="str">
        <f>DBCS(IF(【マスター】!D139="","",【マスター】!E139))</f>
        <v/>
      </c>
      <c r="G251" s="165" t="str">
        <f>DBCS(IF(【マスター】!$D$105="","",【マスター】!F139))</f>
        <v>年</v>
      </c>
      <c r="H251" s="166" t="str">
        <f>DBCS(IF(【マスター】!$D$105="","",【マスター】!G139))</f>
        <v/>
      </c>
      <c r="I251" s="165" t="str">
        <f>DBCS(IF(【マスター】!$D$105="","",【マスター】!H139))</f>
        <v>月</v>
      </c>
      <c r="J251" s="166" t="str">
        <f>DBCS(IF(【マスター】!$D$105="","",【マスター】!I139))</f>
        <v/>
      </c>
      <c r="K251" s="165" t="str">
        <f>DBCS(IF(【マスター】!D139="","",【マスター】!J139))</f>
        <v/>
      </c>
      <c r="L251" s="3" t="str">
        <f>IF(【マスター】!D139=0,"","改訂")</f>
        <v/>
      </c>
      <c r="M251" s="3"/>
    </row>
    <row r="252" spans="5:13">
      <c r="E252" s="165" t="str">
        <f>DBCS(【マスター】!D140)</f>
        <v/>
      </c>
      <c r="F252" s="166" t="str">
        <f>DBCS(IF(【マスター】!D140="","",【マスター】!E140))</f>
        <v/>
      </c>
      <c r="G252" s="165" t="str">
        <f>DBCS(IF(【マスター】!$D$105="","",【マスター】!F140))</f>
        <v>年</v>
      </c>
      <c r="H252" s="166" t="str">
        <f>DBCS(IF(【マスター】!$D$105="","",【マスター】!G140))</f>
        <v/>
      </c>
      <c r="I252" s="165" t="str">
        <f>DBCS(IF(【マスター】!$D$105="","",【マスター】!H140))</f>
        <v>月</v>
      </c>
      <c r="J252" s="166" t="str">
        <f>DBCS(IF(【マスター】!$D$105="","",【マスター】!I140))</f>
        <v/>
      </c>
      <c r="K252" s="165" t="str">
        <f>DBCS(IF(【マスター】!D140="","",【マスター】!J140))</f>
        <v/>
      </c>
      <c r="L252" s="3" t="str">
        <f>IF(【マスター】!D140=0,"","改訂")</f>
        <v/>
      </c>
      <c r="M252" s="3"/>
    </row>
    <row r="253" spans="5:13">
      <c r="E253" s="165" t="str">
        <f>DBCS(【マスター】!D141)</f>
        <v/>
      </c>
      <c r="F253" s="166" t="str">
        <f>DBCS(IF(【マスター】!D141="","",【マスター】!E141))</f>
        <v/>
      </c>
      <c r="G253" s="165" t="str">
        <f>DBCS(IF(【マスター】!$D$105="","",【マスター】!F141))</f>
        <v>年</v>
      </c>
      <c r="H253" s="166" t="str">
        <f>DBCS(IF(【マスター】!$D$105="","",【マスター】!G141))</f>
        <v/>
      </c>
      <c r="I253" s="165" t="str">
        <f>DBCS(IF(【マスター】!$D$105="","",【マスター】!H141))</f>
        <v>月</v>
      </c>
      <c r="J253" s="166" t="str">
        <f>DBCS(IF(【マスター】!$D$105="","",【マスター】!I141))</f>
        <v/>
      </c>
      <c r="K253" s="165" t="str">
        <f>DBCS(IF(【マスター】!D141="","",【マスター】!J141))</f>
        <v/>
      </c>
      <c r="L253" s="3" t="str">
        <f>IF(【マスター】!D141=0,"","改訂")</f>
        <v/>
      </c>
      <c r="M253" s="3"/>
    </row>
    <row r="254" spans="5:13">
      <c r="E254" s="165" t="str">
        <f>DBCS(【マスター】!D142)</f>
        <v/>
      </c>
      <c r="F254" s="166" t="str">
        <f>DBCS(IF(【マスター】!D142="","",【マスター】!E142))</f>
        <v/>
      </c>
      <c r="G254" s="165" t="str">
        <f>DBCS(IF(【マスター】!$D$105="","",【マスター】!F142))</f>
        <v>年</v>
      </c>
      <c r="H254" s="166" t="str">
        <f>DBCS(IF(【マスター】!$D$105="","",【マスター】!G142))</f>
        <v/>
      </c>
      <c r="I254" s="165" t="str">
        <f>DBCS(IF(【マスター】!$D$105="","",【マスター】!H142))</f>
        <v>月</v>
      </c>
      <c r="J254" s="166" t="str">
        <f>DBCS(IF(【マスター】!$D$105="","",【マスター】!I142))</f>
        <v/>
      </c>
      <c r="K254" s="165" t="str">
        <f>DBCS(IF(【マスター】!D142="","",【マスター】!J142))</f>
        <v/>
      </c>
      <c r="L254" s="3" t="str">
        <f>IF(【マスター】!D142=0,"","改訂")</f>
        <v/>
      </c>
      <c r="M254" s="3"/>
    </row>
    <row r="255" spans="5:13">
      <c r="E255" s="165" t="str">
        <f>DBCS(【マスター】!D143)</f>
        <v/>
      </c>
      <c r="F255" s="166" t="str">
        <f>DBCS(IF(【マスター】!D143="","",【マスター】!E143))</f>
        <v/>
      </c>
      <c r="G255" s="165" t="str">
        <f>DBCS(IF(【マスター】!$D$105="","",【マスター】!F143))</f>
        <v>年</v>
      </c>
      <c r="H255" s="166" t="str">
        <f>DBCS(IF(【マスター】!$D$105="","",【マスター】!G143))</f>
        <v/>
      </c>
      <c r="I255" s="165" t="str">
        <f>DBCS(IF(【マスター】!$D$105="","",【マスター】!H143))</f>
        <v>月</v>
      </c>
      <c r="J255" s="166" t="str">
        <f>DBCS(IF(【マスター】!$D$105="","",【マスター】!I143))</f>
        <v/>
      </c>
      <c r="K255" s="165" t="str">
        <f>DBCS(IF(【マスター】!D143="","",【マスター】!J143))</f>
        <v/>
      </c>
      <c r="L255" s="3" t="str">
        <f>IF(【マスター】!D143=0,"","改訂")</f>
        <v/>
      </c>
      <c r="M255" s="3"/>
    </row>
    <row r="256" spans="5:13">
      <c r="E256" s="165" t="str">
        <f>DBCS(【マスター】!D144)</f>
        <v/>
      </c>
      <c r="F256" s="166" t="str">
        <f>DBCS(IF(【マスター】!D144="","",【マスター】!E144))</f>
        <v/>
      </c>
      <c r="G256" s="165" t="str">
        <f>DBCS(IF(【マスター】!$D$105="","",【マスター】!F144))</f>
        <v>年</v>
      </c>
      <c r="H256" s="166" t="str">
        <f>DBCS(IF(【マスター】!$D$105="","",【マスター】!G144))</f>
        <v/>
      </c>
      <c r="I256" s="165" t="str">
        <f>DBCS(IF(【マスター】!$D$105="","",【マスター】!H144))</f>
        <v>月</v>
      </c>
      <c r="J256" s="166" t="str">
        <f>DBCS(IF(【マスター】!$D$105="","",【マスター】!I144))</f>
        <v/>
      </c>
      <c r="K256" s="165" t="str">
        <f>DBCS(IF(【マスター】!D144="","",【マスター】!J144))</f>
        <v/>
      </c>
      <c r="L256" s="3" t="str">
        <f>IF(【マスター】!D144=0,"","改訂")</f>
        <v/>
      </c>
      <c r="M256" s="3"/>
    </row>
    <row r="257" spans="5:13">
      <c r="E257" s="165" t="str">
        <f>DBCS(【マスター】!D145)</f>
        <v/>
      </c>
      <c r="F257" s="166" t="str">
        <f>DBCS(IF(【マスター】!D145="","",【マスター】!E145))</f>
        <v/>
      </c>
      <c r="G257" s="165" t="str">
        <f>DBCS(IF(【マスター】!$D$105="","",【マスター】!F145))</f>
        <v>年</v>
      </c>
      <c r="H257" s="166" t="str">
        <f>DBCS(IF(【マスター】!$D$105="","",【マスター】!G145))</f>
        <v/>
      </c>
      <c r="I257" s="165" t="str">
        <f>DBCS(IF(【マスター】!$D$105="","",【マスター】!H145))</f>
        <v>月</v>
      </c>
      <c r="J257" s="166" t="str">
        <f>DBCS(IF(【マスター】!$D$105="","",【マスター】!I145))</f>
        <v/>
      </c>
      <c r="K257" s="165" t="str">
        <f>DBCS(IF(【マスター】!D145="","",【マスター】!J145))</f>
        <v/>
      </c>
      <c r="L257" s="3" t="str">
        <f>IF(【マスター】!D145=0,"","改訂")</f>
        <v/>
      </c>
      <c r="M257" s="3"/>
    </row>
    <row r="258" spans="5:13">
      <c r="E258" s="165" t="str">
        <f>DBCS(【マスター】!D146)</f>
        <v/>
      </c>
      <c r="F258" s="166" t="str">
        <f>DBCS(IF(【マスター】!D146="","",【マスター】!E146))</f>
        <v/>
      </c>
      <c r="G258" s="165" t="str">
        <f>DBCS(IF(【マスター】!$D$105="","",【マスター】!F146))</f>
        <v>年</v>
      </c>
      <c r="H258" s="166" t="str">
        <f>DBCS(IF(【マスター】!$D$105="","",【マスター】!G146))</f>
        <v/>
      </c>
      <c r="I258" s="165" t="str">
        <f>DBCS(IF(【マスター】!$D$105="","",【マスター】!H146))</f>
        <v>月</v>
      </c>
      <c r="J258" s="166" t="str">
        <f>DBCS(IF(【マスター】!$D$105="","",【マスター】!I146))</f>
        <v/>
      </c>
      <c r="K258" s="165" t="str">
        <f>DBCS(IF(【マスター】!D146="","",【マスター】!J146))</f>
        <v/>
      </c>
      <c r="L258" s="3" t="str">
        <f>IF(【マスター】!D146=0,"","改訂")</f>
        <v/>
      </c>
      <c r="M258" s="3"/>
    </row>
    <row r="259" spans="5:13">
      <c r="E259" s="165" t="str">
        <f>DBCS(【マスター】!D147)</f>
        <v/>
      </c>
      <c r="F259" s="166" t="str">
        <f>DBCS(IF(【マスター】!D147="","",【マスター】!E147))</f>
        <v/>
      </c>
      <c r="G259" s="165" t="str">
        <f>DBCS(IF(【マスター】!$D$105="","",【マスター】!F147))</f>
        <v>年</v>
      </c>
      <c r="H259" s="166" t="str">
        <f>DBCS(IF(【マスター】!$D$105="","",【マスター】!G147))</f>
        <v/>
      </c>
      <c r="I259" s="165" t="str">
        <f>DBCS(IF(【マスター】!$D$105="","",【マスター】!H147))</f>
        <v>月</v>
      </c>
      <c r="J259" s="166" t="str">
        <f>DBCS(IF(【マスター】!$D$105="","",【マスター】!I147))</f>
        <v/>
      </c>
      <c r="K259" s="165" t="str">
        <f>DBCS(IF(【マスター】!D147="","",【マスター】!J147))</f>
        <v/>
      </c>
      <c r="L259" s="3" t="str">
        <f>IF(【マスター】!D147=0,"","改訂")</f>
        <v/>
      </c>
      <c r="M259" s="3"/>
    </row>
    <row r="260" spans="5:13">
      <c r="E260" s="165" t="str">
        <f>DBCS(【マスター】!D148)</f>
        <v/>
      </c>
      <c r="F260" s="166" t="str">
        <f>DBCS(IF(【マスター】!D148="","",【マスター】!E148))</f>
        <v/>
      </c>
      <c r="G260" s="165" t="str">
        <f>DBCS(IF(【マスター】!$D$105="","",【マスター】!F148))</f>
        <v>年</v>
      </c>
      <c r="H260" s="166" t="str">
        <f>DBCS(IF(【マスター】!$D$105="","",【マスター】!G148))</f>
        <v/>
      </c>
      <c r="I260" s="165" t="str">
        <f>DBCS(IF(【マスター】!$D$105="","",【マスター】!H148))</f>
        <v>月</v>
      </c>
      <c r="J260" s="166" t="str">
        <f>DBCS(IF(【マスター】!$D$105="","",【マスター】!I148))</f>
        <v/>
      </c>
      <c r="K260" s="165" t="str">
        <f>DBCS(IF(【マスター】!D148="","",【マスター】!J148))</f>
        <v/>
      </c>
      <c r="L260" s="3" t="str">
        <f>IF(【マスター】!D148=0,"","改訂")</f>
        <v/>
      </c>
      <c r="M260" s="3"/>
    </row>
    <row r="261" spans="5:13" ht="14.25">
      <c r="E261" s="164"/>
    </row>
    <row r="262" spans="5:13" ht="14.25">
      <c r="E262" s="164"/>
    </row>
    <row r="263" spans="5:13" ht="14.25">
      <c r="E263" s="164"/>
    </row>
    <row r="264" spans="5:13" ht="14.25">
      <c r="E264" s="164"/>
    </row>
  </sheetData>
  <sheetProtection selectLockedCells="1"/>
  <mergeCells count="92">
    <mergeCell ref="C150:T152"/>
    <mergeCell ref="C155:T157"/>
    <mergeCell ref="C158:T160"/>
    <mergeCell ref="C163:T164"/>
    <mergeCell ref="C212:T213"/>
    <mergeCell ref="C165:T167"/>
    <mergeCell ref="C173:T175"/>
    <mergeCell ref="C203:T204"/>
    <mergeCell ref="C168:T170"/>
    <mergeCell ref="C198:T200"/>
    <mergeCell ref="C209:T211"/>
    <mergeCell ref="C205:T206"/>
    <mergeCell ref="C207:T208"/>
    <mergeCell ref="C189:T190"/>
    <mergeCell ref="C191:T193"/>
    <mergeCell ref="C194:T195"/>
    <mergeCell ref="C135:T136"/>
    <mergeCell ref="C137:T137"/>
    <mergeCell ref="C140:T141"/>
    <mergeCell ref="C142:T143"/>
    <mergeCell ref="C148:T149"/>
    <mergeCell ref="C144:T145"/>
    <mergeCell ref="C129:T130"/>
    <mergeCell ref="C98:T100"/>
    <mergeCell ref="C101:T102"/>
    <mergeCell ref="C103:T104"/>
    <mergeCell ref="C107:T108"/>
    <mergeCell ref="C111:T113"/>
    <mergeCell ref="C116:T119"/>
    <mergeCell ref="C120:T121"/>
    <mergeCell ref="C122:T124"/>
    <mergeCell ref="C125:T126"/>
    <mergeCell ref="D63:T63"/>
    <mergeCell ref="D64:T64"/>
    <mergeCell ref="B65:C65"/>
    <mergeCell ref="C96:T97"/>
    <mergeCell ref="D66:T66"/>
    <mergeCell ref="C69:T69"/>
    <mergeCell ref="C70:T70"/>
    <mergeCell ref="C73:T73"/>
    <mergeCell ref="C74:T74"/>
    <mergeCell ref="C77:T77"/>
    <mergeCell ref="C93:T95"/>
    <mergeCell ref="C85:T85"/>
    <mergeCell ref="C84:T84"/>
    <mergeCell ref="N81:P81"/>
    <mergeCell ref="N82:P82"/>
    <mergeCell ref="D54:T54"/>
    <mergeCell ref="B56:C56"/>
    <mergeCell ref="B60:C60"/>
    <mergeCell ref="D61:T61"/>
    <mergeCell ref="B62:C62"/>
    <mergeCell ref="D55:T55"/>
    <mergeCell ref="D57:T59"/>
    <mergeCell ref="B29:C29"/>
    <mergeCell ref="D30:T30"/>
    <mergeCell ref="A2:T3"/>
    <mergeCell ref="A4:T5"/>
    <mergeCell ref="D21:E21"/>
    <mergeCell ref="F21:T21"/>
    <mergeCell ref="B25:C25"/>
    <mergeCell ref="C24:T24"/>
    <mergeCell ref="B21:C21"/>
    <mergeCell ref="C8:T8"/>
    <mergeCell ref="C11:T11"/>
    <mergeCell ref="C12:T12"/>
    <mergeCell ref="D26:T26"/>
    <mergeCell ref="C13:T13"/>
    <mergeCell ref="C14:T14"/>
    <mergeCell ref="C15:T15"/>
    <mergeCell ref="C16:T16"/>
    <mergeCell ref="B20:C20"/>
    <mergeCell ref="D20:E20"/>
    <mergeCell ref="F20:T20"/>
    <mergeCell ref="C19:T19"/>
    <mergeCell ref="C47:T47"/>
    <mergeCell ref="B53:C53"/>
    <mergeCell ref="D52:T52"/>
    <mergeCell ref="D51:T51"/>
    <mergeCell ref="D49:T49"/>
    <mergeCell ref="B48:C48"/>
    <mergeCell ref="D50:T50"/>
    <mergeCell ref="B31:C31"/>
    <mergeCell ref="D32:T32"/>
    <mergeCell ref="B36:C36"/>
    <mergeCell ref="B37:C37"/>
    <mergeCell ref="B38:C38"/>
    <mergeCell ref="C178:T179"/>
    <mergeCell ref="C180:T181"/>
    <mergeCell ref="C183:T184"/>
    <mergeCell ref="C185:T186"/>
    <mergeCell ref="C187:T188"/>
  </mergeCells>
  <phoneticPr fontId="16"/>
  <printOptions horizontalCentered="1"/>
  <pageMargins left="0.70866141732283472" right="0.70866141732283472" top="0.55118110236220474" bottom="0.55118110236220474" header="0.31496062992125984" footer="0.31496062992125984"/>
  <pageSetup paperSize="9" scale="96" fitToHeight="0" orientation="portrait" r:id="rId1"/>
  <headerFooter>
    <oddFooter>&amp;L【地域密着型通所介護】</oddFooter>
  </headerFooter>
  <rowBreaks count="4" manualBreakCount="4">
    <brk id="33" max="19" man="1"/>
    <brk id="71" max="19" man="1"/>
    <brk id="114" max="19" man="1"/>
    <brk id="161" max="1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2D050"/>
    <pageSetUpPr fitToPage="1"/>
  </sheetPr>
  <dimension ref="A1:U55"/>
  <sheetViews>
    <sheetView view="pageBreakPreview" zoomScaleNormal="100" zoomScaleSheetLayoutView="100" workbookViewId="0">
      <selection activeCell="Z16" sqref="Z16"/>
    </sheetView>
  </sheetViews>
  <sheetFormatPr defaultColWidth="9" defaultRowHeight="13.5"/>
  <cols>
    <col min="1" max="1" width="6.625" style="373" customWidth="1"/>
    <col min="2" max="20" width="4.625" style="373" customWidth="1"/>
    <col min="21" max="21" width="5.625" style="373" customWidth="1"/>
    <col min="22" max="16384" width="9" style="373"/>
  </cols>
  <sheetData>
    <row r="1" spans="1:20" ht="15" customHeight="1">
      <c r="T1" s="371"/>
    </row>
    <row r="2" spans="1:20" ht="30" customHeight="1">
      <c r="A2" s="2210" t="s">
        <v>1610</v>
      </c>
      <c r="B2" s="2210"/>
      <c r="C2" s="2210"/>
      <c r="D2" s="2210"/>
      <c r="E2" s="2210"/>
      <c r="F2" s="2210"/>
      <c r="G2" s="2210"/>
      <c r="H2" s="2210"/>
      <c r="I2" s="2210"/>
      <c r="J2" s="2210"/>
      <c r="K2" s="2210"/>
      <c r="L2" s="2210"/>
      <c r="M2" s="2210"/>
      <c r="N2" s="2210"/>
      <c r="O2" s="2210"/>
      <c r="P2" s="2210"/>
      <c r="Q2" s="2210"/>
      <c r="R2" s="2210"/>
      <c r="S2" s="2210"/>
      <c r="T2" s="2210"/>
    </row>
    <row r="3" spans="1:20" ht="30" customHeight="1">
      <c r="A3" s="2211" t="str">
        <f>"　"&amp;【マスター】!C22&amp;"（以下、「事業者」という）は、利用者等の個人情報を適切に取り扱うことは、介護サービスに関わるものの重大な責務と考えます。"</f>
        <v>　株式会社ケアサポート（以下、「事業者」という）は、利用者等の個人情報を適切に取り扱うことは、介護サービスに関わるものの重大な責務と考えます。</v>
      </c>
      <c r="B3" s="2211"/>
      <c r="C3" s="2211"/>
      <c r="D3" s="2211"/>
      <c r="E3" s="2211"/>
      <c r="F3" s="2211"/>
      <c r="G3" s="2211"/>
      <c r="H3" s="2211"/>
      <c r="I3" s="2211"/>
      <c r="J3" s="2211"/>
      <c r="K3" s="2211"/>
      <c r="L3" s="2211"/>
      <c r="M3" s="2211"/>
      <c r="N3" s="2211"/>
      <c r="O3" s="2211"/>
      <c r="P3" s="2211"/>
      <c r="Q3" s="2211"/>
      <c r="R3" s="2211"/>
      <c r="S3" s="2211"/>
      <c r="T3" s="2211"/>
    </row>
    <row r="4" spans="1:20" ht="45" customHeight="1">
      <c r="A4" s="2211" t="s">
        <v>1611</v>
      </c>
      <c r="B4" s="2211"/>
      <c r="C4" s="2211"/>
      <c r="D4" s="2211"/>
      <c r="E4" s="2211"/>
      <c r="F4" s="2211"/>
      <c r="G4" s="2211"/>
      <c r="H4" s="2211"/>
      <c r="I4" s="2211"/>
      <c r="J4" s="2211"/>
      <c r="K4" s="2211"/>
      <c r="L4" s="2211"/>
      <c r="M4" s="2211"/>
      <c r="N4" s="2211"/>
      <c r="O4" s="2211"/>
      <c r="P4" s="2211"/>
      <c r="Q4" s="2211"/>
      <c r="R4" s="2211"/>
      <c r="S4" s="2211"/>
      <c r="T4" s="2211"/>
    </row>
    <row r="5" spans="1:20" ht="15" customHeight="1">
      <c r="A5" s="2212" t="s">
        <v>1001</v>
      </c>
      <c r="B5" s="2212"/>
      <c r="C5" s="2212"/>
      <c r="D5" s="2212"/>
      <c r="E5" s="2212"/>
      <c r="F5" s="2212"/>
      <c r="G5" s="2212"/>
      <c r="H5" s="2212"/>
      <c r="I5" s="2212"/>
      <c r="J5" s="2212"/>
      <c r="K5" s="2212"/>
      <c r="L5" s="2212"/>
      <c r="M5" s="2212"/>
      <c r="N5" s="2212"/>
      <c r="O5" s="2212"/>
      <c r="P5" s="2212"/>
      <c r="Q5" s="2212"/>
      <c r="R5" s="2212"/>
      <c r="S5" s="2212"/>
      <c r="T5" s="2212"/>
    </row>
    <row r="6" spans="1:20" ht="15" customHeight="1">
      <c r="A6" s="373" t="s">
        <v>1612</v>
      </c>
    </row>
    <row r="7" spans="1:20" ht="15" customHeight="1">
      <c r="A7" s="374" t="s">
        <v>1613</v>
      </c>
    </row>
    <row r="8" spans="1:20" ht="30" customHeight="1">
      <c r="A8" s="372" t="s">
        <v>1614</v>
      </c>
      <c r="B8" s="2211" t="s">
        <v>1615</v>
      </c>
      <c r="C8" s="2211"/>
      <c r="D8" s="2211"/>
      <c r="E8" s="2211"/>
      <c r="F8" s="2211"/>
      <c r="G8" s="2211"/>
      <c r="H8" s="2211"/>
      <c r="I8" s="2211"/>
      <c r="J8" s="2211"/>
      <c r="K8" s="2211"/>
      <c r="L8" s="2211"/>
      <c r="M8" s="2211"/>
      <c r="N8" s="2211"/>
      <c r="O8" s="2211"/>
      <c r="P8" s="2211"/>
      <c r="Q8" s="2211"/>
      <c r="R8" s="2211"/>
      <c r="S8" s="2211"/>
      <c r="T8" s="2211"/>
    </row>
    <row r="9" spans="1:20" ht="30" customHeight="1">
      <c r="A9" s="372" t="s">
        <v>1616</v>
      </c>
      <c r="B9" s="2211" t="s">
        <v>1617</v>
      </c>
      <c r="C9" s="2211"/>
      <c r="D9" s="2211"/>
      <c r="E9" s="2211"/>
      <c r="F9" s="2211"/>
      <c r="G9" s="2211"/>
      <c r="H9" s="2211"/>
      <c r="I9" s="2211"/>
      <c r="J9" s="2211"/>
      <c r="K9" s="2211"/>
      <c r="L9" s="2211"/>
      <c r="M9" s="2211"/>
      <c r="N9" s="2211"/>
      <c r="O9" s="2211"/>
      <c r="P9" s="2211"/>
      <c r="Q9" s="2211"/>
      <c r="R9" s="2211"/>
      <c r="S9" s="2211"/>
      <c r="T9" s="2211"/>
    </row>
    <row r="10" spans="1:20" ht="45" customHeight="1">
      <c r="A10" s="372" t="s">
        <v>1618</v>
      </c>
      <c r="B10" s="2211" t="s">
        <v>1619</v>
      </c>
      <c r="C10" s="2211"/>
      <c r="D10" s="2211"/>
      <c r="E10" s="2211"/>
      <c r="F10" s="2211"/>
      <c r="G10" s="2211"/>
      <c r="H10" s="2211"/>
      <c r="I10" s="2211"/>
      <c r="J10" s="2211"/>
      <c r="K10" s="2211"/>
      <c r="L10" s="2211"/>
      <c r="M10" s="2211"/>
      <c r="N10" s="2211"/>
      <c r="O10" s="2211"/>
      <c r="P10" s="2211"/>
      <c r="Q10" s="2211"/>
      <c r="R10" s="2211"/>
      <c r="S10" s="2211"/>
      <c r="T10" s="2211"/>
    </row>
    <row r="11" spans="1:20" ht="15" customHeight="1">
      <c r="A11" s="374" t="s">
        <v>1620</v>
      </c>
    </row>
    <row r="12" spans="1:20" ht="60" customHeight="1">
      <c r="A12" s="2213" t="s">
        <v>1621</v>
      </c>
      <c r="B12" s="2213"/>
      <c r="C12" s="2213"/>
      <c r="D12" s="2213"/>
      <c r="E12" s="2213"/>
      <c r="F12" s="2213"/>
      <c r="G12" s="2213"/>
      <c r="H12" s="2213"/>
      <c r="I12" s="2213"/>
      <c r="J12" s="2213"/>
      <c r="K12" s="2213"/>
      <c r="L12" s="2213"/>
      <c r="M12" s="2213"/>
      <c r="N12" s="2213"/>
      <c r="O12" s="2213"/>
      <c r="P12" s="2213"/>
      <c r="Q12" s="2213"/>
      <c r="R12" s="2213"/>
      <c r="S12" s="2213"/>
      <c r="T12" s="2213"/>
    </row>
    <row r="13" spans="1:20" ht="15" customHeight="1">
      <c r="A13" s="372" t="s">
        <v>1614</v>
      </c>
      <c r="B13" s="373" t="s">
        <v>472</v>
      </c>
    </row>
    <row r="14" spans="1:20" ht="30" customHeight="1">
      <c r="A14" s="371" t="s">
        <v>393</v>
      </c>
      <c r="B14" s="2213" t="s">
        <v>1622</v>
      </c>
      <c r="C14" s="2213"/>
      <c r="D14" s="2213"/>
      <c r="E14" s="2213"/>
      <c r="F14" s="2213"/>
      <c r="G14" s="2213"/>
      <c r="H14" s="2213"/>
      <c r="I14" s="2213"/>
      <c r="J14" s="2213"/>
      <c r="K14" s="2213"/>
      <c r="L14" s="2213"/>
      <c r="M14" s="2213"/>
      <c r="N14" s="2213"/>
      <c r="O14" s="2213"/>
      <c r="P14" s="2213"/>
      <c r="Q14" s="2213"/>
      <c r="R14" s="2213"/>
      <c r="S14" s="2213"/>
      <c r="T14" s="2213"/>
    </row>
    <row r="15" spans="1:20" ht="15" customHeight="1">
      <c r="A15" s="371" t="s">
        <v>395</v>
      </c>
      <c r="B15" s="373" t="s">
        <v>1623</v>
      </c>
    </row>
    <row r="16" spans="1:20" ht="45" customHeight="1">
      <c r="A16" s="372" t="s">
        <v>1624</v>
      </c>
      <c r="B16" s="2211" t="s">
        <v>1625</v>
      </c>
      <c r="C16" s="2211"/>
      <c r="D16" s="2211"/>
      <c r="E16" s="2211"/>
      <c r="F16" s="2211"/>
      <c r="G16" s="2211"/>
      <c r="H16" s="2211"/>
      <c r="I16" s="2211"/>
      <c r="J16" s="2211"/>
      <c r="K16" s="2211"/>
      <c r="L16" s="2211"/>
      <c r="M16" s="2211"/>
      <c r="N16" s="2211"/>
      <c r="O16" s="2211"/>
      <c r="P16" s="2211"/>
      <c r="Q16" s="2211"/>
      <c r="R16" s="2211"/>
      <c r="S16" s="2211"/>
      <c r="T16" s="2211"/>
    </row>
    <row r="17" spans="1:20" ht="15" customHeight="1">
      <c r="A17" s="372" t="s">
        <v>1616</v>
      </c>
      <c r="B17" s="374" t="s">
        <v>477</v>
      </c>
    </row>
    <row r="18" spans="1:20" ht="30" customHeight="1">
      <c r="A18" s="372" t="s">
        <v>1626</v>
      </c>
      <c r="B18" s="2211" t="s">
        <v>1627</v>
      </c>
      <c r="C18" s="2211"/>
      <c r="D18" s="2211"/>
      <c r="E18" s="2211"/>
      <c r="F18" s="2211"/>
      <c r="G18" s="2211"/>
      <c r="H18" s="2211"/>
      <c r="I18" s="2211"/>
      <c r="J18" s="2211"/>
      <c r="K18" s="2211"/>
      <c r="L18" s="2211"/>
      <c r="M18" s="2211"/>
      <c r="N18" s="2211"/>
      <c r="O18" s="2211"/>
      <c r="P18" s="2211"/>
      <c r="Q18" s="2211"/>
      <c r="R18" s="2211"/>
      <c r="S18" s="2211"/>
      <c r="T18" s="2211"/>
    </row>
    <row r="19" spans="1:20" ht="30" customHeight="1">
      <c r="A19" s="372" t="s">
        <v>395</v>
      </c>
      <c r="B19" s="2211" t="s">
        <v>1628</v>
      </c>
      <c r="C19" s="2211"/>
      <c r="D19" s="2211"/>
      <c r="E19" s="2211"/>
      <c r="F19" s="2211"/>
      <c r="G19" s="2211"/>
      <c r="H19" s="2211"/>
      <c r="I19" s="2211"/>
      <c r="J19" s="2211"/>
      <c r="K19" s="2211"/>
      <c r="L19" s="2211"/>
      <c r="M19" s="2211"/>
      <c r="N19" s="2211"/>
      <c r="O19" s="2211"/>
      <c r="P19" s="2211"/>
      <c r="Q19" s="2211"/>
      <c r="R19" s="2211"/>
      <c r="S19" s="2211"/>
      <c r="T19" s="2211"/>
    </row>
    <row r="20" spans="1:20" ht="15" customHeight="1">
      <c r="A20" s="372" t="s">
        <v>1618</v>
      </c>
      <c r="B20" s="373" t="s">
        <v>481</v>
      </c>
    </row>
    <row r="21" spans="1:20" ht="30" customHeight="1">
      <c r="B21" s="2211" t="s">
        <v>1629</v>
      </c>
      <c r="C21" s="2211"/>
      <c r="D21" s="2211"/>
      <c r="E21" s="2211"/>
      <c r="F21" s="2211"/>
      <c r="G21" s="2211"/>
      <c r="H21" s="2211"/>
      <c r="I21" s="2211"/>
      <c r="J21" s="2211"/>
      <c r="K21" s="2211"/>
      <c r="L21" s="2211"/>
      <c r="M21" s="2211"/>
      <c r="N21" s="2211"/>
      <c r="O21" s="2211"/>
      <c r="P21" s="2211"/>
      <c r="Q21" s="2211"/>
      <c r="R21" s="2211"/>
      <c r="S21" s="2211"/>
      <c r="T21" s="2211"/>
    </row>
    <row r="22" spans="1:20" ht="15" customHeight="1">
      <c r="A22" s="372" t="s">
        <v>960</v>
      </c>
      <c r="B22" s="374" t="s">
        <v>484</v>
      </c>
    </row>
    <row r="23" spans="1:20" ht="15" customHeight="1">
      <c r="A23" s="374" t="s">
        <v>1630</v>
      </c>
      <c r="B23" s="373" t="s">
        <v>1631</v>
      </c>
    </row>
    <row r="24" spans="1:20" ht="15" customHeight="1">
      <c r="A24" s="374" t="s">
        <v>1632</v>
      </c>
    </row>
    <row r="25" spans="1:20" ht="15" customHeight="1">
      <c r="A25" s="374" t="s">
        <v>1633</v>
      </c>
    </row>
    <row r="26" spans="1:20" ht="15" customHeight="1">
      <c r="A26" s="372" t="s">
        <v>1614</v>
      </c>
      <c r="B26" s="375" t="s">
        <v>957</v>
      </c>
      <c r="C26" s="375"/>
      <c r="D26" s="375"/>
      <c r="E26" s="375"/>
      <c r="F26" s="375"/>
      <c r="G26" s="375"/>
      <c r="H26" s="375"/>
      <c r="I26" s="375"/>
      <c r="J26" s="375"/>
      <c r="K26" s="375"/>
      <c r="L26" s="375"/>
      <c r="M26" s="375"/>
      <c r="N26" s="375"/>
      <c r="O26" s="375"/>
      <c r="P26" s="375"/>
      <c r="Q26" s="375"/>
      <c r="R26" s="375"/>
      <c r="S26" s="375"/>
    </row>
    <row r="27" spans="1:20" ht="30" customHeight="1">
      <c r="A27" s="372" t="s">
        <v>934</v>
      </c>
      <c r="B27" s="2205" t="s">
        <v>958</v>
      </c>
      <c r="C27" s="2205"/>
      <c r="D27" s="2205"/>
      <c r="E27" s="2205"/>
      <c r="F27" s="2205"/>
      <c r="G27" s="2205"/>
      <c r="H27" s="2205"/>
      <c r="I27" s="2205"/>
      <c r="J27" s="2205"/>
      <c r="K27" s="2205"/>
      <c r="L27" s="2205"/>
      <c r="M27" s="2205"/>
      <c r="N27" s="2205"/>
      <c r="O27" s="2205"/>
      <c r="P27" s="2205"/>
      <c r="Q27" s="2205"/>
      <c r="R27" s="2205"/>
      <c r="S27" s="2205"/>
      <c r="T27" s="2205"/>
    </row>
    <row r="28" spans="1:20" ht="15" customHeight="1">
      <c r="A28" s="372" t="s">
        <v>936</v>
      </c>
      <c r="B28" s="375" t="s">
        <v>959</v>
      </c>
      <c r="C28" s="375"/>
      <c r="D28" s="375"/>
      <c r="E28" s="375"/>
      <c r="F28" s="375"/>
      <c r="G28" s="375"/>
      <c r="H28" s="375"/>
      <c r="I28" s="375"/>
      <c r="J28" s="375"/>
      <c r="K28" s="375"/>
      <c r="L28" s="375"/>
      <c r="M28" s="375"/>
      <c r="N28" s="375"/>
      <c r="O28" s="375"/>
      <c r="P28" s="375"/>
      <c r="Q28" s="375"/>
      <c r="R28" s="375"/>
      <c r="S28" s="375"/>
    </row>
    <row r="29" spans="1:20" ht="15" customHeight="1">
      <c r="A29" s="372" t="s">
        <v>960</v>
      </c>
      <c r="B29" s="375" t="s">
        <v>961</v>
      </c>
      <c r="C29" s="375"/>
      <c r="D29" s="375"/>
      <c r="E29" s="375"/>
      <c r="F29" s="375"/>
      <c r="G29" s="375"/>
      <c r="H29" s="375"/>
      <c r="I29" s="375"/>
      <c r="J29" s="375"/>
      <c r="K29" s="375"/>
      <c r="L29" s="375"/>
      <c r="M29" s="375"/>
      <c r="N29" s="375"/>
      <c r="O29" s="375"/>
      <c r="P29" s="375"/>
      <c r="Q29" s="375"/>
      <c r="R29" s="375"/>
      <c r="S29" s="375"/>
    </row>
    <row r="30" spans="1:20" ht="15" customHeight="1">
      <c r="A30" s="372" t="s">
        <v>826</v>
      </c>
      <c r="B30" s="375" t="s">
        <v>962</v>
      </c>
      <c r="C30" s="375"/>
      <c r="D30" s="375"/>
      <c r="E30" s="375"/>
      <c r="F30" s="375"/>
      <c r="G30" s="375"/>
      <c r="H30" s="375"/>
      <c r="I30" s="375"/>
      <c r="J30" s="375"/>
      <c r="K30" s="375"/>
      <c r="L30" s="375"/>
      <c r="M30" s="375"/>
      <c r="N30" s="375"/>
      <c r="O30" s="375"/>
      <c r="P30" s="375"/>
      <c r="Q30" s="375"/>
      <c r="R30" s="375"/>
      <c r="S30" s="375"/>
    </row>
    <row r="31" spans="1:20" ht="15" customHeight="1">
      <c r="A31" s="372" t="s">
        <v>963</v>
      </c>
      <c r="B31" s="375" t="s">
        <v>964</v>
      </c>
      <c r="C31" s="375"/>
      <c r="D31" s="375"/>
      <c r="E31" s="375"/>
      <c r="F31" s="375"/>
      <c r="G31" s="375"/>
      <c r="H31" s="375"/>
      <c r="I31" s="375"/>
      <c r="J31" s="375"/>
      <c r="K31" s="375"/>
      <c r="L31" s="375"/>
      <c r="M31" s="375"/>
      <c r="N31" s="375"/>
      <c r="O31" s="375"/>
      <c r="P31" s="375"/>
      <c r="Q31" s="375"/>
      <c r="R31" s="375"/>
      <c r="S31" s="375"/>
    </row>
    <row r="32" spans="1:20" ht="15" customHeight="1">
      <c r="A32" s="372" t="s">
        <v>965</v>
      </c>
      <c r="B32" s="375" t="s">
        <v>966</v>
      </c>
      <c r="C32" s="375"/>
      <c r="D32" s="375"/>
      <c r="E32" s="375"/>
      <c r="F32" s="375"/>
      <c r="G32" s="375"/>
      <c r="H32" s="375"/>
      <c r="I32" s="375"/>
      <c r="J32" s="375"/>
      <c r="K32" s="375"/>
      <c r="L32" s="375"/>
      <c r="M32" s="375"/>
      <c r="N32" s="375"/>
      <c r="O32" s="375"/>
      <c r="P32" s="375"/>
      <c r="Q32" s="375"/>
      <c r="R32" s="375"/>
      <c r="S32" s="375"/>
    </row>
    <row r="33" spans="1:21" ht="15" customHeight="1">
      <c r="A33" s="372" t="s">
        <v>967</v>
      </c>
      <c r="B33" s="375" t="s">
        <v>968</v>
      </c>
      <c r="C33" s="375"/>
      <c r="D33" s="375"/>
      <c r="E33" s="375"/>
      <c r="F33" s="375"/>
      <c r="G33" s="375"/>
      <c r="H33" s="375"/>
      <c r="I33" s="375"/>
      <c r="J33" s="375"/>
      <c r="K33" s="375"/>
      <c r="L33" s="375"/>
      <c r="M33" s="375"/>
      <c r="N33" s="375"/>
      <c r="O33" s="375"/>
      <c r="P33" s="375"/>
      <c r="Q33" s="375"/>
      <c r="R33" s="375"/>
      <c r="S33" s="375"/>
    </row>
    <row r="34" spans="1:21" ht="15" customHeight="1">
      <c r="A34" s="376"/>
      <c r="B34" s="376"/>
      <c r="C34" s="376"/>
      <c r="D34" s="377"/>
      <c r="E34" s="377"/>
      <c r="F34" s="378"/>
    </row>
    <row r="35" spans="1:21" s="3" customFormat="1" ht="15" customHeight="1">
      <c r="A35" s="3" t="str">
        <f>DBCS(【マスター】!C4&amp;【マスター】!D4&amp;"年　"&amp;【マスター】!F4&amp;"月　"&amp;【マスター】!H4&amp;"日")</f>
        <v>令和７年　４月　１日</v>
      </c>
      <c r="B35" s="83"/>
      <c r="C35" s="84"/>
      <c r="D35" s="84"/>
      <c r="E35" s="84"/>
      <c r="F35" s="84"/>
      <c r="G35" s="84"/>
      <c r="H35" s="84"/>
      <c r="I35" s="84"/>
      <c r="J35" s="84"/>
      <c r="K35" s="84"/>
      <c r="L35" s="84"/>
      <c r="M35" s="84"/>
      <c r="N35" s="84"/>
      <c r="O35" s="84"/>
      <c r="P35" s="84"/>
      <c r="Q35" s="84"/>
      <c r="R35" s="84"/>
      <c r="S35" s="84"/>
      <c r="U35" s="491"/>
    </row>
    <row r="36" spans="1:21" s="3" customFormat="1" ht="15" customHeight="1">
      <c r="B36" s="83"/>
      <c r="C36" s="84"/>
      <c r="D36" s="84"/>
      <c r="E36" s="84"/>
      <c r="F36" s="84"/>
      <c r="G36" s="84"/>
      <c r="H36" s="84"/>
      <c r="I36" s="84"/>
      <c r="J36" s="84"/>
      <c r="K36" s="84"/>
      <c r="L36" s="84"/>
      <c r="M36" s="84"/>
      <c r="N36" s="84"/>
      <c r="O36" s="84"/>
      <c r="P36" s="84"/>
      <c r="Q36" s="84"/>
      <c r="R36" s="84"/>
      <c r="S36" s="84"/>
    </row>
    <row r="37" spans="1:21" s="3" customFormat="1" ht="15" customHeight="1">
      <c r="B37" s="83"/>
      <c r="C37" s="83" t="s">
        <v>1634</v>
      </c>
      <c r="D37" s="84"/>
      <c r="E37" s="84"/>
      <c r="F37" s="84"/>
      <c r="G37" s="84"/>
      <c r="H37" s="3" t="s">
        <v>503</v>
      </c>
      <c r="K37" s="2206" t="str">
        <f>DBCS(【マスター】!F23&amp;【マスター】!C24)</f>
        <v>愛知県豊川市大堀町２９３番地</v>
      </c>
      <c r="L37" s="2206"/>
      <c r="M37" s="2206"/>
      <c r="N37" s="2206"/>
      <c r="O37" s="2206"/>
      <c r="P37" s="2206"/>
      <c r="Q37" s="2206"/>
      <c r="R37" s="2206"/>
      <c r="S37" s="2206"/>
      <c r="T37" s="2206"/>
    </row>
    <row r="38" spans="1:21" s="3" customFormat="1" ht="15" customHeight="1">
      <c r="B38" s="83"/>
      <c r="C38" s="83"/>
      <c r="H38" s="3" t="s">
        <v>504</v>
      </c>
      <c r="K38" s="2207" t="str">
        <f>IF(【マスター】!C22="","",【マスター】!C22)</f>
        <v>株式会社ケアサポート</v>
      </c>
      <c r="L38" s="2207"/>
      <c r="M38" s="2207"/>
      <c r="N38" s="2207"/>
      <c r="O38" s="2207"/>
      <c r="P38" s="2207"/>
      <c r="Q38" s="2207"/>
      <c r="R38" s="2207"/>
      <c r="S38" s="2207"/>
      <c r="T38" s="2207"/>
    </row>
    <row r="39" spans="1:21" s="3" customFormat="1" ht="15" customHeight="1">
      <c r="B39" s="83"/>
      <c r="C39" s="83"/>
      <c r="H39" s="3" t="s">
        <v>505</v>
      </c>
      <c r="K39" s="2208" t="str">
        <f>【マスター】!C26&amp;"　"&amp;【マスター】!I26</f>
        <v>代表取締役　本多 康夫</v>
      </c>
      <c r="L39" s="2208"/>
      <c r="M39" s="2208"/>
      <c r="N39" s="2208"/>
      <c r="O39" s="2208"/>
      <c r="P39" s="2208"/>
      <c r="Q39" s="2208"/>
      <c r="R39" s="2208"/>
      <c r="S39" s="2208"/>
      <c r="T39" s="2208"/>
    </row>
    <row r="40" spans="1:21" s="3" customFormat="1" ht="15" customHeight="1">
      <c r="B40" s="83"/>
      <c r="C40" s="84"/>
      <c r="D40" s="84"/>
      <c r="E40" s="84"/>
      <c r="F40" s="84"/>
      <c r="G40" s="84"/>
      <c r="H40" s="84"/>
      <c r="I40" s="84"/>
      <c r="J40" s="84"/>
      <c r="K40" s="248"/>
      <c r="L40" s="248"/>
      <c r="M40" s="248"/>
      <c r="N40" s="248"/>
      <c r="O40" s="248"/>
      <c r="P40" s="248"/>
      <c r="Q40" s="248"/>
      <c r="R40" s="248"/>
      <c r="S40" s="248"/>
      <c r="T40" s="249"/>
    </row>
    <row r="41" spans="1:21" s="3" customFormat="1" ht="15" customHeight="1">
      <c r="B41" s="83"/>
      <c r="C41" s="83"/>
      <c r="D41" s="84"/>
      <c r="E41" s="84"/>
      <c r="F41" s="84"/>
      <c r="G41" s="84"/>
      <c r="H41" s="83" t="s">
        <v>78</v>
      </c>
      <c r="I41" s="84"/>
      <c r="J41" s="84"/>
      <c r="K41" s="2209" t="str">
        <f>IF(【マスター】!C7="","",【マスター】!C7)</f>
        <v>デイサービスさくら亭</v>
      </c>
      <c r="L41" s="2209"/>
      <c r="M41" s="2209"/>
      <c r="N41" s="2209"/>
      <c r="O41" s="2209"/>
      <c r="P41" s="2209"/>
      <c r="Q41" s="2209"/>
      <c r="R41" s="2209"/>
      <c r="S41" s="2209"/>
      <c r="T41" s="2209"/>
    </row>
    <row r="42" spans="1:21" s="3" customFormat="1" ht="15" customHeight="1">
      <c r="B42" s="83"/>
      <c r="C42" s="83"/>
    </row>
    <row r="43" spans="1:21" s="3" customFormat="1" ht="15" customHeight="1">
      <c r="B43" s="83"/>
      <c r="C43" s="83"/>
    </row>
    <row r="44" spans="1:21" ht="20.100000000000001" customHeight="1">
      <c r="A44" s="374"/>
    </row>
    <row r="45" spans="1:21" ht="20.100000000000001" customHeight="1">
      <c r="A45" s="374"/>
    </row>
    <row r="46" spans="1:21" ht="20.100000000000001" customHeight="1">
      <c r="A46" s="374"/>
    </row>
    <row r="47" spans="1:21" ht="20.100000000000001" customHeight="1"/>
    <row r="48" spans="1:2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sheetData>
  <sheetProtection selectLockedCells="1"/>
  <mergeCells count="18">
    <mergeCell ref="A2:T2"/>
    <mergeCell ref="B21:T21"/>
    <mergeCell ref="A5:T5"/>
    <mergeCell ref="A3:T3"/>
    <mergeCell ref="A4:T4"/>
    <mergeCell ref="B8:T8"/>
    <mergeCell ref="B9:T9"/>
    <mergeCell ref="B10:T10"/>
    <mergeCell ref="A12:T12"/>
    <mergeCell ref="B14:T14"/>
    <mergeCell ref="B16:T16"/>
    <mergeCell ref="B18:T18"/>
    <mergeCell ref="B19:T19"/>
    <mergeCell ref="B27:T27"/>
    <mergeCell ref="K37:T37"/>
    <mergeCell ref="K38:T38"/>
    <mergeCell ref="K39:T39"/>
    <mergeCell ref="K41:T41"/>
  </mergeCells>
  <phoneticPr fontId="16"/>
  <printOptions horizontalCentered="1" verticalCentered="1"/>
  <pageMargins left="0.59055118110236215" right="0.59055118110236215" top="0.59055118110236215" bottom="0.39370078740157483" header="0.31496062992125984" footer="0.19685039370078741"/>
  <pageSetup paperSize="9" scale="96" orientation="portrait" r:id="rId1"/>
  <headerFooter>
    <oddFooter>&amp;L【地域密着型通所介護】</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FFC000"/>
  </sheetPr>
  <dimension ref="A1:AJ66"/>
  <sheetViews>
    <sheetView showGridLines="0" view="pageBreakPreview" zoomScaleNormal="100" zoomScaleSheetLayoutView="100" workbookViewId="0">
      <selection activeCell="AL66" sqref="AL66"/>
    </sheetView>
  </sheetViews>
  <sheetFormatPr defaultColWidth="8.875" defaultRowHeight="14.25"/>
  <cols>
    <col min="1" max="29" width="3.625" style="51" customWidth="1"/>
    <col min="30" max="30" width="1.625" style="51" customWidth="1"/>
    <col min="31" max="34" width="9" style="51"/>
    <col min="35" max="35" width="30.625" style="51" customWidth="1"/>
    <col min="36" max="36" width="9" style="51" hidden="1" customWidth="1"/>
    <col min="37" max="252" width="9" style="94"/>
    <col min="253" max="279" width="3.625" style="94" customWidth="1"/>
    <col min="280" max="508" width="9" style="94"/>
    <col min="509" max="535" width="3.625" style="94" customWidth="1"/>
    <col min="536" max="764" width="9" style="94"/>
    <col min="765" max="791" width="3.625" style="94" customWidth="1"/>
    <col min="792" max="1020" width="9" style="94"/>
    <col min="1021" max="1047" width="3.625" style="94" customWidth="1"/>
    <col min="1048" max="1276" width="9" style="94"/>
    <col min="1277" max="1303" width="3.625" style="94" customWidth="1"/>
    <col min="1304" max="1532" width="9" style="94"/>
    <col min="1533" max="1559" width="3.625" style="94" customWidth="1"/>
    <col min="1560" max="1788" width="9" style="94"/>
    <col min="1789" max="1815" width="3.625" style="94" customWidth="1"/>
    <col min="1816" max="2044" width="9" style="94"/>
    <col min="2045" max="2071" width="3.625" style="94" customWidth="1"/>
    <col min="2072" max="2300" width="9" style="94"/>
    <col min="2301" max="2327" width="3.625" style="94" customWidth="1"/>
    <col min="2328" max="2556" width="9" style="94"/>
    <col min="2557" max="2583" width="3.625" style="94" customWidth="1"/>
    <col min="2584" max="2812" width="9" style="94"/>
    <col min="2813" max="2839" width="3.625" style="94" customWidth="1"/>
    <col min="2840" max="3068" width="9" style="94"/>
    <col min="3069" max="3095" width="3.625" style="94" customWidth="1"/>
    <col min="3096" max="3324" width="9" style="94"/>
    <col min="3325" max="3351" width="3.625" style="94" customWidth="1"/>
    <col min="3352" max="3580" width="9" style="94"/>
    <col min="3581" max="3607" width="3.625" style="94" customWidth="1"/>
    <col min="3608" max="3836" width="9" style="94"/>
    <col min="3837" max="3863" width="3.625" style="94" customWidth="1"/>
    <col min="3864" max="4092" width="9" style="94"/>
    <col min="4093" max="4119" width="3.625" style="94" customWidth="1"/>
    <col min="4120" max="4348" width="9" style="94"/>
    <col min="4349" max="4375" width="3.625" style="94" customWidth="1"/>
    <col min="4376" max="4604" width="9" style="94"/>
    <col min="4605" max="4631" width="3.625" style="94" customWidth="1"/>
    <col min="4632" max="4860" width="9" style="94"/>
    <col min="4861" max="4887" width="3.625" style="94" customWidth="1"/>
    <col min="4888" max="5116" width="9" style="94"/>
    <col min="5117" max="5143" width="3.625" style="94" customWidth="1"/>
    <col min="5144" max="5372" width="9" style="94"/>
    <col min="5373" max="5399" width="3.625" style="94" customWidth="1"/>
    <col min="5400" max="5628" width="9" style="94"/>
    <col min="5629" max="5655" width="3.625" style="94" customWidth="1"/>
    <col min="5656" max="5884" width="9" style="94"/>
    <col min="5885" max="5911" width="3.625" style="94" customWidth="1"/>
    <col min="5912" max="6140" width="9" style="94"/>
    <col min="6141" max="6167" width="3.625" style="94" customWidth="1"/>
    <col min="6168" max="6396" width="9" style="94"/>
    <col min="6397" max="6423" width="3.625" style="94" customWidth="1"/>
    <col min="6424" max="6652" width="9" style="94"/>
    <col min="6653" max="6679" width="3.625" style="94" customWidth="1"/>
    <col min="6680" max="6908" width="9" style="94"/>
    <col min="6909" max="6935" width="3.625" style="94" customWidth="1"/>
    <col min="6936" max="7164" width="9" style="94"/>
    <col min="7165" max="7191" width="3.625" style="94" customWidth="1"/>
    <col min="7192" max="7420" width="9" style="94"/>
    <col min="7421" max="7447" width="3.625" style="94" customWidth="1"/>
    <col min="7448" max="7676" width="9" style="94"/>
    <col min="7677" max="7703" width="3.625" style="94" customWidth="1"/>
    <col min="7704" max="7932" width="9" style="94"/>
    <col min="7933" max="7959" width="3.625" style="94" customWidth="1"/>
    <col min="7960" max="8188" width="9" style="94"/>
    <col min="8189" max="8215" width="3.625" style="94" customWidth="1"/>
    <col min="8216" max="8444" width="9" style="94"/>
    <col min="8445" max="8471" width="3.625" style="94" customWidth="1"/>
    <col min="8472" max="8700" width="9" style="94"/>
    <col min="8701" max="8727" width="3.625" style="94" customWidth="1"/>
    <col min="8728" max="8956" width="9" style="94"/>
    <col min="8957" max="8983" width="3.625" style="94" customWidth="1"/>
    <col min="8984" max="9212" width="9" style="94"/>
    <col min="9213" max="9239" width="3.625" style="94" customWidth="1"/>
    <col min="9240" max="9468" width="9" style="94"/>
    <col min="9469" max="9495" width="3.625" style="94" customWidth="1"/>
    <col min="9496" max="9724" width="9" style="94"/>
    <col min="9725" max="9751" width="3.625" style="94" customWidth="1"/>
    <col min="9752" max="9980" width="9" style="94"/>
    <col min="9981" max="10007" width="3.625" style="94" customWidth="1"/>
    <col min="10008" max="10236" width="9" style="94"/>
    <col min="10237" max="10263" width="3.625" style="94" customWidth="1"/>
    <col min="10264" max="10492" width="9" style="94"/>
    <col min="10493" max="10519" width="3.625" style="94" customWidth="1"/>
    <col min="10520" max="10748" width="9" style="94"/>
    <col min="10749" max="10775" width="3.625" style="94" customWidth="1"/>
    <col min="10776" max="11004" width="9" style="94"/>
    <col min="11005" max="11031" width="3.625" style="94" customWidth="1"/>
    <col min="11032" max="11260" width="9" style="94"/>
    <col min="11261" max="11287" width="3.625" style="94" customWidth="1"/>
    <col min="11288" max="11516" width="9" style="94"/>
    <col min="11517" max="11543" width="3.625" style="94" customWidth="1"/>
    <col min="11544" max="11772" width="9" style="94"/>
    <col min="11773" max="11799" width="3.625" style="94" customWidth="1"/>
    <col min="11800" max="12028" width="9" style="94"/>
    <col min="12029" max="12055" width="3.625" style="94" customWidth="1"/>
    <col min="12056" max="12284" width="9" style="94"/>
    <col min="12285" max="12311" width="3.625" style="94" customWidth="1"/>
    <col min="12312" max="12540" width="9" style="94"/>
    <col min="12541" max="12567" width="3.625" style="94" customWidth="1"/>
    <col min="12568" max="12796" width="9" style="94"/>
    <col min="12797" max="12823" width="3.625" style="94" customWidth="1"/>
    <col min="12824" max="13052" width="9" style="94"/>
    <col min="13053" max="13079" width="3.625" style="94" customWidth="1"/>
    <col min="13080" max="13308" width="9" style="94"/>
    <col min="13309" max="13335" width="3.625" style="94" customWidth="1"/>
    <col min="13336" max="13564" width="9" style="94"/>
    <col min="13565" max="13591" width="3.625" style="94" customWidth="1"/>
    <col min="13592" max="13820" width="9" style="94"/>
    <col min="13821" max="13847" width="3.625" style="94" customWidth="1"/>
    <col min="13848" max="14076" width="9" style="94"/>
    <col min="14077" max="14103" width="3.625" style="94" customWidth="1"/>
    <col min="14104" max="14332" width="9" style="94"/>
    <col min="14333" max="14359" width="3.625" style="94" customWidth="1"/>
    <col min="14360" max="14588" width="9" style="94"/>
    <col min="14589" max="14615" width="3.625" style="94" customWidth="1"/>
    <col min="14616" max="14844" width="9" style="94"/>
    <col min="14845" max="14871" width="3.625" style="94" customWidth="1"/>
    <col min="14872" max="15100" width="9" style="94"/>
    <col min="15101" max="15127" width="3.625" style="94" customWidth="1"/>
    <col min="15128" max="15356" width="9" style="94"/>
    <col min="15357" max="15383" width="3.625" style="94" customWidth="1"/>
    <col min="15384" max="15612" width="9" style="94"/>
    <col min="15613" max="15639" width="3.625" style="94" customWidth="1"/>
    <col min="15640" max="15868" width="9" style="94"/>
    <col min="15869" max="15895" width="3.625" style="94" customWidth="1"/>
    <col min="15896" max="16124" width="9" style="94"/>
    <col min="16125" max="16151" width="3.625" style="94" customWidth="1"/>
    <col min="16152" max="16384" width="9" style="94"/>
  </cols>
  <sheetData>
    <row r="1" spans="1:36" ht="18" customHeight="1" thickBot="1">
      <c r="AC1" s="118" t="s">
        <v>1635</v>
      </c>
    </row>
    <row r="2" spans="1:36" ht="18" customHeight="1" thickBot="1">
      <c r="A2" s="2230" t="s">
        <v>1636</v>
      </c>
      <c r="B2" s="2230"/>
      <c r="C2" s="2230"/>
      <c r="D2" s="2230"/>
      <c r="E2" s="2230"/>
      <c r="F2" s="2230"/>
      <c r="G2" s="2230"/>
      <c r="H2" s="2230"/>
      <c r="I2" s="2251">
        <f>AJ5</f>
        <v>42095</v>
      </c>
      <c r="J2" s="2251"/>
      <c r="K2" s="2251"/>
      <c r="L2" s="2251"/>
      <c r="M2" s="2251"/>
      <c r="N2" s="2251"/>
      <c r="O2" s="2251"/>
      <c r="P2" s="2253">
        <f>I2</f>
        <v>42095</v>
      </c>
      <c r="Q2" s="2253"/>
      <c r="R2" s="2253"/>
      <c r="S2" s="94"/>
      <c r="T2" s="2240" t="s">
        <v>1637</v>
      </c>
      <c r="U2" s="2240"/>
      <c r="V2" s="2238" t="str">
        <f>IF(AG2=0,"",VLOOKUP(AG2,AH21:AI60,2,FALSE))</f>
        <v/>
      </c>
      <c r="W2" s="2238"/>
      <c r="X2" s="2238"/>
      <c r="Y2" s="2238"/>
      <c r="Z2" s="2238"/>
      <c r="AA2" s="2238"/>
      <c r="AB2" s="2238"/>
      <c r="AC2" s="2240" t="s">
        <v>1638</v>
      </c>
      <c r="AE2" s="2290" t="s">
        <v>1639</v>
      </c>
      <c r="AF2" s="2291"/>
      <c r="AG2" s="119"/>
      <c r="AH2" s="51" t="s">
        <v>1640</v>
      </c>
    </row>
    <row r="3" spans="1:36" ht="18" customHeight="1">
      <c r="A3" s="2230"/>
      <c r="B3" s="2230"/>
      <c r="C3" s="2230"/>
      <c r="D3" s="2230"/>
      <c r="E3" s="2230"/>
      <c r="F3" s="2230"/>
      <c r="G3" s="2230"/>
      <c r="H3" s="2230"/>
      <c r="I3" s="2252"/>
      <c r="J3" s="2252"/>
      <c r="K3" s="2252"/>
      <c r="L3" s="2252"/>
      <c r="M3" s="2252"/>
      <c r="N3" s="2252"/>
      <c r="O3" s="2252"/>
      <c r="P3" s="2254"/>
      <c r="Q3" s="2254"/>
      <c r="R3" s="2254"/>
      <c r="T3" s="2241"/>
      <c r="U3" s="2241"/>
      <c r="V3" s="2239"/>
      <c r="W3" s="2239"/>
      <c r="X3" s="2239"/>
      <c r="Y3" s="2239"/>
      <c r="Z3" s="2239"/>
      <c r="AA3" s="2239"/>
      <c r="AB3" s="2239"/>
      <c r="AC3" s="2241"/>
    </row>
    <row r="4" spans="1:36" ht="5.0999999999999996" customHeight="1" thickBot="1">
      <c r="AD4" s="120"/>
    </row>
    <row r="5" spans="1:36" ht="18" customHeight="1">
      <c r="A5" s="2255" t="s">
        <v>1641</v>
      </c>
      <c r="B5" s="2256"/>
      <c r="C5" s="2257"/>
      <c r="D5" s="2305" t="s">
        <v>1642</v>
      </c>
      <c r="E5" s="2285"/>
      <c r="F5" s="135" t="s">
        <v>1643</v>
      </c>
      <c r="G5" s="2289" t="s">
        <v>1644</v>
      </c>
      <c r="H5" s="2289"/>
      <c r="I5" s="2289"/>
      <c r="J5" s="2289"/>
      <c r="K5" s="2255" t="s">
        <v>1645</v>
      </c>
      <c r="L5" s="2256"/>
      <c r="M5" s="2257"/>
      <c r="N5" s="2310" t="s">
        <v>1646</v>
      </c>
      <c r="O5" s="2311"/>
      <c r="P5" s="2312" t="s">
        <v>1647</v>
      </c>
      <c r="Q5" s="2313"/>
      <c r="R5" s="2313"/>
      <c r="S5" s="2313"/>
      <c r="T5" s="2313"/>
      <c r="U5" s="2313"/>
      <c r="V5" s="2314" t="s">
        <v>1648</v>
      </c>
      <c r="W5" s="2315"/>
      <c r="X5" s="2312" t="s">
        <v>1647</v>
      </c>
      <c r="Y5" s="2313"/>
      <c r="Z5" s="2313"/>
      <c r="AA5" s="2313"/>
      <c r="AB5" s="2313"/>
      <c r="AC5" s="2316"/>
      <c r="AD5" s="52"/>
      <c r="AE5" s="2292" t="s">
        <v>1649</v>
      </c>
      <c r="AF5" s="121" t="s">
        <v>67</v>
      </c>
      <c r="AG5" s="121" t="s">
        <v>98</v>
      </c>
      <c r="AH5" s="122" t="s">
        <v>91</v>
      </c>
      <c r="AJ5" s="123">
        <f>DATE(AF6+1988,AG6,AH6)</f>
        <v>42095</v>
      </c>
    </row>
    <row r="6" spans="1:36" ht="18" customHeight="1" thickBot="1">
      <c r="A6" s="2255" t="s">
        <v>1650</v>
      </c>
      <c r="B6" s="2256"/>
      <c r="C6" s="2256"/>
      <c r="D6" s="2256"/>
      <c r="E6" s="2256"/>
      <c r="F6" s="2257"/>
      <c r="G6" s="2307" t="s">
        <v>1651</v>
      </c>
      <c r="H6" s="2307"/>
      <c r="I6" s="2307"/>
      <c r="J6" s="2307"/>
      <c r="K6" s="2307"/>
      <c r="L6" s="2255" t="s">
        <v>1652</v>
      </c>
      <c r="M6" s="2256"/>
      <c r="N6" s="2256"/>
      <c r="O6" s="2256"/>
      <c r="P6" s="2256"/>
      <c r="Q6" s="2257"/>
      <c r="R6" s="2306" t="s">
        <v>1653</v>
      </c>
      <c r="S6" s="2306"/>
      <c r="T6" s="2306"/>
      <c r="U6" s="2306"/>
      <c r="V6" s="2306"/>
      <c r="W6" s="2306"/>
      <c r="X6" s="2306"/>
      <c r="Y6" s="2306"/>
      <c r="Z6" s="2306"/>
      <c r="AA6" s="2306"/>
      <c r="AB6" s="2306"/>
      <c r="AC6" s="2306"/>
      <c r="AD6" s="52"/>
      <c r="AE6" s="2293"/>
      <c r="AF6" s="124">
        <v>27</v>
      </c>
      <c r="AG6" s="124">
        <v>4</v>
      </c>
      <c r="AH6" s="125">
        <v>1</v>
      </c>
    </row>
    <row r="7" spans="1:36" ht="18" customHeight="1">
      <c r="A7" s="2284" t="s">
        <v>1654</v>
      </c>
      <c r="B7" s="1835"/>
      <c r="C7" s="2285" t="s">
        <v>1655</v>
      </c>
      <c r="D7" s="2285"/>
      <c r="E7" s="2285"/>
      <c r="F7" s="2285"/>
      <c r="G7" s="2317" t="s">
        <v>1656</v>
      </c>
      <c r="H7" s="2318"/>
      <c r="I7" s="2318"/>
      <c r="J7" s="2318"/>
      <c r="K7" s="2319"/>
      <c r="L7" s="2289" t="s">
        <v>1654</v>
      </c>
      <c r="M7" s="1835"/>
      <c r="N7" s="2285" t="s">
        <v>1655</v>
      </c>
      <c r="O7" s="2285"/>
      <c r="P7" s="2285"/>
      <c r="Q7" s="2308"/>
      <c r="R7" s="2305"/>
      <c r="S7" s="2285"/>
      <c r="T7" s="2285"/>
      <c r="U7" s="2285"/>
      <c r="V7" s="2285"/>
      <c r="W7" s="2285"/>
      <c r="X7" s="2285"/>
      <c r="Y7" s="2285"/>
      <c r="Z7" s="2285"/>
      <c r="AA7" s="2285"/>
      <c r="AB7" s="2285"/>
      <c r="AC7" s="2308"/>
      <c r="AD7" s="120"/>
    </row>
    <row r="8" spans="1:36" ht="18" customHeight="1">
      <c r="A8" s="2284" t="s">
        <v>1657</v>
      </c>
      <c r="B8" s="1835"/>
      <c r="C8" s="2285"/>
      <c r="D8" s="2285"/>
      <c r="E8" s="2285"/>
      <c r="F8" s="223" t="s">
        <v>692</v>
      </c>
      <c r="G8" s="224" t="s">
        <v>1658</v>
      </c>
      <c r="H8" s="225"/>
      <c r="I8" s="225"/>
      <c r="J8" s="225"/>
      <c r="K8" s="226"/>
      <c r="L8" s="2289" t="s">
        <v>1657</v>
      </c>
      <c r="M8" s="1835"/>
      <c r="N8" s="2285"/>
      <c r="O8" s="2285"/>
      <c r="P8" s="2285"/>
      <c r="Q8" s="227" t="s">
        <v>692</v>
      </c>
      <c r="R8" s="2309" t="s">
        <v>1659</v>
      </c>
      <c r="S8" s="2309"/>
      <c r="T8" s="2309"/>
      <c r="U8" s="2309"/>
      <c r="V8" s="2309"/>
      <c r="W8" s="2309"/>
      <c r="X8" s="2309"/>
      <c r="Y8" s="2309"/>
      <c r="Z8" s="2309"/>
      <c r="AA8" s="2309"/>
      <c r="AB8" s="2309"/>
      <c r="AC8" s="2309"/>
      <c r="AD8" s="52"/>
    </row>
    <row r="9" spans="1:36" ht="18" customHeight="1">
      <c r="A9" s="2284" t="s">
        <v>1660</v>
      </c>
      <c r="B9" s="1835"/>
      <c r="C9" s="2285"/>
      <c r="D9" s="2285"/>
      <c r="E9" s="2285"/>
      <c r="F9" s="223" t="s">
        <v>1661</v>
      </c>
      <c r="G9" s="2286"/>
      <c r="H9" s="2287"/>
      <c r="I9" s="2287"/>
      <c r="J9" s="2287"/>
      <c r="K9" s="2288"/>
      <c r="L9" s="2289" t="s">
        <v>1660</v>
      </c>
      <c r="M9" s="1835"/>
      <c r="N9" s="2285"/>
      <c r="O9" s="2285"/>
      <c r="P9" s="2285"/>
      <c r="Q9" s="227" t="s">
        <v>1661</v>
      </c>
      <c r="R9" s="2245"/>
      <c r="S9" s="2245"/>
      <c r="T9" s="2245"/>
      <c r="U9" s="2245"/>
      <c r="V9" s="2245"/>
      <c r="W9" s="2245"/>
      <c r="X9" s="2245"/>
      <c r="Y9" s="2245"/>
      <c r="Z9" s="2245"/>
      <c r="AA9" s="2245"/>
      <c r="AB9" s="2245"/>
      <c r="AC9" s="2245"/>
    </row>
    <row r="10" spans="1:36" ht="5.0999999999999996" customHeight="1"/>
    <row r="11" spans="1:36" ht="18" customHeight="1">
      <c r="A11" s="2264" t="s">
        <v>1662</v>
      </c>
      <c r="B11" s="2225" t="s">
        <v>188</v>
      </c>
      <c r="C11" s="2225"/>
      <c r="D11" s="2225"/>
      <c r="E11" s="2244" t="s">
        <v>646</v>
      </c>
      <c r="F11" s="2244"/>
      <c r="G11" s="2244"/>
      <c r="H11" s="2244" t="s">
        <v>869</v>
      </c>
      <c r="I11" s="2244"/>
      <c r="J11" s="2244"/>
      <c r="K11" s="2246" t="s">
        <v>1663</v>
      </c>
      <c r="L11" s="2249" t="s">
        <v>1664</v>
      </c>
      <c r="M11" s="2250"/>
      <c r="N11" s="2250" t="s">
        <v>1665</v>
      </c>
      <c r="O11" s="2270"/>
      <c r="P11" s="2249" t="s">
        <v>1666</v>
      </c>
      <c r="Q11" s="2250"/>
      <c r="R11" s="2250" t="s">
        <v>1667</v>
      </c>
      <c r="S11" s="2270"/>
      <c r="T11" s="2249" t="s">
        <v>1668</v>
      </c>
      <c r="U11" s="2250"/>
      <c r="V11" s="2250" t="s">
        <v>1669</v>
      </c>
      <c r="W11" s="2270"/>
      <c r="X11" s="2237" t="s">
        <v>1670</v>
      </c>
      <c r="Y11" s="2237"/>
      <c r="Z11" s="2237"/>
      <c r="AA11" s="2237"/>
      <c r="AB11" s="2237"/>
      <c r="AC11" s="2237"/>
    </row>
    <row r="12" spans="1:36" ht="18" customHeight="1">
      <c r="A12" s="2265"/>
      <c r="B12" s="2245"/>
      <c r="C12" s="2245"/>
      <c r="D12" s="2245"/>
      <c r="E12" s="2245"/>
      <c r="F12" s="2245"/>
      <c r="G12" s="2245"/>
      <c r="H12" s="2245"/>
      <c r="I12" s="2245"/>
      <c r="J12" s="2245"/>
      <c r="K12" s="2247"/>
      <c r="L12" s="2267"/>
      <c r="M12" s="2231"/>
      <c r="N12" s="2231"/>
      <c r="O12" s="2232"/>
      <c r="P12" s="2267"/>
      <c r="Q12" s="2231"/>
      <c r="R12" s="2231"/>
      <c r="S12" s="2232"/>
      <c r="T12" s="2267"/>
      <c r="U12" s="2231"/>
      <c r="V12" s="2231"/>
      <c r="W12" s="2232"/>
      <c r="X12" s="2302"/>
      <c r="Y12" s="2303"/>
      <c r="Z12" s="2303"/>
      <c r="AA12" s="2299"/>
      <c r="AB12" s="2300"/>
      <c r="AC12" s="2301"/>
    </row>
    <row r="13" spans="1:36" ht="18" customHeight="1">
      <c r="A13" s="2265"/>
      <c r="B13" s="2245"/>
      <c r="C13" s="2245"/>
      <c r="D13" s="2245"/>
      <c r="E13" s="2245"/>
      <c r="F13" s="2245"/>
      <c r="G13" s="2245"/>
      <c r="H13" s="2245"/>
      <c r="I13" s="2245"/>
      <c r="J13" s="2245"/>
      <c r="K13" s="2247"/>
      <c r="L13" s="2268"/>
      <c r="M13" s="2233"/>
      <c r="N13" s="2233"/>
      <c r="O13" s="2234"/>
      <c r="P13" s="2268"/>
      <c r="Q13" s="2233"/>
      <c r="R13" s="2233"/>
      <c r="S13" s="2234"/>
      <c r="T13" s="2268"/>
      <c r="U13" s="2233"/>
      <c r="V13" s="2233"/>
      <c r="W13" s="2234"/>
      <c r="X13" s="2274" t="s">
        <v>93</v>
      </c>
      <c r="Y13" s="2275"/>
      <c r="Z13" s="2275"/>
      <c r="AA13" s="2276" t="s">
        <v>93</v>
      </c>
      <c r="AB13" s="2275"/>
      <c r="AC13" s="2277"/>
    </row>
    <row r="14" spans="1:36" ht="16.5" customHeight="1">
      <c r="A14" s="2266"/>
      <c r="B14" s="2245"/>
      <c r="C14" s="2245"/>
      <c r="D14" s="2245"/>
      <c r="E14" s="2245"/>
      <c r="F14" s="2245"/>
      <c r="G14" s="2245"/>
      <c r="H14" s="2245"/>
      <c r="I14" s="2245"/>
      <c r="J14" s="2245"/>
      <c r="K14" s="2248"/>
      <c r="L14" s="2269"/>
      <c r="M14" s="2235"/>
      <c r="N14" s="2235"/>
      <c r="O14" s="2236"/>
      <c r="P14" s="2269"/>
      <c r="Q14" s="2235"/>
      <c r="R14" s="2235"/>
      <c r="S14" s="2236"/>
      <c r="T14" s="2269"/>
      <c r="U14" s="2235"/>
      <c r="V14" s="2235"/>
      <c r="W14" s="2236"/>
      <c r="X14" s="2295"/>
      <c r="Y14" s="2296"/>
      <c r="Z14" s="2296"/>
      <c r="AA14" s="2297"/>
      <c r="AB14" s="2296"/>
      <c r="AC14" s="2298"/>
    </row>
    <row r="15" spans="1:36" ht="15" customHeight="1">
      <c r="A15" s="2237" t="s">
        <v>867</v>
      </c>
      <c r="B15" s="2237"/>
      <c r="C15" s="2237"/>
      <c r="D15" s="2237"/>
      <c r="E15" s="2237"/>
      <c r="F15" s="551">
        <v>6</v>
      </c>
      <c r="G15" s="551">
        <v>7</v>
      </c>
      <c r="H15" s="551">
        <v>8</v>
      </c>
      <c r="I15" s="558">
        <v>9</v>
      </c>
      <c r="J15" s="550">
        <v>10</v>
      </c>
      <c r="K15" s="550">
        <v>11</v>
      </c>
      <c r="L15" s="550">
        <v>12</v>
      </c>
      <c r="M15" s="550">
        <v>13</v>
      </c>
      <c r="N15" s="550">
        <v>14</v>
      </c>
      <c r="O15" s="550">
        <v>15</v>
      </c>
      <c r="P15" s="551">
        <v>16</v>
      </c>
      <c r="Q15" s="558">
        <v>17</v>
      </c>
      <c r="R15" s="552">
        <v>18</v>
      </c>
      <c r="S15" s="552">
        <v>19</v>
      </c>
      <c r="T15" s="550">
        <v>20</v>
      </c>
      <c r="U15" s="550">
        <v>21</v>
      </c>
      <c r="V15" s="550">
        <v>22</v>
      </c>
      <c r="W15" s="550">
        <v>23</v>
      </c>
      <c r="X15" s="2255" t="s">
        <v>1671</v>
      </c>
      <c r="Y15" s="2256"/>
      <c r="Z15" s="2256"/>
      <c r="AA15" s="2256"/>
      <c r="AB15" s="2256"/>
      <c r="AC15" s="2257"/>
    </row>
    <row r="16" spans="1:36" ht="15" customHeight="1">
      <c r="A16" s="2242" t="s">
        <v>1672</v>
      </c>
      <c r="B16" s="2242"/>
      <c r="C16" s="2242"/>
      <c r="D16" s="2242"/>
      <c r="E16" s="2242"/>
      <c r="F16" s="127"/>
      <c r="G16" s="127"/>
      <c r="H16" s="555"/>
      <c r="I16" s="128"/>
      <c r="J16" s="127"/>
      <c r="K16" s="127"/>
      <c r="L16" s="127"/>
      <c r="M16" s="127"/>
      <c r="N16" s="127"/>
      <c r="O16" s="127"/>
      <c r="P16" s="152"/>
      <c r="Q16" s="128"/>
      <c r="R16" s="126"/>
      <c r="S16" s="126"/>
      <c r="T16" s="127"/>
      <c r="U16" s="127"/>
      <c r="V16" s="127"/>
      <c r="W16" s="127"/>
      <c r="X16" s="2272" t="s">
        <v>1673</v>
      </c>
      <c r="Y16" s="2273"/>
      <c r="Z16" s="2273"/>
      <c r="AA16" s="2273" t="s">
        <v>1674</v>
      </c>
      <c r="AB16" s="2273"/>
      <c r="AC16" s="2304"/>
    </row>
    <row r="17" spans="1:36" ht="15" customHeight="1">
      <c r="A17" s="2243" t="s">
        <v>1675</v>
      </c>
      <c r="B17" s="2243"/>
      <c r="C17" s="2243"/>
      <c r="D17" s="2243"/>
      <c r="E17" s="2243"/>
      <c r="F17" s="130"/>
      <c r="G17" s="130"/>
      <c r="H17" s="548"/>
      <c r="I17" s="131"/>
      <c r="J17" s="130"/>
      <c r="K17" s="130"/>
      <c r="L17" s="130"/>
      <c r="M17" s="130"/>
      <c r="N17" s="130"/>
      <c r="O17" s="130"/>
      <c r="P17" s="153"/>
      <c r="Q17" s="131"/>
      <c r="R17" s="129"/>
      <c r="S17" s="129"/>
      <c r="T17" s="130"/>
      <c r="U17" s="130"/>
      <c r="V17" s="130"/>
      <c r="W17" s="130"/>
      <c r="X17" s="2302"/>
      <c r="Y17" s="2303"/>
      <c r="Z17" s="2303"/>
      <c r="AA17" s="2299"/>
      <c r="AB17" s="2300"/>
      <c r="AC17" s="2301"/>
    </row>
    <row r="18" spans="1:36" ht="15" customHeight="1">
      <c r="A18" s="2243" t="s">
        <v>1676</v>
      </c>
      <c r="B18" s="2243"/>
      <c r="C18" s="2243"/>
      <c r="D18" s="2243"/>
      <c r="E18" s="2243"/>
      <c r="F18" s="130"/>
      <c r="G18" s="130"/>
      <c r="H18" s="548"/>
      <c r="I18" s="131"/>
      <c r="J18" s="130"/>
      <c r="K18" s="130"/>
      <c r="L18" s="130"/>
      <c r="M18" s="130"/>
      <c r="N18" s="130"/>
      <c r="O18" s="130"/>
      <c r="P18" s="153"/>
      <c r="Q18" s="131"/>
      <c r="R18" s="129"/>
      <c r="S18" s="129"/>
      <c r="T18" s="130"/>
      <c r="U18" s="130"/>
      <c r="V18" s="130"/>
      <c r="W18" s="130"/>
      <c r="X18" s="2274" t="s">
        <v>93</v>
      </c>
      <c r="Y18" s="2275"/>
      <c r="Z18" s="2275"/>
      <c r="AA18" s="2276" t="s">
        <v>93</v>
      </c>
      <c r="AB18" s="2275"/>
      <c r="AC18" s="2277"/>
    </row>
    <row r="19" spans="1:36" ht="15" customHeight="1">
      <c r="A19" s="2271" t="s">
        <v>1677</v>
      </c>
      <c r="B19" s="2271"/>
      <c r="C19" s="2271"/>
      <c r="D19" s="2271"/>
      <c r="E19" s="2271"/>
      <c r="F19" s="133"/>
      <c r="G19" s="133"/>
      <c r="H19" s="146"/>
      <c r="I19" s="134"/>
      <c r="J19" s="133"/>
      <c r="K19" s="133"/>
      <c r="L19" s="133"/>
      <c r="M19" s="133"/>
      <c r="N19" s="133"/>
      <c r="O19" s="133"/>
      <c r="P19" s="154"/>
      <c r="Q19" s="134"/>
      <c r="R19" s="132"/>
      <c r="S19" s="132"/>
      <c r="T19" s="133"/>
      <c r="U19" s="133"/>
      <c r="V19" s="133"/>
      <c r="W19" s="133"/>
      <c r="X19" s="2295"/>
      <c r="Y19" s="2296"/>
      <c r="Z19" s="2296"/>
      <c r="AA19" s="2297"/>
      <c r="AB19" s="2296"/>
      <c r="AC19" s="2298"/>
      <c r="AD19" s="94"/>
      <c r="AE19" s="94"/>
      <c r="AF19" s="94"/>
      <c r="AG19" s="94"/>
      <c r="AJ19" s="94"/>
    </row>
    <row r="20" spans="1:36" ht="5.0999999999999996" customHeight="1" thickBot="1">
      <c r="U20" s="136"/>
      <c r="V20" s="136"/>
      <c r="W20" s="136"/>
      <c r="X20" s="136"/>
      <c r="Y20" s="136"/>
      <c r="Z20" s="136"/>
      <c r="AA20" s="136"/>
      <c r="AB20" s="136"/>
      <c r="AC20" s="136"/>
      <c r="AD20" s="94"/>
      <c r="AE20" s="94"/>
      <c r="AF20" s="94"/>
      <c r="AG20" s="94"/>
      <c r="AH20" s="94"/>
      <c r="AI20" s="94"/>
      <c r="AJ20" s="94"/>
    </row>
    <row r="21" spans="1:36" ht="18" customHeight="1">
      <c r="A21" s="2255" t="s">
        <v>867</v>
      </c>
      <c r="B21" s="2256"/>
      <c r="C21" s="2256"/>
      <c r="D21" s="2257"/>
      <c r="E21" s="2255" t="s">
        <v>1678</v>
      </c>
      <c r="F21" s="2256"/>
      <c r="G21" s="2256"/>
      <c r="H21" s="2257"/>
      <c r="I21" s="2255" t="s">
        <v>1679</v>
      </c>
      <c r="J21" s="2256"/>
      <c r="K21" s="2256"/>
      <c r="L21" s="2256"/>
      <c r="M21" s="2256"/>
      <c r="N21" s="2256"/>
      <c r="O21" s="2256"/>
      <c r="P21" s="2256"/>
      <c r="Q21" s="2256"/>
      <c r="R21" s="2256"/>
      <c r="S21" s="2256"/>
      <c r="T21" s="2256"/>
      <c r="U21" s="2256"/>
      <c r="V21" s="2256"/>
      <c r="W21" s="2256"/>
      <c r="X21" s="2256"/>
      <c r="Y21" s="2256"/>
      <c r="Z21" s="2256"/>
      <c r="AA21" s="2256"/>
      <c r="AB21" s="2256"/>
      <c r="AC21" s="2257"/>
      <c r="AD21" s="94"/>
      <c r="AE21" s="94"/>
      <c r="AF21" s="94"/>
      <c r="AG21" s="94"/>
      <c r="AH21" s="147">
        <v>1</v>
      </c>
      <c r="AI21" s="148"/>
      <c r="AJ21" s="94"/>
    </row>
    <row r="22" spans="1:36" ht="18" customHeight="1">
      <c r="A22" s="2258"/>
      <c r="B22" s="2259"/>
      <c r="C22" s="2259"/>
      <c r="D22" s="2259"/>
      <c r="E22" s="2260"/>
      <c r="F22" s="2260"/>
      <c r="G22" s="2260"/>
      <c r="H22" s="2260"/>
      <c r="I22" s="2261"/>
      <c r="J22" s="2262"/>
      <c r="K22" s="2262"/>
      <c r="L22" s="2262"/>
      <c r="M22" s="2262"/>
      <c r="N22" s="2262"/>
      <c r="O22" s="2262"/>
      <c r="P22" s="2262"/>
      <c r="Q22" s="2262"/>
      <c r="R22" s="2262"/>
      <c r="S22" s="2262"/>
      <c r="T22" s="2262"/>
      <c r="U22" s="2262"/>
      <c r="V22" s="2262"/>
      <c r="W22" s="2262"/>
      <c r="X22" s="2262"/>
      <c r="Y22" s="2262"/>
      <c r="Z22" s="2262"/>
      <c r="AA22" s="2262"/>
      <c r="AB22" s="2262"/>
      <c r="AC22" s="2263"/>
      <c r="AD22" s="94"/>
      <c r="AE22" s="94"/>
      <c r="AF22" s="94"/>
      <c r="AG22" s="94"/>
      <c r="AH22" s="149">
        <v>2</v>
      </c>
      <c r="AI22" s="150"/>
      <c r="AJ22" s="94"/>
    </row>
    <row r="23" spans="1:36" ht="18" customHeight="1">
      <c r="A23" s="2278"/>
      <c r="B23" s="2229"/>
      <c r="C23" s="2229"/>
      <c r="D23" s="2229"/>
      <c r="E23" s="2279"/>
      <c r="F23" s="2279"/>
      <c r="G23" s="2279"/>
      <c r="H23" s="2279"/>
      <c r="I23" s="2214"/>
      <c r="J23" s="2215"/>
      <c r="K23" s="2215"/>
      <c r="L23" s="2215"/>
      <c r="M23" s="2215"/>
      <c r="N23" s="2215"/>
      <c r="O23" s="2215"/>
      <c r="P23" s="2215"/>
      <c r="Q23" s="2215"/>
      <c r="R23" s="2215"/>
      <c r="S23" s="2215"/>
      <c r="T23" s="2215"/>
      <c r="U23" s="2215"/>
      <c r="V23" s="2215"/>
      <c r="W23" s="2215"/>
      <c r="X23" s="2215"/>
      <c r="Y23" s="2215"/>
      <c r="Z23" s="2215"/>
      <c r="AA23" s="2215"/>
      <c r="AB23" s="2215"/>
      <c r="AC23" s="2216"/>
      <c r="AD23" s="94"/>
      <c r="AE23" s="94"/>
      <c r="AF23" s="94"/>
      <c r="AG23" s="94"/>
      <c r="AH23" s="149">
        <v>3</v>
      </c>
      <c r="AI23" s="150"/>
      <c r="AJ23" s="94"/>
    </row>
    <row r="24" spans="1:36" ht="18" customHeight="1">
      <c r="A24" s="2280"/>
      <c r="B24" s="2227"/>
      <c r="C24" s="2227"/>
      <c r="D24" s="2228"/>
      <c r="E24" s="2226"/>
      <c r="F24" s="2227"/>
      <c r="G24" s="2227"/>
      <c r="H24" s="2228"/>
      <c r="I24" s="2214"/>
      <c r="J24" s="2215"/>
      <c r="K24" s="2215"/>
      <c r="L24" s="2215"/>
      <c r="M24" s="2215"/>
      <c r="N24" s="2215"/>
      <c r="O24" s="2215"/>
      <c r="P24" s="2215"/>
      <c r="Q24" s="2215"/>
      <c r="R24" s="2215"/>
      <c r="S24" s="2215"/>
      <c r="T24" s="2215"/>
      <c r="U24" s="2215"/>
      <c r="V24" s="2215"/>
      <c r="W24" s="2215"/>
      <c r="X24" s="2215"/>
      <c r="Y24" s="2215"/>
      <c r="Z24" s="2215"/>
      <c r="AA24" s="2215"/>
      <c r="AB24" s="2215"/>
      <c r="AC24" s="2216"/>
      <c r="AD24" s="94"/>
      <c r="AE24" s="94"/>
      <c r="AF24" s="94"/>
      <c r="AG24" s="94"/>
      <c r="AH24" s="149">
        <v>4</v>
      </c>
      <c r="AI24" s="150"/>
      <c r="AJ24" s="94"/>
    </row>
    <row r="25" spans="1:36" ht="18" customHeight="1">
      <c r="A25" s="2278"/>
      <c r="B25" s="2229"/>
      <c r="C25" s="2229"/>
      <c r="D25" s="2229"/>
      <c r="E25" s="2229"/>
      <c r="F25" s="2229"/>
      <c r="G25" s="2229"/>
      <c r="H25" s="2229"/>
      <c r="I25" s="2214"/>
      <c r="J25" s="2215"/>
      <c r="K25" s="2215"/>
      <c r="L25" s="2215"/>
      <c r="M25" s="2215"/>
      <c r="N25" s="2215"/>
      <c r="O25" s="2215"/>
      <c r="P25" s="2215"/>
      <c r="Q25" s="2215"/>
      <c r="R25" s="2215"/>
      <c r="S25" s="2215"/>
      <c r="T25" s="2215"/>
      <c r="U25" s="2215"/>
      <c r="V25" s="2215"/>
      <c r="W25" s="2215"/>
      <c r="X25" s="2215"/>
      <c r="Y25" s="2215"/>
      <c r="Z25" s="2215"/>
      <c r="AA25" s="2215"/>
      <c r="AB25" s="2215"/>
      <c r="AC25" s="2216"/>
      <c r="AD25" s="52"/>
      <c r="AH25" s="149">
        <v>5</v>
      </c>
      <c r="AI25" s="150"/>
    </row>
    <row r="26" spans="1:36" ht="18" customHeight="1">
      <c r="A26" s="2229"/>
      <c r="B26" s="2229"/>
      <c r="C26" s="2229"/>
      <c r="D26" s="2229"/>
      <c r="E26" s="2229"/>
      <c r="F26" s="2229"/>
      <c r="G26" s="2229"/>
      <c r="H26" s="2229"/>
      <c r="I26" s="2214"/>
      <c r="J26" s="2215"/>
      <c r="K26" s="2215"/>
      <c r="L26" s="2215"/>
      <c r="M26" s="2215"/>
      <c r="N26" s="2215"/>
      <c r="O26" s="2215"/>
      <c r="P26" s="2215"/>
      <c r="Q26" s="2215"/>
      <c r="R26" s="2215"/>
      <c r="S26" s="2215"/>
      <c r="T26" s="2215"/>
      <c r="U26" s="2215"/>
      <c r="V26" s="2215"/>
      <c r="W26" s="2215"/>
      <c r="X26" s="2215"/>
      <c r="Y26" s="2215"/>
      <c r="Z26" s="2215"/>
      <c r="AA26" s="2215"/>
      <c r="AB26" s="2215"/>
      <c r="AC26" s="2216"/>
      <c r="AD26" s="52"/>
      <c r="AH26" s="149">
        <v>6</v>
      </c>
      <c r="AI26" s="150"/>
    </row>
    <row r="27" spans="1:36" ht="18" customHeight="1">
      <c r="A27" s="2278"/>
      <c r="B27" s="2229"/>
      <c r="C27" s="2229"/>
      <c r="D27" s="2229"/>
      <c r="E27" s="2229"/>
      <c r="F27" s="2229"/>
      <c r="G27" s="2229"/>
      <c r="H27" s="2229"/>
      <c r="I27" s="2214"/>
      <c r="J27" s="2215"/>
      <c r="K27" s="2215"/>
      <c r="L27" s="2215"/>
      <c r="M27" s="2215"/>
      <c r="N27" s="2215"/>
      <c r="O27" s="2215"/>
      <c r="P27" s="2215"/>
      <c r="Q27" s="2215"/>
      <c r="R27" s="2215"/>
      <c r="S27" s="2215"/>
      <c r="T27" s="2215"/>
      <c r="U27" s="2215"/>
      <c r="V27" s="2215"/>
      <c r="W27" s="2215"/>
      <c r="X27" s="2215"/>
      <c r="Y27" s="2215"/>
      <c r="Z27" s="2215"/>
      <c r="AA27" s="2215"/>
      <c r="AB27" s="2215"/>
      <c r="AC27" s="2216"/>
      <c r="AD27" s="52"/>
      <c r="AH27" s="149">
        <v>7</v>
      </c>
      <c r="AI27" s="150"/>
    </row>
    <row r="28" spans="1:36" ht="18" customHeight="1">
      <c r="A28" s="2226"/>
      <c r="B28" s="2227"/>
      <c r="C28" s="2227"/>
      <c r="D28" s="2228"/>
      <c r="E28" s="2226"/>
      <c r="F28" s="2227"/>
      <c r="G28" s="2227"/>
      <c r="H28" s="2228"/>
      <c r="I28" s="2214"/>
      <c r="J28" s="2215"/>
      <c r="K28" s="2215"/>
      <c r="L28" s="2215"/>
      <c r="M28" s="2215"/>
      <c r="N28" s="2215"/>
      <c r="O28" s="2215"/>
      <c r="P28" s="2215"/>
      <c r="Q28" s="2215"/>
      <c r="R28" s="2215"/>
      <c r="S28" s="2215"/>
      <c r="T28" s="2215"/>
      <c r="U28" s="2215"/>
      <c r="V28" s="2215"/>
      <c r="W28" s="2215"/>
      <c r="X28" s="2215"/>
      <c r="Y28" s="2215"/>
      <c r="Z28" s="2215"/>
      <c r="AA28" s="2215"/>
      <c r="AB28" s="2215"/>
      <c r="AC28" s="2216"/>
      <c r="AD28" s="52"/>
      <c r="AH28" s="149">
        <v>8</v>
      </c>
      <c r="AI28" s="150"/>
    </row>
    <row r="29" spans="1:36" ht="18" customHeight="1">
      <c r="A29" s="2280"/>
      <c r="B29" s="2227"/>
      <c r="C29" s="2227"/>
      <c r="D29" s="2228"/>
      <c r="E29" s="2226"/>
      <c r="F29" s="2227"/>
      <c r="G29" s="2227"/>
      <c r="H29" s="2228"/>
      <c r="I29" s="2214"/>
      <c r="J29" s="2215"/>
      <c r="K29" s="2215"/>
      <c r="L29" s="2215"/>
      <c r="M29" s="2215"/>
      <c r="N29" s="2215"/>
      <c r="O29" s="2215"/>
      <c r="P29" s="2215"/>
      <c r="Q29" s="2215"/>
      <c r="R29" s="2215"/>
      <c r="S29" s="2215"/>
      <c r="T29" s="2215"/>
      <c r="U29" s="2215"/>
      <c r="V29" s="2215"/>
      <c r="W29" s="2215"/>
      <c r="X29" s="2215"/>
      <c r="Y29" s="2215"/>
      <c r="Z29" s="2215"/>
      <c r="AA29" s="2215"/>
      <c r="AB29" s="2215"/>
      <c r="AC29" s="2216"/>
      <c r="AD29" s="52"/>
      <c r="AH29" s="149">
        <v>9</v>
      </c>
      <c r="AI29" s="150"/>
    </row>
    <row r="30" spans="1:36" ht="18" customHeight="1">
      <c r="A30" s="2229"/>
      <c r="B30" s="2229"/>
      <c r="C30" s="2229"/>
      <c r="D30" s="2229"/>
      <c r="E30" s="2229"/>
      <c r="F30" s="2229"/>
      <c r="G30" s="2229"/>
      <c r="H30" s="2229"/>
      <c r="I30" s="2214"/>
      <c r="J30" s="2215"/>
      <c r="K30" s="2215"/>
      <c r="L30" s="2215"/>
      <c r="M30" s="2215"/>
      <c r="N30" s="2215"/>
      <c r="O30" s="2215"/>
      <c r="P30" s="2215"/>
      <c r="Q30" s="2215"/>
      <c r="R30" s="2215"/>
      <c r="S30" s="2215"/>
      <c r="T30" s="2215"/>
      <c r="U30" s="2215"/>
      <c r="V30" s="2215"/>
      <c r="W30" s="2215"/>
      <c r="X30" s="2215"/>
      <c r="Y30" s="2215"/>
      <c r="Z30" s="2215"/>
      <c r="AA30" s="2215"/>
      <c r="AB30" s="2215"/>
      <c r="AC30" s="2216"/>
      <c r="AD30" s="52"/>
      <c r="AH30" s="149">
        <v>10</v>
      </c>
      <c r="AI30" s="150"/>
    </row>
    <row r="31" spans="1:36" ht="18" customHeight="1">
      <c r="A31" s="2278"/>
      <c r="B31" s="2229"/>
      <c r="C31" s="2229"/>
      <c r="D31" s="2229"/>
      <c r="E31" s="2281"/>
      <c r="F31" s="2282"/>
      <c r="G31" s="2282"/>
      <c r="H31" s="2283"/>
      <c r="I31" s="2214"/>
      <c r="J31" s="2215"/>
      <c r="K31" s="2215"/>
      <c r="L31" s="2215"/>
      <c r="M31" s="2215"/>
      <c r="N31" s="2215"/>
      <c r="O31" s="2215"/>
      <c r="P31" s="2215"/>
      <c r="Q31" s="2215"/>
      <c r="R31" s="2215"/>
      <c r="S31" s="2215"/>
      <c r="T31" s="2215"/>
      <c r="U31" s="2215"/>
      <c r="V31" s="2215"/>
      <c r="W31" s="2215"/>
      <c r="X31" s="2215"/>
      <c r="Y31" s="2215"/>
      <c r="Z31" s="2215"/>
      <c r="AA31" s="2215"/>
      <c r="AB31" s="2215"/>
      <c r="AC31" s="2216"/>
      <c r="AD31" s="52"/>
      <c r="AH31" s="149">
        <v>11</v>
      </c>
      <c r="AI31" s="150"/>
    </row>
    <row r="32" spans="1:36" ht="18" customHeight="1">
      <c r="A32" s="2278"/>
      <c r="B32" s="2229"/>
      <c r="C32" s="2229"/>
      <c r="D32" s="2229"/>
      <c r="E32" s="2229"/>
      <c r="F32" s="2229"/>
      <c r="G32" s="2229"/>
      <c r="H32" s="2229"/>
      <c r="I32" s="2214"/>
      <c r="J32" s="2215"/>
      <c r="K32" s="2215"/>
      <c r="L32" s="2215"/>
      <c r="M32" s="2215"/>
      <c r="N32" s="2215"/>
      <c r="O32" s="2215"/>
      <c r="P32" s="2215"/>
      <c r="Q32" s="2215"/>
      <c r="R32" s="2215"/>
      <c r="S32" s="2215"/>
      <c r="T32" s="2215"/>
      <c r="U32" s="2215"/>
      <c r="V32" s="2215"/>
      <c r="W32" s="2215"/>
      <c r="X32" s="2215"/>
      <c r="Y32" s="2215"/>
      <c r="Z32" s="2215"/>
      <c r="AA32" s="2215"/>
      <c r="AB32" s="2215"/>
      <c r="AC32" s="2216"/>
      <c r="AD32" s="52"/>
      <c r="AH32" s="149">
        <v>12</v>
      </c>
      <c r="AI32" s="150"/>
    </row>
    <row r="33" spans="1:35" ht="18" customHeight="1">
      <c r="A33" s="2229"/>
      <c r="B33" s="2229"/>
      <c r="C33" s="2229"/>
      <c r="D33" s="2229"/>
      <c r="E33" s="2229"/>
      <c r="F33" s="2229"/>
      <c r="G33" s="2229"/>
      <c r="H33" s="2229"/>
      <c r="I33" s="2214"/>
      <c r="J33" s="2215"/>
      <c r="K33" s="2215"/>
      <c r="L33" s="2215"/>
      <c r="M33" s="2215"/>
      <c r="N33" s="2215"/>
      <c r="O33" s="2215"/>
      <c r="P33" s="2215"/>
      <c r="Q33" s="2215"/>
      <c r="R33" s="2215"/>
      <c r="S33" s="2215"/>
      <c r="T33" s="2215"/>
      <c r="U33" s="2215"/>
      <c r="V33" s="2215"/>
      <c r="W33" s="2215"/>
      <c r="X33" s="2215"/>
      <c r="Y33" s="2215"/>
      <c r="Z33" s="2215"/>
      <c r="AA33" s="2215"/>
      <c r="AB33" s="2215"/>
      <c r="AC33" s="2216"/>
      <c r="AD33" s="52"/>
      <c r="AH33" s="149">
        <v>13</v>
      </c>
      <c r="AI33" s="150"/>
    </row>
    <row r="34" spans="1:35" ht="18" customHeight="1">
      <c r="A34" s="2229"/>
      <c r="B34" s="2229"/>
      <c r="C34" s="2229"/>
      <c r="D34" s="2229"/>
      <c r="E34" s="2229"/>
      <c r="F34" s="2229"/>
      <c r="G34" s="2229"/>
      <c r="H34" s="2229"/>
      <c r="I34" s="2214"/>
      <c r="J34" s="2215"/>
      <c r="K34" s="2215"/>
      <c r="L34" s="2215"/>
      <c r="M34" s="2215"/>
      <c r="N34" s="2215"/>
      <c r="O34" s="2215"/>
      <c r="P34" s="2215"/>
      <c r="Q34" s="2215"/>
      <c r="R34" s="2215"/>
      <c r="S34" s="2215"/>
      <c r="T34" s="2215"/>
      <c r="U34" s="2215"/>
      <c r="V34" s="2215"/>
      <c r="W34" s="2215"/>
      <c r="X34" s="2215"/>
      <c r="Y34" s="2215"/>
      <c r="Z34" s="2215"/>
      <c r="AA34" s="2215"/>
      <c r="AB34" s="2215"/>
      <c r="AC34" s="2216"/>
      <c r="AD34" s="52"/>
      <c r="AH34" s="149">
        <v>14</v>
      </c>
      <c r="AI34" s="150"/>
    </row>
    <row r="35" spans="1:35" ht="18" customHeight="1">
      <c r="A35" s="2226"/>
      <c r="B35" s="2227"/>
      <c r="C35" s="2227"/>
      <c r="D35" s="2228"/>
      <c r="E35" s="2226"/>
      <c r="F35" s="2227"/>
      <c r="G35" s="2227"/>
      <c r="H35" s="2228"/>
      <c r="I35" s="2214"/>
      <c r="J35" s="2215"/>
      <c r="K35" s="2215"/>
      <c r="L35" s="2215"/>
      <c r="M35" s="2215"/>
      <c r="N35" s="2215"/>
      <c r="O35" s="2215"/>
      <c r="P35" s="2215"/>
      <c r="Q35" s="2215"/>
      <c r="R35" s="2215"/>
      <c r="S35" s="2215"/>
      <c r="T35" s="2215"/>
      <c r="U35" s="2215"/>
      <c r="V35" s="2215"/>
      <c r="W35" s="2215"/>
      <c r="X35" s="2215"/>
      <c r="Y35" s="2215"/>
      <c r="Z35" s="2215"/>
      <c r="AA35" s="2215"/>
      <c r="AB35" s="2215"/>
      <c r="AC35" s="2216"/>
      <c r="AD35" s="52"/>
      <c r="AH35" s="149">
        <v>15</v>
      </c>
      <c r="AI35" s="150"/>
    </row>
    <row r="36" spans="1:35" ht="18" customHeight="1">
      <c r="A36" s="2229"/>
      <c r="B36" s="2229"/>
      <c r="C36" s="2229"/>
      <c r="D36" s="2229"/>
      <c r="E36" s="2229"/>
      <c r="F36" s="2229"/>
      <c r="G36" s="2229"/>
      <c r="H36" s="2229"/>
      <c r="I36" s="2214"/>
      <c r="J36" s="2215"/>
      <c r="K36" s="2215"/>
      <c r="L36" s="2215"/>
      <c r="M36" s="2215"/>
      <c r="N36" s="2215"/>
      <c r="O36" s="2215"/>
      <c r="P36" s="2215"/>
      <c r="Q36" s="2215"/>
      <c r="R36" s="2215"/>
      <c r="S36" s="2215"/>
      <c r="T36" s="2215"/>
      <c r="U36" s="2215"/>
      <c r="V36" s="2215"/>
      <c r="W36" s="2215"/>
      <c r="X36" s="2215"/>
      <c r="Y36" s="2215"/>
      <c r="Z36" s="2215"/>
      <c r="AA36" s="2215"/>
      <c r="AB36" s="2215"/>
      <c r="AC36" s="2216"/>
      <c r="AD36" s="52"/>
      <c r="AH36" s="149">
        <v>16</v>
      </c>
      <c r="AI36" s="150"/>
    </row>
    <row r="37" spans="1:35" ht="18" customHeight="1">
      <c r="A37" s="2229"/>
      <c r="B37" s="2229"/>
      <c r="C37" s="2229"/>
      <c r="D37" s="2229"/>
      <c r="E37" s="2229"/>
      <c r="F37" s="2229"/>
      <c r="G37" s="2229"/>
      <c r="H37" s="2229"/>
      <c r="I37" s="2214"/>
      <c r="J37" s="2215"/>
      <c r="K37" s="2215"/>
      <c r="L37" s="2215"/>
      <c r="M37" s="2215"/>
      <c r="N37" s="2215"/>
      <c r="O37" s="2215"/>
      <c r="P37" s="2215"/>
      <c r="Q37" s="2215"/>
      <c r="R37" s="2215"/>
      <c r="S37" s="2215"/>
      <c r="T37" s="2215"/>
      <c r="U37" s="2215"/>
      <c r="V37" s="2215"/>
      <c r="W37" s="2215"/>
      <c r="X37" s="2215"/>
      <c r="Y37" s="2215"/>
      <c r="Z37" s="2215"/>
      <c r="AA37" s="2215"/>
      <c r="AB37" s="2215"/>
      <c r="AC37" s="2216"/>
      <c r="AD37" s="52"/>
      <c r="AH37" s="149">
        <v>17</v>
      </c>
      <c r="AI37" s="150"/>
    </row>
    <row r="38" spans="1:35" ht="18" customHeight="1">
      <c r="A38" s="2229"/>
      <c r="B38" s="2229"/>
      <c r="C38" s="2229"/>
      <c r="D38" s="2229"/>
      <c r="E38" s="2229"/>
      <c r="F38" s="2229"/>
      <c r="G38" s="2229"/>
      <c r="H38" s="2229"/>
      <c r="I38" s="2214"/>
      <c r="J38" s="2215"/>
      <c r="K38" s="2215"/>
      <c r="L38" s="2215"/>
      <c r="M38" s="2215"/>
      <c r="N38" s="2215"/>
      <c r="O38" s="2215"/>
      <c r="P38" s="2215"/>
      <c r="Q38" s="2215"/>
      <c r="R38" s="2215"/>
      <c r="S38" s="2215"/>
      <c r="T38" s="2215"/>
      <c r="U38" s="2215"/>
      <c r="V38" s="2215"/>
      <c r="W38" s="2215"/>
      <c r="X38" s="2215"/>
      <c r="Y38" s="2215"/>
      <c r="Z38" s="2215"/>
      <c r="AA38" s="2215"/>
      <c r="AB38" s="2215"/>
      <c r="AC38" s="2216"/>
      <c r="AD38" s="52"/>
      <c r="AH38" s="149">
        <v>18</v>
      </c>
      <c r="AI38" s="150"/>
    </row>
    <row r="39" spans="1:35" ht="18" customHeight="1">
      <c r="A39" s="2226"/>
      <c r="B39" s="2227"/>
      <c r="C39" s="2227"/>
      <c r="D39" s="2228"/>
      <c r="E39" s="2226"/>
      <c r="F39" s="2227"/>
      <c r="G39" s="2227"/>
      <c r="H39" s="2228"/>
      <c r="I39" s="2214"/>
      <c r="J39" s="2215"/>
      <c r="K39" s="2215"/>
      <c r="L39" s="2215"/>
      <c r="M39" s="2215"/>
      <c r="N39" s="2215"/>
      <c r="O39" s="2215"/>
      <c r="P39" s="2215"/>
      <c r="Q39" s="2215"/>
      <c r="R39" s="2215"/>
      <c r="S39" s="2215"/>
      <c r="T39" s="2215"/>
      <c r="U39" s="2215"/>
      <c r="V39" s="2215"/>
      <c r="W39" s="2215"/>
      <c r="X39" s="2215"/>
      <c r="Y39" s="2215"/>
      <c r="Z39" s="2215"/>
      <c r="AA39" s="2215"/>
      <c r="AB39" s="2215"/>
      <c r="AC39" s="2216"/>
      <c r="AD39" s="52"/>
      <c r="AH39" s="149">
        <v>19</v>
      </c>
      <c r="AI39" s="150"/>
    </row>
    <row r="40" spans="1:35" ht="18" customHeight="1">
      <c r="A40" s="2226"/>
      <c r="B40" s="2227"/>
      <c r="C40" s="2227"/>
      <c r="D40" s="2228"/>
      <c r="E40" s="2226"/>
      <c r="F40" s="2227"/>
      <c r="G40" s="2227"/>
      <c r="H40" s="2228"/>
      <c r="I40" s="2214"/>
      <c r="J40" s="2215"/>
      <c r="K40" s="2215"/>
      <c r="L40" s="2215"/>
      <c r="M40" s="2215"/>
      <c r="N40" s="2215"/>
      <c r="O40" s="2215"/>
      <c r="P40" s="2215"/>
      <c r="Q40" s="2215"/>
      <c r="R40" s="2215"/>
      <c r="S40" s="2215"/>
      <c r="T40" s="2215"/>
      <c r="U40" s="2215"/>
      <c r="V40" s="2215"/>
      <c r="W40" s="2215"/>
      <c r="X40" s="2215"/>
      <c r="Y40" s="2215"/>
      <c r="Z40" s="2215"/>
      <c r="AA40" s="2215"/>
      <c r="AB40" s="2215"/>
      <c r="AC40" s="2216"/>
      <c r="AD40" s="52"/>
      <c r="AH40" s="149">
        <v>20</v>
      </c>
      <c r="AI40" s="150"/>
    </row>
    <row r="41" spans="1:35" ht="18" customHeight="1">
      <c r="A41" s="2229"/>
      <c r="B41" s="2229"/>
      <c r="C41" s="2229"/>
      <c r="D41" s="2229"/>
      <c r="E41" s="2229"/>
      <c r="F41" s="2229"/>
      <c r="G41" s="2229"/>
      <c r="H41" s="2229"/>
      <c r="I41" s="2214"/>
      <c r="J41" s="2215"/>
      <c r="K41" s="2215"/>
      <c r="L41" s="2215"/>
      <c r="M41" s="2215"/>
      <c r="N41" s="2215"/>
      <c r="O41" s="2215"/>
      <c r="P41" s="2215"/>
      <c r="Q41" s="2215"/>
      <c r="R41" s="2215"/>
      <c r="S41" s="2215"/>
      <c r="T41" s="2215"/>
      <c r="U41" s="2215"/>
      <c r="V41" s="2215"/>
      <c r="W41" s="2215"/>
      <c r="X41" s="2215"/>
      <c r="Y41" s="2215"/>
      <c r="Z41" s="2215"/>
      <c r="AA41" s="2215"/>
      <c r="AB41" s="2215"/>
      <c r="AC41" s="2216"/>
      <c r="AD41" s="52"/>
      <c r="AH41" s="149">
        <v>21</v>
      </c>
      <c r="AI41" s="150"/>
    </row>
    <row r="42" spans="1:35" ht="18" customHeight="1">
      <c r="A42" s="2229"/>
      <c r="B42" s="2229"/>
      <c r="C42" s="2229"/>
      <c r="D42" s="2229"/>
      <c r="E42" s="2229"/>
      <c r="F42" s="2229"/>
      <c r="G42" s="2229"/>
      <c r="H42" s="2229"/>
      <c r="I42" s="2214"/>
      <c r="J42" s="2215"/>
      <c r="K42" s="2215"/>
      <c r="L42" s="2215"/>
      <c r="M42" s="2215"/>
      <c r="N42" s="2215"/>
      <c r="O42" s="2215"/>
      <c r="P42" s="2215"/>
      <c r="Q42" s="2215"/>
      <c r="R42" s="2215"/>
      <c r="S42" s="2215"/>
      <c r="T42" s="2215"/>
      <c r="U42" s="2215"/>
      <c r="V42" s="2215"/>
      <c r="W42" s="2215"/>
      <c r="X42" s="2215"/>
      <c r="Y42" s="2215"/>
      <c r="Z42" s="2215"/>
      <c r="AA42" s="2215"/>
      <c r="AB42" s="2215"/>
      <c r="AC42" s="2216"/>
      <c r="AD42" s="52"/>
      <c r="AH42" s="149">
        <v>22</v>
      </c>
      <c r="AI42" s="150"/>
    </row>
    <row r="43" spans="1:35" ht="18" customHeight="1">
      <c r="A43" s="2229"/>
      <c r="B43" s="2229"/>
      <c r="C43" s="2229"/>
      <c r="D43" s="2229"/>
      <c r="E43" s="2229"/>
      <c r="F43" s="2229"/>
      <c r="G43" s="2229"/>
      <c r="H43" s="2229"/>
      <c r="I43" s="2214"/>
      <c r="J43" s="2215"/>
      <c r="K43" s="2215"/>
      <c r="L43" s="2215"/>
      <c r="M43" s="2215"/>
      <c r="N43" s="2215"/>
      <c r="O43" s="2215"/>
      <c r="P43" s="2215"/>
      <c r="Q43" s="2215"/>
      <c r="R43" s="2215"/>
      <c r="S43" s="2215"/>
      <c r="T43" s="2215"/>
      <c r="U43" s="2215"/>
      <c r="V43" s="2215"/>
      <c r="W43" s="2215"/>
      <c r="X43" s="2215"/>
      <c r="Y43" s="2215"/>
      <c r="Z43" s="2215"/>
      <c r="AA43" s="2215"/>
      <c r="AB43" s="2215"/>
      <c r="AC43" s="2216"/>
      <c r="AD43" s="52"/>
      <c r="AH43" s="149">
        <v>23</v>
      </c>
      <c r="AI43" s="150"/>
    </row>
    <row r="44" spans="1:35" ht="18" customHeight="1">
      <c r="A44" s="2229"/>
      <c r="B44" s="2229"/>
      <c r="C44" s="2229"/>
      <c r="D44" s="2229"/>
      <c r="E44" s="2229"/>
      <c r="F44" s="2229"/>
      <c r="G44" s="2229"/>
      <c r="H44" s="2229"/>
      <c r="I44" s="2214"/>
      <c r="J44" s="2215"/>
      <c r="K44" s="2215"/>
      <c r="L44" s="2215"/>
      <c r="M44" s="2215"/>
      <c r="N44" s="2215"/>
      <c r="O44" s="2215"/>
      <c r="P44" s="2215"/>
      <c r="Q44" s="2215"/>
      <c r="R44" s="2215"/>
      <c r="S44" s="2215"/>
      <c r="T44" s="2215"/>
      <c r="U44" s="2215"/>
      <c r="V44" s="2215"/>
      <c r="W44" s="2215"/>
      <c r="X44" s="2215"/>
      <c r="Y44" s="2215"/>
      <c r="Z44" s="2215"/>
      <c r="AA44" s="2215"/>
      <c r="AB44" s="2215"/>
      <c r="AC44" s="2216"/>
      <c r="AD44" s="52"/>
      <c r="AH44" s="149">
        <v>24</v>
      </c>
      <c r="AI44" s="150"/>
    </row>
    <row r="45" spans="1:35" ht="18" customHeight="1">
      <c r="A45" s="2229"/>
      <c r="B45" s="2229"/>
      <c r="C45" s="2229"/>
      <c r="D45" s="2229"/>
      <c r="E45" s="2229"/>
      <c r="F45" s="2229"/>
      <c r="G45" s="2229"/>
      <c r="H45" s="2229"/>
      <c r="I45" s="2214"/>
      <c r="J45" s="2215"/>
      <c r="K45" s="2215"/>
      <c r="L45" s="2215"/>
      <c r="M45" s="2215"/>
      <c r="N45" s="2215"/>
      <c r="O45" s="2215"/>
      <c r="P45" s="2215"/>
      <c r="Q45" s="2215"/>
      <c r="R45" s="2215"/>
      <c r="S45" s="2215"/>
      <c r="T45" s="2215"/>
      <c r="U45" s="2215"/>
      <c r="V45" s="2215"/>
      <c r="W45" s="2215"/>
      <c r="X45" s="2215"/>
      <c r="Y45" s="2215"/>
      <c r="Z45" s="2215"/>
      <c r="AA45" s="2215"/>
      <c r="AB45" s="2215"/>
      <c r="AC45" s="2216"/>
      <c r="AD45" s="52"/>
      <c r="AH45" s="149">
        <v>25</v>
      </c>
      <c r="AI45" s="150"/>
    </row>
    <row r="46" spans="1:35" ht="18" customHeight="1">
      <c r="A46" s="2229"/>
      <c r="B46" s="2229"/>
      <c r="C46" s="2229"/>
      <c r="D46" s="2229"/>
      <c r="E46" s="2229"/>
      <c r="F46" s="2229"/>
      <c r="G46" s="2229"/>
      <c r="H46" s="2229"/>
      <c r="I46" s="2214"/>
      <c r="J46" s="2215"/>
      <c r="K46" s="2215"/>
      <c r="L46" s="2215"/>
      <c r="M46" s="2215"/>
      <c r="N46" s="2215"/>
      <c r="O46" s="2215"/>
      <c r="P46" s="2215"/>
      <c r="Q46" s="2215"/>
      <c r="R46" s="2215"/>
      <c r="S46" s="2215"/>
      <c r="T46" s="2215"/>
      <c r="U46" s="2215"/>
      <c r="V46" s="2215"/>
      <c r="W46" s="2215"/>
      <c r="X46" s="2215"/>
      <c r="Y46" s="2215"/>
      <c r="Z46" s="2215"/>
      <c r="AA46" s="2215"/>
      <c r="AB46" s="2215"/>
      <c r="AC46" s="2216"/>
      <c r="AD46" s="52"/>
      <c r="AH46" s="149">
        <v>26</v>
      </c>
      <c r="AI46" s="150"/>
    </row>
    <row r="47" spans="1:35" ht="18" customHeight="1">
      <c r="A47" s="2229"/>
      <c r="B47" s="2229"/>
      <c r="C47" s="2229"/>
      <c r="D47" s="2229"/>
      <c r="E47" s="2229"/>
      <c r="F47" s="2229"/>
      <c r="G47" s="2229"/>
      <c r="H47" s="2229"/>
      <c r="I47" s="2214"/>
      <c r="J47" s="2215"/>
      <c r="K47" s="2215"/>
      <c r="L47" s="2215"/>
      <c r="M47" s="2215"/>
      <c r="N47" s="2215"/>
      <c r="O47" s="2215"/>
      <c r="P47" s="2215"/>
      <c r="Q47" s="2215"/>
      <c r="R47" s="2215"/>
      <c r="S47" s="2215"/>
      <c r="T47" s="2215"/>
      <c r="U47" s="2215"/>
      <c r="V47" s="2215"/>
      <c r="W47" s="2215"/>
      <c r="X47" s="2215"/>
      <c r="Y47" s="2215"/>
      <c r="Z47" s="2215"/>
      <c r="AA47" s="2215"/>
      <c r="AB47" s="2215"/>
      <c r="AC47" s="2216"/>
      <c r="AD47" s="52"/>
      <c r="AH47" s="149">
        <v>27</v>
      </c>
      <c r="AI47" s="150"/>
    </row>
    <row r="48" spans="1:35" ht="18" customHeight="1">
      <c r="A48" s="2226"/>
      <c r="B48" s="2227"/>
      <c r="C48" s="2227"/>
      <c r="D48" s="2228"/>
      <c r="E48" s="2226"/>
      <c r="F48" s="2227"/>
      <c r="G48" s="2227"/>
      <c r="H48" s="2228"/>
      <c r="I48" s="2214"/>
      <c r="J48" s="2215"/>
      <c r="K48" s="2215"/>
      <c r="L48" s="2215"/>
      <c r="M48" s="2215"/>
      <c r="N48" s="2215"/>
      <c r="O48" s="2215"/>
      <c r="P48" s="2215"/>
      <c r="Q48" s="2215"/>
      <c r="R48" s="2215"/>
      <c r="S48" s="2215"/>
      <c r="T48" s="2215"/>
      <c r="U48" s="2215"/>
      <c r="V48" s="2215"/>
      <c r="W48" s="2215"/>
      <c r="X48" s="2215"/>
      <c r="Y48" s="2215"/>
      <c r="Z48" s="2215"/>
      <c r="AA48" s="2215"/>
      <c r="AB48" s="2215"/>
      <c r="AC48" s="2216"/>
      <c r="AD48" s="52"/>
      <c r="AH48" s="149">
        <v>28</v>
      </c>
      <c r="AI48" s="150"/>
    </row>
    <row r="49" spans="1:35" ht="18" customHeight="1">
      <c r="A49" s="2226"/>
      <c r="B49" s="2227"/>
      <c r="C49" s="2227"/>
      <c r="D49" s="2228"/>
      <c r="E49" s="2226"/>
      <c r="F49" s="2227"/>
      <c r="G49" s="2227"/>
      <c r="H49" s="2228"/>
      <c r="I49" s="2214"/>
      <c r="J49" s="2215"/>
      <c r="K49" s="2215"/>
      <c r="L49" s="2215"/>
      <c r="M49" s="2215"/>
      <c r="N49" s="2215"/>
      <c r="O49" s="2215"/>
      <c r="P49" s="2215"/>
      <c r="Q49" s="2215"/>
      <c r="R49" s="2215"/>
      <c r="S49" s="2215"/>
      <c r="T49" s="2215"/>
      <c r="U49" s="2215"/>
      <c r="V49" s="2215"/>
      <c r="W49" s="2215"/>
      <c r="X49" s="2215"/>
      <c r="Y49" s="2215"/>
      <c r="Z49" s="2215"/>
      <c r="AA49" s="2215"/>
      <c r="AB49" s="2215"/>
      <c r="AC49" s="2216"/>
      <c r="AD49" s="52"/>
      <c r="AH49" s="149">
        <v>29</v>
      </c>
      <c r="AI49" s="150"/>
    </row>
    <row r="50" spans="1:35" ht="18" customHeight="1">
      <c r="A50" s="2229"/>
      <c r="B50" s="2229"/>
      <c r="C50" s="2229"/>
      <c r="D50" s="2229"/>
      <c r="E50" s="2229"/>
      <c r="F50" s="2229"/>
      <c r="G50" s="2229"/>
      <c r="H50" s="2229"/>
      <c r="I50" s="2214"/>
      <c r="J50" s="2215"/>
      <c r="K50" s="2215"/>
      <c r="L50" s="2215"/>
      <c r="M50" s="2215"/>
      <c r="N50" s="2215"/>
      <c r="O50" s="2215"/>
      <c r="P50" s="2215"/>
      <c r="Q50" s="2215"/>
      <c r="R50" s="2215"/>
      <c r="S50" s="2215"/>
      <c r="T50" s="2215"/>
      <c r="U50" s="2215"/>
      <c r="V50" s="2215"/>
      <c r="W50" s="2215"/>
      <c r="X50" s="2215"/>
      <c r="Y50" s="2215"/>
      <c r="Z50" s="2215"/>
      <c r="AA50" s="2215"/>
      <c r="AB50" s="2215"/>
      <c r="AC50" s="2216"/>
      <c r="AD50" s="52"/>
      <c r="AH50" s="149">
        <v>30</v>
      </c>
      <c r="AI50" s="150"/>
    </row>
    <row r="51" spans="1:35" ht="18" customHeight="1">
      <c r="A51" s="2294"/>
      <c r="B51" s="2294"/>
      <c r="C51" s="2294"/>
      <c r="D51" s="2294"/>
      <c r="E51" s="2294"/>
      <c r="F51" s="2294"/>
      <c r="G51" s="2294"/>
      <c r="H51" s="2294"/>
      <c r="I51" s="2217"/>
      <c r="J51" s="2218"/>
      <c r="K51" s="2218"/>
      <c r="L51" s="2218"/>
      <c r="M51" s="2218"/>
      <c r="N51" s="2218"/>
      <c r="O51" s="2218"/>
      <c r="P51" s="2218"/>
      <c r="Q51" s="2218"/>
      <c r="R51" s="2218"/>
      <c r="S51" s="2218"/>
      <c r="T51" s="2218"/>
      <c r="U51" s="2218"/>
      <c r="V51" s="2218"/>
      <c r="W51" s="2218"/>
      <c r="X51" s="2218"/>
      <c r="Y51" s="2218"/>
      <c r="Z51" s="2218"/>
      <c r="AA51" s="2218"/>
      <c r="AB51" s="2218"/>
      <c r="AC51" s="2219"/>
      <c r="AD51" s="52"/>
      <c r="AH51" s="149">
        <v>31</v>
      </c>
      <c r="AI51" s="150"/>
    </row>
    <row r="52" spans="1:35" ht="18" customHeight="1">
      <c r="A52" s="214"/>
      <c r="B52" s="214"/>
      <c r="C52" s="214"/>
      <c r="D52" s="214"/>
      <c r="E52" s="214"/>
      <c r="F52" s="214"/>
      <c r="G52" s="214"/>
      <c r="H52" s="214"/>
      <c r="I52" s="214"/>
      <c r="J52" s="214"/>
      <c r="K52" s="214"/>
      <c r="L52" s="214"/>
      <c r="M52" s="2220" t="str">
        <f>"【"&amp;【マスター】!C7&amp;"】"</f>
        <v>【デイサービスさくら亭】</v>
      </c>
      <c r="N52" s="2220"/>
      <c r="O52" s="2220"/>
      <c r="P52" s="2220"/>
      <c r="Q52" s="2220"/>
      <c r="R52" s="2220"/>
      <c r="S52" s="2220"/>
      <c r="T52" s="2220"/>
      <c r="U52" s="2220"/>
      <c r="V52" s="2221"/>
      <c r="W52" s="2224" t="s">
        <v>1680</v>
      </c>
      <c r="X52" s="2224"/>
      <c r="Y52" s="2224"/>
      <c r="Z52" s="2224"/>
      <c r="AA52" s="2224"/>
      <c r="AB52" s="2224"/>
      <c r="AC52" s="2224"/>
      <c r="AD52" s="52"/>
      <c r="AH52" s="149">
        <v>32</v>
      </c>
      <c r="AI52" s="150"/>
    </row>
    <row r="53" spans="1:35" ht="18" customHeight="1">
      <c r="M53" s="2222"/>
      <c r="N53" s="2222"/>
      <c r="O53" s="2222"/>
      <c r="P53" s="2222"/>
      <c r="Q53" s="2222"/>
      <c r="R53" s="2222"/>
      <c r="S53" s="2222"/>
      <c r="T53" s="2222"/>
      <c r="U53" s="2222"/>
      <c r="V53" s="2223"/>
      <c r="W53" s="2225"/>
      <c r="X53" s="2225"/>
      <c r="Y53" s="2225"/>
      <c r="Z53" s="2225"/>
      <c r="AA53" s="2225"/>
      <c r="AB53" s="2225"/>
      <c r="AC53" s="2225"/>
      <c r="AD53" s="52"/>
      <c r="AH53" s="149">
        <v>33</v>
      </c>
      <c r="AI53" s="150"/>
    </row>
    <row r="54" spans="1:35" ht="18" customHeight="1">
      <c r="K54" s="186"/>
      <c r="L54" s="186"/>
      <c r="M54" s="186"/>
      <c r="N54" s="186"/>
      <c r="O54" s="186"/>
      <c r="P54" s="186"/>
      <c r="Q54" s="186"/>
      <c r="R54" s="186"/>
      <c r="S54" s="186"/>
      <c r="T54" s="186"/>
      <c r="U54" s="186"/>
      <c r="V54" s="187"/>
      <c r="W54" s="2225"/>
      <c r="X54" s="2225"/>
      <c r="Y54" s="2225"/>
      <c r="Z54" s="2225"/>
      <c r="AA54" s="2225"/>
      <c r="AB54" s="2225"/>
      <c r="AC54" s="2225"/>
      <c r="AD54" s="52"/>
      <c r="AH54" s="149">
        <v>34</v>
      </c>
      <c r="AI54" s="150"/>
    </row>
    <row r="55" spans="1:35" ht="18" customHeight="1">
      <c r="AD55" s="52"/>
      <c r="AH55" s="149">
        <v>35</v>
      </c>
      <c r="AI55" s="150"/>
    </row>
    <row r="56" spans="1:35" ht="18" customHeight="1">
      <c r="AH56" s="149">
        <v>36</v>
      </c>
      <c r="AI56" s="150"/>
    </row>
    <row r="57" spans="1:35" ht="18" customHeight="1">
      <c r="AH57" s="149">
        <v>37</v>
      </c>
      <c r="AI57" s="150"/>
    </row>
    <row r="58" spans="1:35" ht="18" customHeight="1">
      <c r="AH58" s="149">
        <v>38</v>
      </c>
      <c r="AI58" s="150"/>
    </row>
    <row r="59" spans="1:35" ht="18" customHeight="1">
      <c r="AH59" s="149">
        <v>39</v>
      </c>
      <c r="AI59" s="150"/>
    </row>
    <row r="60" spans="1:35" ht="18" customHeight="1" thickBot="1">
      <c r="AH60" s="151">
        <v>40</v>
      </c>
      <c r="AI60" s="125"/>
    </row>
    <row r="61" spans="1:35" ht="18" customHeight="1"/>
    <row r="62" spans="1:35" ht="18" customHeight="1"/>
    <row r="63" spans="1:35" ht="18" customHeight="1"/>
    <row r="64" spans="1:35" ht="18" customHeight="1"/>
    <row r="65" ht="18" customHeight="1"/>
    <row r="66" ht="18" customHeight="1"/>
  </sheetData>
  <sheetProtection selectLockedCells="1"/>
  <mergeCells count="174">
    <mergeCell ref="A5:C5"/>
    <mergeCell ref="D5:E5"/>
    <mergeCell ref="K5:M5"/>
    <mergeCell ref="R6:AC6"/>
    <mergeCell ref="A6:F6"/>
    <mergeCell ref="G6:K6"/>
    <mergeCell ref="L6:Q6"/>
    <mergeCell ref="R7:AC7"/>
    <mergeCell ref="A8:B8"/>
    <mergeCell ref="C8:E8"/>
    <mergeCell ref="L8:M8"/>
    <mergeCell ref="N8:P8"/>
    <mergeCell ref="R8:AC8"/>
    <mergeCell ref="G5:J5"/>
    <mergeCell ref="N5:O5"/>
    <mergeCell ref="P5:U5"/>
    <mergeCell ref="V5:W5"/>
    <mergeCell ref="X5:AC5"/>
    <mergeCell ref="A7:B7"/>
    <mergeCell ref="C7:F7"/>
    <mergeCell ref="G7:K7"/>
    <mergeCell ref="L7:M7"/>
    <mergeCell ref="N7:Q7"/>
    <mergeCell ref="X19:Z19"/>
    <mergeCell ref="AA19:AC19"/>
    <mergeCell ref="AA17:AC17"/>
    <mergeCell ref="X17:Z17"/>
    <mergeCell ref="X12:Z12"/>
    <mergeCell ref="AA12:AC12"/>
    <mergeCell ref="X13:Z13"/>
    <mergeCell ref="AA13:AC13"/>
    <mergeCell ref="X14:Z14"/>
    <mergeCell ref="AA14:AC14"/>
    <mergeCell ref="X15:AC15"/>
    <mergeCell ref="AA16:AC16"/>
    <mergeCell ref="A9:B9"/>
    <mergeCell ref="C9:E9"/>
    <mergeCell ref="G9:K9"/>
    <mergeCell ref="L9:M9"/>
    <mergeCell ref="N9:P9"/>
    <mergeCell ref="R9:AC9"/>
    <mergeCell ref="AE2:AF2"/>
    <mergeCell ref="AE5:AE6"/>
    <mergeCell ref="A51:D51"/>
    <mergeCell ref="E51:H51"/>
    <mergeCell ref="A48:D48"/>
    <mergeCell ref="E48:H48"/>
    <mergeCell ref="A47:D47"/>
    <mergeCell ref="E47:H47"/>
    <mergeCell ref="A45:D45"/>
    <mergeCell ref="E45:H45"/>
    <mergeCell ref="A43:D43"/>
    <mergeCell ref="E43:H43"/>
    <mergeCell ref="A46:D46"/>
    <mergeCell ref="E46:H46"/>
    <mergeCell ref="A44:D44"/>
    <mergeCell ref="E44:H44"/>
    <mergeCell ref="A41:D41"/>
    <mergeCell ref="V11:W11"/>
    <mergeCell ref="P12:Q14"/>
    <mergeCell ref="R12:S14"/>
    <mergeCell ref="E41:H41"/>
    <mergeCell ref="A42:D42"/>
    <mergeCell ref="E42:H42"/>
    <mergeCell ref="A39:D39"/>
    <mergeCell ref="E39:H39"/>
    <mergeCell ref="A40:D40"/>
    <mergeCell ref="E40:H40"/>
    <mergeCell ref="I39:AC39"/>
    <mergeCell ref="I40:AC40"/>
    <mergeCell ref="I41:AC41"/>
    <mergeCell ref="I42:AC42"/>
    <mergeCell ref="A37:D37"/>
    <mergeCell ref="E37:H37"/>
    <mergeCell ref="A38:D38"/>
    <mergeCell ref="E38:H38"/>
    <mergeCell ref="A35:D35"/>
    <mergeCell ref="E35:H35"/>
    <mergeCell ref="A36:D36"/>
    <mergeCell ref="E36:H36"/>
    <mergeCell ref="I35:AC35"/>
    <mergeCell ref="I36:AC36"/>
    <mergeCell ref="I37:AC37"/>
    <mergeCell ref="I38:AC38"/>
    <mergeCell ref="I28:AC28"/>
    <mergeCell ref="I29:AC29"/>
    <mergeCell ref="I30:AC30"/>
    <mergeCell ref="A33:D33"/>
    <mergeCell ref="E33:H33"/>
    <mergeCell ref="A34:D34"/>
    <mergeCell ref="E34:H34"/>
    <mergeCell ref="A31:D31"/>
    <mergeCell ref="E31:H31"/>
    <mergeCell ref="A32:D32"/>
    <mergeCell ref="E32:H32"/>
    <mergeCell ref="I31:AC31"/>
    <mergeCell ref="I32:AC32"/>
    <mergeCell ref="I33:AC33"/>
    <mergeCell ref="I34:AC34"/>
    <mergeCell ref="A26:D26"/>
    <mergeCell ref="E26:H26"/>
    <mergeCell ref="A23:D23"/>
    <mergeCell ref="E23:H23"/>
    <mergeCell ref="A24:D24"/>
    <mergeCell ref="E24:H24"/>
    <mergeCell ref="A29:D29"/>
    <mergeCell ref="E29:H29"/>
    <mergeCell ref="A30:D30"/>
    <mergeCell ref="E30:H30"/>
    <mergeCell ref="A27:D27"/>
    <mergeCell ref="E27:H27"/>
    <mergeCell ref="A28:D28"/>
    <mergeCell ref="E28:H28"/>
    <mergeCell ref="A25:D25"/>
    <mergeCell ref="E25:H25"/>
    <mergeCell ref="P2:R3"/>
    <mergeCell ref="I23:AC23"/>
    <mergeCell ref="I24:AC24"/>
    <mergeCell ref="A21:D21"/>
    <mergeCell ref="E21:H21"/>
    <mergeCell ref="A22:D22"/>
    <mergeCell ref="E22:H22"/>
    <mergeCell ref="I21:AC21"/>
    <mergeCell ref="I22:AC22"/>
    <mergeCell ref="A11:A14"/>
    <mergeCell ref="B11:D11"/>
    <mergeCell ref="E11:G11"/>
    <mergeCell ref="T12:U14"/>
    <mergeCell ref="N11:O11"/>
    <mergeCell ref="L12:M14"/>
    <mergeCell ref="A18:E18"/>
    <mergeCell ref="A19:E19"/>
    <mergeCell ref="N12:O14"/>
    <mergeCell ref="P11:Q11"/>
    <mergeCell ref="R11:S11"/>
    <mergeCell ref="T11:U11"/>
    <mergeCell ref="X16:Z16"/>
    <mergeCell ref="X18:Z18"/>
    <mergeCell ref="AA18:AC18"/>
    <mergeCell ref="A2:H3"/>
    <mergeCell ref="I43:AC43"/>
    <mergeCell ref="I44:AC44"/>
    <mergeCell ref="I45:AC45"/>
    <mergeCell ref="I46:AC46"/>
    <mergeCell ref="I47:AC47"/>
    <mergeCell ref="V12:W14"/>
    <mergeCell ref="X11:AC11"/>
    <mergeCell ref="I26:AC26"/>
    <mergeCell ref="I27:AC27"/>
    <mergeCell ref="V2:AB3"/>
    <mergeCell ref="AC2:AC3"/>
    <mergeCell ref="A15:E15"/>
    <mergeCell ref="A16:E16"/>
    <mergeCell ref="A17:E17"/>
    <mergeCell ref="H11:J11"/>
    <mergeCell ref="B12:D14"/>
    <mergeCell ref="E12:G14"/>
    <mergeCell ref="H12:J14"/>
    <mergeCell ref="K11:K14"/>
    <mergeCell ref="L11:M11"/>
    <mergeCell ref="I25:AC25"/>
    <mergeCell ref="I2:O3"/>
    <mergeCell ref="T2:U3"/>
    <mergeCell ref="I48:AC48"/>
    <mergeCell ref="I49:AC49"/>
    <mergeCell ref="I50:AC50"/>
    <mergeCell ref="I51:AC51"/>
    <mergeCell ref="M52:V53"/>
    <mergeCell ref="W52:AA54"/>
    <mergeCell ref="AB52:AC54"/>
    <mergeCell ref="A49:D49"/>
    <mergeCell ref="E49:H49"/>
    <mergeCell ref="A50:D50"/>
    <mergeCell ref="E50:H50"/>
  </mergeCells>
  <phoneticPr fontId="16"/>
  <dataValidations count="4">
    <dataValidation type="list" allowBlank="1" showInputMessage="1" showErrorMessage="1" sqref="AH6" xr:uid="{00000000-0002-0000-1700-000000000000}">
      <formula1>$AH$21:$AH$51</formula1>
    </dataValidation>
    <dataValidation type="list" allowBlank="1" showInputMessage="1" showErrorMessage="1" sqref="AG6" xr:uid="{00000000-0002-0000-1700-000001000000}">
      <formula1>$AH$21:$AH$32</formula1>
    </dataValidation>
    <dataValidation type="list" allowBlank="1" showInputMessage="1" showErrorMessage="1" sqref="AF6" xr:uid="{00000000-0002-0000-1700-000002000000}">
      <formula1>$AH$46:$AH$60</formula1>
    </dataValidation>
    <dataValidation type="list" allowBlank="1" showInputMessage="1" showErrorMessage="1" sqref="AG2" xr:uid="{00000000-0002-0000-1700-000003000000}">
      <formula1>$AH$21:$AH$60</formula1>
    </dataValidation>
  </dataValidations>
  <printOptions horizontalCentered="1"/>
  <pageMargins left="0.55118110236220474" right="0.15748031496062992" top="0.23622047244094491" bottom="0.23622047244094491" header="0.27559055118110237" footer="0.23622047244094491"/>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rgb="FFFFC000"/>
  </sheetPr>
  <dimension ref="A1:AH63"/>
  <sheetViews>
    <sheetView showGridLines="0" view="pageBreakPreview" zoomScaleNormal="100" zoomScaleSheetLayoutView="100" workbookViewId="0">
      <selection activeCell="AE13" sqref="AE13"/>
    </sheetView>
  </sheetViews>
  <sheetFormatPr defaultColWidth="8.875" defaultRowHeight="14.25"/>
  <cols>
    <col min="1" max="27" width="3.625" style="51" customWidth="1"/>
    <col min="28" max="28" width="1.625" style="94" customWidth="1"/>
    <col min="29" max="251" width="9" style="94"/>
    <col min="252" max="278" width="3.625" style="94" customWidth="1"/>
    <col min="279" max="507" width="9" style="94"/>
    <col min="508" max="534" width="3.625" style="94" customWidth="1"/>
    <col min="535" max="763" width="9" style="94"/>
    <col min="764" max="790" width="3.625" style="94" customWidth="1"/>
    <col min="791" max="1019" width="9" style="94"/>
    <col min="1020" max="1046" width="3.625" style="94" customWidth="1"/>
    <col min="1047" max="1275" width="9" style="94"/>
    <col min="1276" max="1302" width="3.625" style="94" customWidth="1"/>
    <col min="1303" max="1531" width="9" style="94"/>
    <col min="1532" max="1558" width="3.625" style="94" customWidth="1"/>
    <col min="1559" max="1787" width="9" style="94"/>
    <col min="1788" max="1814" width="3.625" style="94" customWidth="1"/>
    <col min="1815" max="2043" width="9" style="94"/>
    <col min="2044" max="2070" width="3.625" style="94" customWidth="1"/>
    <col min="2071" max="2299" width="9" style="94"/>
    <col min="2300" max="2326" width="3.625" style="94" customWidth="1"/>
    <col min="2327" max="2555" width="9" style="94"/>
    <col min="2556" max="2582" width="3.625" style="94" customWidth="1"/>
    <col min="2583" max="2811" width="9" style="94"/>
    <col min="2812" max="2838" width="3.625" style="94" customWidth="1"/>
    <col min="2839" max="3067" width="9" style="94"/>
    <col min="3068" max="3094" width="3.625" style="94" customWidth="1"/>
    <col min="3095" max="3323" width="9" style="94"/>
    <col min="3324" max="3350" width="3.625" style="94" customWidth="1"/>
    <col min="3351" max="3579" width="9" style="94"/>
    <col min="3580" max="3606" width="3.625" style="94" customWidth="1"/>
    <col min="3607" max="3835" width="9" style="94"/>
    <col min="3836" max="3862" width="3.625" style="94" customWidth="1"/>
    <col min="3863" max="4091" width="9" style="94"/>
    <col min="4092" max="4118" width="3.625" style="94" customWidth="1"/>
    <col min="4119" max="4347" width="9" style="94"/>
    <col min="4348" max="4374" width="3.625" style="94" customWidth="1"/>
    <col min="4375" max="4603" width="9" style="94"/>
    <col min="4604" max="4630" width="3.625" style="94" customWidth="1"/>
    <col min="4631" max="4859" width="9" style="94"/>
    <col min="4860" max="4886" width="3.625" style="94" customWidth="1"/>
    <col min="4887" max="5115" width="9" style="94"/>
    <col min="5116" max="5142" width="3.625" style="94" customWidth="1"/>
    <col min="5143" max="5371" width="9" style="94"/>
    <col min="5372" max="5398" width="3.625" style="94" customWidth="1"/>
    <col min="5399" max="5627" width="9" style="94"/>
    <col min="5628" max="5654" width="3.625" style="94" customWidth="1"/>
    <col min="5655" max="5883" width="9" style="94"/>
    <col min="5884" max="5910" width="3.625" style="94" customWidth="1"/>
    <col min="5911" max="6139" width="9" style="94"/>
    <col min="6140" max="6166" width="3.625" style="94" customWidth="1"/>
    <col min="6167" max="6395" width="9" style="94"/>
    <col min="6396" max="6422" width="3.625" style="94" customWidth="1"/>
    <col min="6423" max="6651" width="9" style="94"/>
    <col min="6652" max="6678" width="3.625" style="94" customWidth="1"/>
    <col min="6679" max="6907" width="9" style="94"/>
    <col min="6908" max="6934" width="3.625" style="94" customWidth="1"/>
    <col min="6935" max="7163" width="9" style="94"/>
    <col min="7164" max="7190" width="3.625" style="94" customWidth="1"/>
    <col min="7191" max="7419" width="9" style="94"/>
    <col min="7420" max="7446" width="3.625" style="94" customWidth="1"/>
    <col min="7447" max="7675" width="9" style="94"/>
    <col min="7676" max="7702" width="3.625" style="94" customWidth="1"/>
    <col min="7703" max="7931" width="9" style="94"/>
    <col min="7932" max="7958" width="3.625" style="94" customWidth="1"/>
    <col min="7959" max="8187" width="9" style="94"/>
    <col min="8188" max="8214" width="3.625" style="94" customWidth="1"/>
    <col min="8215" max="8443" width="9" style="94"/>
    <col min="8444" max="8470" width="3.625" style="94" customWidth="1"/>
    <col min="8471" max="8699" width="9" style="94"/>
    <col min="8700" max="8726" width="3.625" style="94" customWidth="1"/>
    <col min="8727" max="8955" width="9" style="94"/>
    <col min="8956" max="8982" width="3.625" style="94" customWidth="1"/>
    <col min="8983" max="9211" width="9" style="94"/>
    <col min="9212" max="9238" width="3.625" style="94" customWidth="1"/>
    <col min="9239" max="9467" width="9" style="94"/>
    <col min="9468" max="9494" width="3.625" style="94" customWidth="1"/>
    <col min="9495" max="9723" width="9" style="94"/>
    <col min="9724" max="9750" width="3.625" style="94" customWidth="1"/>
    <col min="9751" max="9979" width="9" style="94"/>
    <col min="9980" max="10006" width="3.625" style="94" customWidth="1"/>
    <col min="10007" max="10235" width="9" style="94"/>
    <col min="10236" max="10262" width="3.625" style="94" customWidth="1"/>
    <col min="10263" max="10491" width="9" style="94"/>
    <col min="10492" max="10518" width="3.625" style="94" customWidth="1"/>
    <col min="10519" max="10747" width="9" style="94"/>
    <col min="10748" max="10774" width="3.625" style="94" customWidth="1"/>
    <col min="10775" max="11003" width="9" style="94"/>
    <col min="11004" max="11030" width="3.625" style="94" customWidth="1"/>
    <col min="11031" max="11259" width="9" style="94"/>
    <col min="11260" max="11286" width="3.625" style="94" customWidth="1"/>
    <col min="11287" max="11515" width="9" style="94"/>
    <col min="11516" max="11542" width="3.625" style="94" customWidth="1"/>
    <col min="11543" max="11771" width="9" style="94"/>
    <col min="11772" max="11798" width="3.625" style="94" customWidth="1"/>
    <col min="11799" max="12027" width="9" style="94"/>
    <col min="12028" max="12054" width="3.625" style="94" customWidth="1"/>
    <col min="12055" max="12283" width="9" style="94"/>
    <col min="12284" max="12310" width="3.625" style="94" customWidth="1"/>
    <col min="12311" max="12539" width="9" style="94"/>
    <col min="12540" max="12566" width="3.625" style="94" customWidth="1"/>
    <col min="12567" max="12795" width="9" style="94"/>
    <col min="12796" max="12822" width="3.625" style="94" customWidth="1"/>
    <col min="12823" max="13051" width="9" style="94"/>
    <col min="13052" max="13078" width="3.625" style="94" customWidth="1"/>
    <col min="13079" max="13307" width="9" style="94"/>
    <col min="13308" max="13334" width="3.625" style="94" customWidth="1"/>
    <col min="13335" max="13563" width="9" style="94"/>
    <col min="13564" max="13590" width="3.625" style="94" customWidth="1"/>
    <col min="13591" max="13819" width="9" style="94"/>
    <col min="13820" max="13846" width="3.625" style="94" customWidth="1"/>
    <col min="13847" max="14075" width="9" style="94"/>
    <col min="14076" max="14102" width="3.625" style="94" customWidth="1"/>
    <col min="14103" max="14331" width="9" style="94"/>
    <col min="14332" max="14358" width="3.625" style="94" customWidth="1"/>
    <col min="14359" max="14587" width="9" style="94"/>
    <col min="14588" max="14614" width="3.625" style="94" customWidth="1"/>
    <col min="14615" max="14843" width="9" style="94"/>
    <col min="14844" max="14870" width="3.625" style="94" customWidth="1"/>
    <col min="14871" max="15099" width="9" style="94"/>
    <col min="15100" max="15126" width="3.625" style="94" customWidth="1"/>
    <col min="15127" max="15355" width="9" style="94"/>
    <col min="15356" max="15382" width="3.625" style="94" customWidth="1"/>
    <col min="15383" max="15611" width="9" style="94"/>
    <col min="15612" max="15638" width="3.625" style="94" customWidth="1"/>
    <col min="15639" max="15867" width="9" style="94"/>
    <col min="15868" max="15894" width="3.625" style="94" customWidth="1"/>
    <col min="15895" max="16123" width="9" style="94"/>
    <col min="16124" max="16150" width="3.625" style="94" customWidth="1"/>
    <col min="16151" max="16384" width="9" style="94"/>
  </cols>
  <sheetData>
    <row r="1" spans="1:34" ht="21">
      <c r="I1" s="156"/>
      <c r="J1" s="156"/>
      <c r="K1" s="156"/>
      <c r="L1" s="156"/>
      <c r="M1" s="156"/>
      <c r="N1" s="156"/>
      <c r="O1" s="156"/>
      <c r="P1" s="156"/>
      <c r="Q1" s="156"/>
      <c r="R1" s="156"/>
      <c r="AA1" s="118" t="s">
        <v>1681</v>
      </c>
    </row>
    <row r="2" spans="1:34" ht="18" customHeight="1">
      <c r="A2" s="2230" t="s">
        <v>1682</v>
      </c>
      <c r="B2" s="2230"/>
      <c r="C2" s="2230"/>
      <c r="D2" s="2230"/>
      <c r="E2" s="2230"/>
      <c r="F2" s="2230"/>
      <c r="G2" s="2230"/>
      <c r="H2" s="2230"/>
      <c r="I2" s="2251">
        <f>'経過表（内）'!I2</f>
        <v>42095</v>
      </c>
      <c r="J2" s="2251"/>
      <c r="K2" s="2251"/>
      <c r="L2" s="2251"/>
      <c r="M2" s="2251"/>
      <c r="N2" s="2251"/>
      <c r="O2" s="2251"/>
      <c r="P2" s="2345">
        <f>'経過表（内）'!I2</f>
        <v>42095</v>
      </c>
      <c r="Q2" s="2345"/>
      <c r="R2" s="2345"/>
      <c r="S2" s="94"/>
      <c r="T2" s="2240" t="s">
        <v>1637</v>
      </c>
      <c r="U2" s="2240"/>
      <c r="V2" s="2238" t="str">
        <f>IF('経過表（内）'!V2:AB3=0,"",'経過表（内）'!V2:AB3)</f>
        <v/>
      </c>
      <c r="W2" s="2238"/>
      <c r="X2" s="2238"/>
      <c r="Y2" s="2238"/>
      <c r="Z2" s="2238"/>
      <c r="AA2" s="2240" t="s">
        <v>1638</v>
      </c>
    </row>
    <row r="3" spans="1:34" ht="18" customHeight="1">
      <c r="A3" s="2230"/>
      <c r="B3" s="2230"/>
      <c r="C3" s="2230"/>
      <c r="D3" s="2230"/>
      <c r="E3" s="2230"/>
      <c r="F3" s="2230"/>
      <c r="G3" s="2230"/>
      <c r="H3" s="2230"/>
      <c r="I3" s="2252"/>
      <c r="J3" s="2252"/>
      <c r="K3" s="2252"/>
      <c r="L3" s="2252"/>
      <c r="M3" s="2252"/>
      <c r="N3" s="2252"/>
      <c r="O3" s="2252"/>
      <c r="P3" s="2346"/>
      <c r="Q3" s="2346"/>
      <c r="R3" s="2346"/>
      <c r="T3" s="2241"/>
      <c r="U3" s="2241"/>
      <c r="V3" s="2239"/>
      <c r="W3" s="2239"/>
      <c r="X3" s="2239"/>
      <c r="Y3" s="2239"/>
      <c r="Z3" s="2239"/>
      <c r="AA3" s="2241"/>
    </row>
    <row r="4" spans="1:34" ht="5.0999999999999996" customHeight="1"/>
    <row r="5" spans="1:34" ht="18" customHeight="1">
      <c r="A5" s="2255" t="s">
        <v>1641</v>
      </c>
      <c r="B5" s="2256"/>
      <c r="C5" s="2257"/>
      <c r="D5" s="2305" t="s">
        <v>1642</v>
      </c>
      <c r="E5" s="2285"/>
      <c r="F5" s="135" t="s">
        <v>1026</v>
      </c>
      <c r="G5" s="2322" t="s">
        <v>1683</v>
      </c>
      <c r="H5" s="2343"/>
      <c r="I5" s="2344"/>
      <c r="J5" s="2255" t="s">
        <v>1645</v>
      </c>
      <c r="K5" s="2256"/>
      <c r="L5" s="2257"/>
      <c r="M5" s="218" t="s">
        <v>1684</v>
      </c>
      <c r="N5" s="135" t="s">
        <v>1026</v>
      </c>
      <c r="O5" s="556" t="s">
        <v>1685</v>
      </c>
      <c r="P5" s="135" t="s">
        <v>1026</v>
      </c>
      <c r="Q5" s="557" t="s">
        <v>1051</v>
      </c>
      <c r="R5" s="2306" t="s">
        <v>1653</v>
      </c>
      <c r="S5" s="2306"/>
      <c r="T5" s="2306"/>
      <c r="U5" s="2306"/>
      <c r="V5" s="2306"/>
      <c r="W5" s="2306"/>
      <c r="X5" s="2306"/>
      <c r="Y5" s="2306"/>
      <c r="Z5" s="2306"/>
      <c r="AA5" s="2306"/>
      <c r="AB5" s="95"/>
      <c r="AH5" s="155"/>
    </row>
    <row r="6" spans="1:34" ht="18" customHeight="1">
      <c r="A6" s="2255" t="s">
        <v>1650</v>
      </c>
      <c r="B6" s="2256"/>
      <c r="C6" s="2256"/>
      <c r="D6" s="2256"/>
      <c r="E6" s="2256"/>
      <c r="F6" s="2257"/>
      <c r="G6" s="2307" t="s">
        <v>1651</v>
      </c>
      <c r="H6" s="2307"/>
      <c r="I6" s="2307"/>
      <c r="J6" s="2307"/>
      <c r="K6" s="2307"/>
      <c r="L6" s="2255" t="s">
        <v>1652</v>
      </c>
      <c r="M6" s="2256"/>
      <c r="N6" s="2256"/>
      <c r="O6" s="2256"/>
      <c r="P6" s="2256"/>
      <c r="Q6" s="2257"/>
      <c r="R6" s="2245"/>
      <c r="S6" s="2245"/>
      <c r="T6" s="2245"/>
      <c r="U6" s="2245"/>
      <c r="V6" s="2245"/>
      <c r="W6" s="2245"/>
      <c r="X6" s="2245"/>
      <c r="Y6" s="2245"/>
      <c r="Z6" s="2245"/>
      <c r="AA6" s="2245"/>
      <c r="AB6" s="96"/>
    </row>
    <row r="7" spans="1:34" ht="18" customHeight="1">
      <c r="A7" s="2284" t="s">
        <v>1654</v>
      </c>
      <c r="B7" s="1835"/>
      <c r="C7" s="2285" t="s">
        <v>1686</v>
      </c>
      <c r="D7" s="2285"/>
      <c r="E7" s="2285"/>
      <c r="F7" s="2285"/>
      <c r="G7" s="2317" t="s">
        <v>1687</v>
      </c>
      <c r="H7" s="2318"/>
      <c r="I7" s="2318"/>
      <c r="J7" s="2318"/>
      <c r="K7" s="2319"/>
      <c r="L7" s="2289" t="s">
        <v>1654</v>
      </c>
      <c r="M7" s="1835"/>
      <c r="N7" s="2285" t="s">
        <v>1686</v>
      </c>
      <c r="O7" s="2285"/>
      <c r="P7" s="2285"/>
      <c r="Q7" s="2308"/>
      <c r="R7" s="2245"/>
      <c r="S7" s="2245"/>
      <c r="T7" s="2245"/>
      <c r="U7" s="2245"/>
      <c r="V7" s="2245"/>
      <c r="W7" s="2245"/>
      <c r="X7" s="2245"/>
      <c r="Y7" s="2245"/>
      <c r="Z7" s="2245"/>
      <c r="AA7" s="2245"/>
      <c r="AB7" s="96"/>
    </row>
    <row r="8" spans="1:34" ht="18" customHeight="1">
      <c r="A8" s="2284" t="s">
        <v>1657</v>
      </c>
      <c r="B8" s="1835"/>
      <c r="C8" s="2285"/>
      <c r="D8" s="2285"/>
      <c r="E8" s="2285"/>
      <c r="F8" s="223" t="s">
        <v>692</v>
      </c>
      <c r="G8" s="224" t="s">
        <v>1658</v>
      </c>
      <c r="H8" s="225"/>
      <c r="I8" s="225"/>
      <c r="J8" s="225"/>
      <c r="K8" s="226"/>
      <c r="L8" s="2289" t="s">
        <v>1657</v>
      </c>
      <c r="M8" s="1835"/>
      <c r="N8" s="2285"/>
      <c r="O8" s="2285"/>
      <c r="P8" s="2285"/>
      <c r="Q8" s="227" t="s">
        <v>692</v>
      </c>
      <c r="R8" s="2309" t="s">
        <v>1659</v>
      </c>
      <c r="S8" s="2309"/>
      <c r="T8" s="2309"/>
      <c r="U8" s="2309"/>
      <c r="V8" s="2309"/>
      <c r="W8" s="2309"/>
      <c r="X8" s="2309"/>
      <c r="Y8" s="2309"/>
      <c r="Z8" s="2309"/>
      <c r="AA8" s="2309"/>
      <c r="AB8" s="95"/>
    </row>
    <row r="9" spans="1:34" ht="18" customHeight="1">
      <c r="A9" s="2284" t="s">
        <v>1660</v>
      </c>
      <c r="B9" s="1835"/>
      <c r="C9" s="2285"/>
      <c r="D9" s="2285"/>
      <c r="E9" s="2285"/>
      <c r="F9" s="223" t="s">
        <v>1688</v>
      </c>
      <c r="G9" s="2286"/>
      <c r="H9" s="2287"/>
      <c r="I9" s="2287"/>
      <c r="J9" s="2287"/>
      <c r="K9" s="2288"/>
      <c r="L9" s="2289" t="s">
        <v>1660</v>
      </c>
      <c r="M9" s="1835"/>
      <c r="N9" s="2285"/>
      <c r="O9" s="2285"/>
      <c r="P9" s="2285"/>
      <c r="Q9" s="227" t="s">
        <v>1688</v>
      </c>
      <c r="R9" s="2245"/>
      <c r="S9" s="2245"/>
      <c r="T9" s="2245"/>
      <c r="U9" s="2245"/>
      <c r="V9" s="2245"/>
      <c r="W9" s="2245"/>
      <c r="X9" s="2245"/>
      <c r="Y9" s="2245"/>
      <c r="Z9" s="2245"/>
      <c r="AA9" s="2245"/>
      <c r="AB9" s="96"/>
    </row>
    <row r="10" spans="1:34" ht="5.0999999999999996" customHeight="1" thickBot="1"/>
    <row r="11" spans="1:34" ht="18" customHeight="1" thickTop="1">
      <c r="A11" s="2333" t="s">
        <v>1662</v>
      </c>
      <c r="B11" s="2334"/>
      <c r="C11" s="2334"/>
      <c r="D11" s="2327" t="s">
        <v>868</v>
      </c>
      <c r="E11" s="2328"/>
      <c r="F11" s="2327" t="s">
        <v>220</v>
      </c>
      <c r="G11" s="2328"/>
      <c r="H11" s="2327" t="s">
        <v>869</v>
      </c>
      <c r="I11" s="2329"/>
      <c r="J11" s="2333" t="s">
        <v>1689</v>
      </c>
      <c r="K11" s="2334"/>
      <c r="L11" s="2334"/>
      <c r="M11" s="2325" t="s">
        <v>1690</v>
      </c>
      <c r="N11" s="2325"/>
      <c r="O11" s="2327" t="s">
        <v>1691</v>
      </c>
      <c r="P11" s="2328"/>
      <c r="Q11" s="2325" t="s">
        <v>1692</v>
      </c>
      <c r="R11" s="2325"/>
      <c r="S11" s="2325" t="s">
        <v>1693</v>
      </c>
      <c r="T11" s="2325"/>
      <c r="U11" s="2325"/>
      <c r="V11" s="2325"/>
      <c r="W11" s="2325"/>
      <c r="X11" s="2325"/>
      <c r="Y11" s="2325"/>
      <c r="Z11" s="2325"/>
      <c r="AA11" s="2326"/>
      <c r="AB11" s="51"/>
      <c r="AC11" s="51"/>
      <c r="AD11" s="51"/>
      <c r="AE11" s="51"/>
    </row>
    <row r="12" spans="1:34" ht="18" customHeight="1">
      <c r="A12" s="2335"/>
      <c r="B12" s="2237"/>
      <c r="C12" s="2237"/>
      <c r="D12" s="2245"/>
      <c r="E12" s="2245"/>
      <c r="F12" s="2338"/>
      <c r="G12" s="2339"/>
      <c r="H12" s="2245"/>
      <c r="I12" s="2331"/>
      <c r="J12" s="2335"/>
      <c r="K12" s="2237"/>
      <c r="L12" s="2237"/>
      <c r="M12" s="2245"/>
      <c r="N12" s="2245"/>
      <c r="O12" s="2338"/>
      <c r="P12" s="2339"/>
      <c r="Q12" s="2245"/>
      <c r="R12" s="2245"/>
      <c r="S12" s="2245"/>
      <c r="T12" s="2245"/>
      <c r="U12" s="2245"/>
      <c r="V12" s="2245"/>
      <c r="W12" s="2245"/>
      <c r="X12" s="2245"/>
      <c r="Y12" s="2245"/>
      <c r="Z12" s="2245"/>
      <c r="AA12" s="2331"/>
      <c r="AB12" s="51"/>
      <c r="AC12" s="51"/>
      <c r="AD12" s="51"/>
      <c r="AE12" s="51"/>
    </row>
    <row r="13" spans="1:34" ht="18" customHeight="1">
      <c r="A13" s="2335"/>
      <c r="B13" s="2237"/>
      <c r="C13" s="2237"/>
      <c r="D13" s="2245"/>
      <c r="E13" s="2245"/>
      <c r="F13" s="2302"/>
      <c r="G13" s="2340"/>
      <c r="H13" s="2245"/>
      <c r="I13" s="2331"/>
      <c r="J13" s="2335"/>
      <c r="K13" s="2237"/>
      <c r="L13" s="2237"/>
      <c r="M13" s="2245"/>
      <c r="N13" s="2245"/>
      <c r="O13" s="2302"/>
      <c r="P13" s="2340"/>
      <c r="Q13" s="2245"/>
      <c r="R13" s="2245"/>
      <c r="S13" s="2245"/>
      <c r="T13" s="2245"/>
      <c r="U13" s="2245"/>
      <c r="V13" s="2245"/>
      <c r="W13" s="2245"/>
      <c r="X13" s="2245"/>
      <c r="Y13" s="2245"/>
      <c r="Z13" s="2245"/>
      <c r="AA13" s="2331"/>
      <c r="AB13" s="51"/>
      <c r="AC13" s="51"/>
      <c r="AD13" s="51"/>
      <c r="AE13" s="51"/>
    </row>
    <row r="14" spans="1:34" ht="18" customHeight="1" thickBot="1">
      <c r="A14" s="2336"/>
      <c r="B14" s="2337"/>
      <c r="C14" s="2337"/>
      <c r="D14" s="2330"/>
      <c r="E14" s="2330"/>
      <c r="F14" s="2341"/>
      <c r="G14" s="2342"/>
      <c r="H14" s="2330"/>
      <c r="I14" s="2332"/>
      <c r="J14" s="2336"/>
      <c r="K14" s="2337"/>
      <c r="L14" s="2337"/>
      <c r="M14" s="2330"/>
      <c r="N14" s="2330"/>
      <c r="O14" s="2341"/>
      <c r="P14" s="2342"/>
      <c r="Q14" s="2330"/>
      <c r="R14" s="2330"/>
      <c r="S14" s="2330"/>
      <c r="T14" s="2330"/>
      <c r="U14" s="2330"/>
      <c r="V14" s="2330"/>
      <c r="W14" s="2330"/>
      <c r="X14" s="2330"/>
      <c r="Y14" s="2330"/>
      <c r="Z14" s="2330"/>
      <c r="AA14" s="2332"/>
      <c r="AB14" s="51"/>
      <c r="AC14" s="51"/>
      <c r="AD14" s="51"/>
      <c r="AE14" s="51"/>
    </row>
    <row r="15" spans="1:34" ht="5.0999999999999996" customHeight="1" thickTop="1"/>
    <row r="16" spans="1:34" ht="18" customHeight="1">
      <c r="A16" s="2237" t="s">
        <v>867</v>
      </c>
      <c r="B16" s="2237"/>
      <c r="C16" s="2237"/>
      <c r="D16" s="550">
        <v>0</v>
      </c>
      <c r="E16" s="550">
        <v>1</v>
      </c>
      <c r="F16" s="550">
        <v>2</v>
      </c>
      <c r="G16" s="550">
        <v>3</v>
      </c>
      <c r="H16" s="550">
        <v>4</v>
      </c>
      <c r="I16" s="550">
        <v>5</v>
      </c>
      <c r="J16" s="550">
        <v>6</v>
      </c>
      <c r="K16" s="551">
        <v>7</v>
      </c>
      <c r="L16" s="551">
        <v>8</v>
      </c>
      <c r="M16" s="558">
        <v>9</v>
      </c>
      <c r="N16" s="550">
        <v>10</v>
      </c>
      <c r="O16" s="550">
        <v>11</v>
      </c>
      <c r="P16" s="550">
        <v>12</v>
      </c>
      <c r="Q16" s="550">
        <v>13</v>
      </c>
      <c r="R16" s="550">
        <v>14</v>
      </c>
      <c r="S16" s="550">
        <v>15</v>
      </c>
      <c r="T16" s="551">
        <v>16</v>
      </c>
      <c r="U16" s="558">
        <v>17</v>
      </c>
      <c r="V16" s="552">
        <v>18</v>
      </c>
      <c r="W16" s="550">
        <v>19</v>
      </c>
      <c r="X16" s="550">
        <v>20</v>
      </c>
      <c r="Y16" s="550">
        <v>21</v>
      </c>
      <c r="Z16" s="550">
        <v>22</v>
      </c>
      <c r="AA16" s="550">
        <v>23</v>
      </c>
    </row>
    <row r="17" spans="1:28" ht="14.1" customHeight="1">
      <c r="A17" s="2242" t="s">
        <v>1672</v>
      </c>
      <c r="B17" s="2242"/>
      <c r="C17" s="2242"/>
      <c r="D17" s="553"/>
      <c r="E17" s="553"/>
      <c r="F17" s="553"/>
      <c r="G17" s="553"/>
      <c r="H17" s="553"/>
      <c r="I17" s="553"/>
      <c r="J17" s="553"/>
      <c r="K17" s="555"/>
      <c r="L17" s="555"/>
      <c r="M17" s="137"/>
      <c r="N17" s="138"/>
      <c r="O17" s="138"/>
      <c r="P17" s="138"/>
      <c r="Q17" s="138"/>
      <c r="R17" s="138"/>
      <c r="S17" s="138"/>
      <c r="T17" s="139"/>
      <c r="U17" s="128"/>
      <c r="V17" s="126"/>
      <c r="W17" s="127"/>
      <c r="X17" s="127"/>
      <c r="Y17" s="127"/>
      <c r="Z17" s="127"/>
      <c r="AA17" s="127"/>
    </row>
    <row r="18" spans="1:28" ht="14.1" customHeight="1">
      <c r="A18" s="2243" t="s">
        <v>1675</v>
      </c>
      <c r="B18" s="2243"/>
      <c r="C18" s="2243"/>
      <c r="D18" s="549"/>
      <c r="E18" s="549"/>
      <c r="F18" s="549"/>
      <c r="G18" s="549"/>
      <c r="H18" s="549"/>
      <c r="I18" s="549"/>
      <c r="J18" s="549"/>
      <c r="K18" s="548"/>
      <c r="L18" s="548"/>
      <c r="M18" s="140"/>
      <c r="N18" s="141"/>
      <c r="O18" s="141"/>
      <c r="P18" s="141"/>
      <c r="Q18" s="141"/>
      <c r="R18" s="141"/>
      <c r="S18" s="141"/>
      <c r="T18" s="142"/>
      <c r="U18" s="131"/>
      <c r="V18" s="129"/>
      <c r="W18" s="130"/>
      <c r="X18" s="130"/>
      <c r="Y18" s="130"/>
      <c r="Z18" s="130"/>
      <c r="AA18" s="130"/>
    </row>
    <row r="19" spans="1:28" ht="14.1" customHeight="1">
      <c r="A19" s="2243" t="s">
        <v>1676</v>
      </c>
      <c r="B19" s="2243"/>
      <c r="C19" s="2243"/>
      <c r="D19" s="549"/>
      <c r="E19" s="549"/>
      <c r="F19" s="549"/>
      <c r="G19" s="549"/>
      <c r="H19" s="549"/>
      <c r="I19" s="549"/>
      <c r="J19" s="549"/>
      <c r="K19" s="548"/>
      <c r="L19" s="548"/>
      <c r="M19" s="140"/>
      <c r="N19" s="141"/>
      <c r="O19" s="141"/>
      <c r="P19" s="141"/>
      <c r="Q19" s="141"/>
      <c r="R19" s="141"/>
      <c r="S19" s="141"/>
      <c r="T19" s="142"/>
      <c r="U19" s="131"/>
      <c r="V19" s="129"/>
      <c r="W19" s="130"/>
      <c r="X19" s="130"/>
      <c r="Y19" s="130"/>
      <c r="Z19" s="130"/>
      <c r="AA19" s="130"/>
      <c r="AB19" s="96"/>
    </row>
    <row r="20" spans="1:28" ht="14.1" customHeight="1">
      <c r="A20" s="2243" t="s">
        <v>1677</v>
      </c>
      <c r="B20" s="2243"/>
      <c r="C20" s="2243"/>
      <c r="D20" s="549"/>
      <c r="E20" s="549"/>
      <c r="F20" s="549"/>
      <c r="G20" s="549"/>
      <c r="H20" s="549"/>
      <c r="I20" s="549"/>
      <c r="J20" s="549"/>
      <c r="K20" s="548"/>
      <c r="L20" s="548"/>
      <c r="M20" s="140"/>
      <c r="N20" s="141"/>
      <c r="O20" s="141"/>
      <c r="P20" s="141"/>
      <c r="Q20" s="141"/>
      <c r="R20" s="141"/>
      <c r="S20" s="141"/>
      <c r="T20" s="142"/>
      <c r="U20" s="131"/>
      <c r="V20" s="129"/>
      <c r="W20" s="130"/>
      <c r="X20" s="130"/>
      <c r="Y20" s="130"/>
      <c r="Z20" s="130"/>
      <c r="AA20" s="130"/>
      <c r="AB20" s="96"/>
    </row>
    <row r="21" spans="1:28" ht="14.1" customHeight="1">
      <c r="A21" s="2271" t="s">
        <v>1694</v>
      </c>
      <c r="B21" s="2271"/>
      <c r="C21" s="2271"/>
      <c r="D21" s="554"/>
      <c r="E21" s="554"/>
      <c r="F21" s="554"/>
      <c r="G21" s="554"/>
      <c r="H21" s="554"/>
      <c r="I21" s="554"/>
      <c r="J21" s="554"/>
      <c r="K21" s="146"/>
      <c r="L21" s="146"/>
      <c r="M21" s="143"/>
      <c r="N21" s="144"/>
      <c r="O21" s="144"/>
      <c r="P21" s="144"/>
      <c r="Q21" s="144"/>
      <c r="R21" s="144"/>
      <c r="S21" s="144"/>
      <c r="T21" s="145"/>
      <c r="U21" s="134"/>
      <c r="V21" s="132"/>
      <c r="W21" s="133"/>
      <c r="X21" s="133"/>
      <c r="Y21" s="133"/>
      <c r="Z21" s="133"/>
      <c r="AA21" s="133"/>
      <c r="AB21" s="96"/>
    </row>
    <row r="22" spans="1:28" ht="5.0999999999999996" customHeight="1">
      <c r="AB22" s="96"/>
    </row>
    <row r="23" spans="1:28" ht="21" customHeight="1">
      <c r="A23" s="2255" t="s">
        <v>1695</v>
      </c>
      <c r="B23" s="2256"/>
      <c r="C23" s="2256"/>
      <c r="D23" s="2257"/>
      <c r="E23" s="219" t="s">
        <v>1696</v>
      </c>
      <c r="F23" s="135" t="s">
        <v>1026</v>
      </c>
      <c r="G23" s="220" t="s">
        <v>1051</v>
      </c>
      <c r="H23" s="135" t="s">
        <v>1026</v>
      </c>
      <c r="I23" s="2322" t="s">
        <v>1697</v>
      </c>
      <c r="J23" s="2322"/>
      <c r="K23" s="2322"/>
      <c r="L23" s="2323"/>
      <c r="M23" s="2255" t="s">
        <v>870</v>
      </c>
      <c r="N23" s="2256"/>
      <c r="O23" s="2256"/>
      <c r="P23" s="2256"/>
      <c r="Q23" s="2256"/>
      <c r="R23" s="2256"/>
      <c r="S23" s="2257"/>
      <c r="T23" s="219" t="s">
        <v>1696</v>
      </c>
      <c r="U23" s="135" t="s">
        <v>1026</v>
      </c>
      <c r="V23" s="220" t="s">
        <v>1051</v>
      </c>
      <c r="W23" s="2324"/>
      <c r="X23" s="2289"/>
      <c r="Y23" s="2289"/>
      <c r="Z23" s="2289" t="s">
        <v>1698</v>
      </c>
      <c r="AA23" s="1835"/>
      <c r="AB23" s="96"/>
    </row>
    <row r="24" spans="1:28" ht="5.0999999999999996" customHeight="1">
      <c r="U24" s="136"/>
      <c r="V24" s="136"/>
      <c r="W24" s="136"/>
      <c r="X24" s="136"/>
      <c r="Y24" s="136"/>
      <c r="Z24" s="136"/>
      <c r="AA24" s="136"/>
      <c r="AB24" s="96"/>
    </row>
    <row r="25" spans="1:28" ht="18" customHeight="1">
      <c r="A25" s="2255" t="s">
        <v>867</v>
      </c>
      <c r="B25" s="2256"/>
      <c r="C25" s="2256"/>
      <c r="D25" s="2257"/>
      <c r="E25" s="2255" t="s">
        <v>1678</v>
      </c>
      <c r="F25" s="2256"/>
      <c r="G25" s="2256"/>
      <c r="H25" s="2257"/>
      <c r="I25" s="2255" t="s">
        <v>1699</v>
      </c>
      <c r="J25" s="2256"/>
      <c r="K25" s="2256"/>
      <c r="L25" s="2256"/>
      <c r="M25" s="2256"/>
      <c r="N25" s="2256"/>
      <c r="O25" s="2256"/>
      <c r="P25" s="2256"/>
      <c r="Q25" s="2256"/>
      <c r="R25" s="2256"/>
      <c r="S25" s="2256"/>
      <c r="T25" s="2256"/>
      <c r="U25" s="2256"/>
      <c r="V25" s="2256"/>
      <c r="W25" s="2256"/>
      <c r="X25" s="2256"/>
      <c r="Y25" s="2256"/>
      <c r="Z25" s="2256"/>
      <c r="AA25" s="2257"/>
      <c r="AB25" s="96"/>
    </row>
    <row r="26" spans="1:28" ht="18" customHeight="1">
      <c r="A26" s="2258"/>
      <c r="B26" s="2259"/>
      <c r="C26" s="2259"/>
      <c r="D26" s="2259"/>
      <c r="E26" s="2260"/>
      <c r="F26" s="2260"/>
      <c r="G26" s="2260"/>
      <c r="H26" s="2260"/>
      <c r="I26" s="2261"/>
      <c r="J26" s="2262"/>
      <c r="K26" s="2262"/>
      <c r="L26" s="2262"/>
      <c r="M26" s="2262"/>
      <c r="N26" s="2262"/>
      <c r="O26" s="2262"/>
      <c r="P26" s="2262"/>
      <c r="Q26" s="2262"/>
      <c r="R26" s="2262"/>
      <c r="S26" s="2262"/>
      <c r="T26" s="2262"/>
      <c r="U26" s="2262"/>
      <c r="V26" s="2262"/>
      <c r="W26" s="2262"/>
      <c r="X26" s="2262"/>
      <c r="Y26" s="2262"/>
      <c r="Z26" s="2262"/>
      <c r="AA26" s="2263"/>
      <c r="AB26" s="96"/>
    </row>
    <row r="27" spans="1:28" ht="18" customHeight="1">
      <c r="A27" s="2278"/>
      <c r="B27" s="2229"/>
      <c r="C27" s="2229"/>
      <c r="D27" s="2229"/>
      <c r="E27" s="2279"/>
      <c r="F27" s="2279"/>
      <c r="G27" s="2279"/>
      <c r="H27" s="2279"/>
      <c r="I27" s="2214"/>
      <c r="J27" s="2215"/>
      <c r="K27" s="2215"/>
      <c r="L27" s="2215"/>
      <c r="M27" s="2215"/>
      <c r="N27" s="2215"/>
      <c r="O27" s="2215"/>
      <c r="P27" s="2215"/>
      <c r="Q27" s="2215"/>
      <c r="R27" s="2215"/>
      <c r="S27" s="2215"/>
      <c r="T27" s="2215"/>
      <c r="U27" s="2215"/>
      <c r="V27" s="2215"/>
      <c r="W27" s="2215"/>
      <c r="X27" s="2215"/>
      <c r="Y27" s="2215"/>
      <c r="Z27" s="2215"/>
      <c r="AA27" s="2216"/>
      <c r="AB27" s="96"/>
    </row>
    <row r="28" spans="1:28" ht="18" customHeight="1">
      <c r="A28" s="2280"/>
      <c r="B28" s="2227"/>
      <c r="C28" s="2227"/>
      <c r="D28" s="2228"/>
      <c r="E28" s="2226"/>
      <c r="F28" s="2227"/>
      <c r="G28" s="2227"/>
      <c r="H28" s="2228"/>
      <c r="I28" s="2214"/>
      <c r="J28" s="2215"/>
      <c r="K28" s="2215"/>
      <c r="L28" s="2215"/>
      <c r="M28" s="2215"/>
      <c r="N28" s="2215"/>
      <c r="O28" s="2215"/>
      <c r="P28" s="2215"/>
      <c r="Q28" s="2215"/>
      <c r="R28" s="2215"/>
      <c r="S28" s="2215"/>
      <c r="T28" s="2215"/>
      <c r="U28" s="2215"/>
      <c r="V28" s="2215"/>
      <c r="W28" s="2215"/>
      <c r="X28" s="2215"/>
      <c r="Y28" s="2215"/>
      <c r="Z28" s="2215"/>
      <c r="AA28" s="2216"/>
      <c r="AB28" s="96"/>
    </row>
    <row r="29" spans="1:28" ht="18" customHeight="1">
      <c r="A29" s="2278"/>
      <c r="B29" s="2229"/>
      <c r="C29" s="2229"/>
      <c r="D29" s="2229"/>
      <c r="E29" s="2229"/>
      <c r="F29" s="2229"/>
      <c r="G29" s="2229"/>
      <c r="H29" s="2229"/>
      <c r="I29" s="2214"/>
      <c r="J29" s="2215"/>
      <c r="K29" s="2215"/>
      <c r="L29" s="2215"/>
      <c r="M29" s="2215"/>
      <c r="N29" s="2215"/>
      <c r="O29" s="2215"/>
      <c r="P29" s="2215"/>
      <c r="Q29" s="2215"/>
      <c r="R29" s="2215"/>
      <c r="S29" s="2215"/>
      <c r="T29" s="2215"/>
      <c r="U29" s="2215"/>
      <c r="V29" s="2215"/>
      <c r="W29" s="2215"/>
      <c r="X29" s="2215"/>
      <c r="Y29" s="2215"/>
      <c r="Z29" s="2215"/>
      <c r="AA29" s="2216"/>
      <c r="AB29" s="96"/>
    </row>
    <row r="30" spans="1:28" ht="18" customHeight="1">
      <c r="A30" s="2229"/>
      <c r="B30" s="2229"/>
      <c r="C30" s="2229"/>
      <c r="D30" s="2229"/>
      <c r="E30" s="2229"/>
      <c r="F30" s="2229"/>
      <c r="G30" s="2229"/>
      <c r="H30" s="2229"/>
      <c r="I30" s="2214"/>
      <c r="J30" s="2215"/>
      <c r="K30" s="2215"/>
      <c r="L30" s="2215"/>
      <c r="M30" s="2215"/>
      <c r="N30" s="2215"/>
      <c r="O30" s="2215"/>
      <c r="P30" s="2215"/>
      <c r="Q30" s="2215"/>
      <c r="R30" s="2215"/>
      <c r="S30" s="2215"/>
      <c r="T30" s="2215"/>
      <c r="U30" s="2215"/>
      <c r="V30" s="2215"/>
      <c r="W30" s="2215"/>
      <c r="X30" s="2215"/>
      <c r="Y30" s="2215"/>
      <c r="Z30" s="2215"/>
      <c r="AA30" s="2216"/>
      <c r="AB30" s="96"/>
    </row>
    <row r="31" spans="1:28" ht="18" customHeight="1">
      <c r="A31" s="2278"/>
      <c r="B31" s="2229"/>
      <c r="C31" s="2229"/>
      <c r="D31" s="2229"/>
      <c r="E31" s="2229"/>
      <c r="F31" s="2229"/>
      <c r="G31" s="2229"/>
      <c r="H31" s="2229"/>
      <c r="I31" s="2214"/>
      <c r="J31" s="2215"/>
      <c r="K31" s="2215"/>
      <c r="L31" s="2215"/>
      <c r="M31" s="2215"/>
      <c r="N31" s="2215"/>
      <c r="O31" s="2215"/>
      <c r="P31" s="2215"/>
      <c r="Q31" s="2215"/>
      <c r="R31" s="2215"/>
      <c r="S31" s="2215"/>
      <c r="T31" s="2215"/>
      <c r="U31" s="2215"/>
      <c r="V31" s="2215"/>
      <c r="W31" s="2215"/>
      <c r="X31" s="2215"/>
      <c r="Y31" s="2215"/>
      <c r="Z31" s="2215"/>
      <c r="AA31" s="2216"/>
      <c r="AB31" s="96"/>
    </row>
    <row r="32" spans="1:28" ht="18" customHeight="1">
      <c r="A32" s="2226"/>
      <c r="B32" s="2227"/>
      <c r="C32" s="2227"/>
      <c r="D32" s="2228"/>
      <c r="E32" s="2226"/>
      <c r="F32" s="2227"/>
      <c r="G32" s="2227"/>
      <c r="H32" s="2228"/>
      <c r="I32" s="2214"/>
      <c r="J32" s="2215"/>
      <c r="K32" s="2215"/>
      <c r="L32" s="2215"/>
      <c r="M32" s="2215"/>
      <c r="N32" s="2215"/>
      <c r="O32" s="2215"/>
      <c r="P32" s="2215"/>
      <c r="Q32" s="2215"/>
      <c r="R32" s="2215"/>
      <c r="S32" s="2215"/>
      <c r="T32" s="2215"/>
      <c r="U32" s="2215"/>
      <c r="V32" s="2215"/>
      <c r="W32" s="2215"/>
      <c r="X32" s="2215"/>
      <c r="Y32" s="2215"/>
      <c r="Z32" s="2215"/>
      <c r="AA32" s="2216"/>
      <c r="AB32" s="96"/>
    </row>
    <row r="33" spans="1:28" ht="18" customHeight="1">
      <c r="A33" s="2280"/>
      <c r="B33" s="2227"/>
      <c r="C33" s="2227"/>
      <c r="D33" s="2228"/>
      <c r="E33" s="2226"/>
      <c r="F33" s="2227"/>
      <c r="G33" s="2227"/>
      <c r="H33" s="2228"/>
      <c r="I33" s="2214"/>
      <c r="J33" s="2215"/>
      <c r="K33" s="2215"/>
      <c r="L33" s="2215"/>
      <c r="M33" s="2215"/>
      <c r="N33" s="2215"/>
      <c r="O33" s="2215"/>
      <c r="P33" s="2215"/>
      <c r="Q33" s="2215"/>
      <c r="R33" s="2215"/>
      <c r="S33" s="2215"/>
      <c r="T33" s="2215"/>
      <c r="U33" s="2215"/>
      <c r="V33" s="2215"/>
      <c r="W33" s="2215"/>
      <c r="X33" s="2215"/>
      <c r="Y33" s="2215"/>
      <c r="Z33" s="2215"/>
      <c r="AA33" s="2216"/>
      <c r="AB33" s="96"/>
    </row>
    <row r="34" spans="1:28" ht="18" customHeight="1">
      <c r="A34" s="2229"/>
      <c r="B34" s="2229"/>
      <c r="C34" s="2229"/>
      <c r="D34" s="2229"/>
      <c r="E34" s="2229"/>
      <c r="F34" s="2229"/>
      <c r="G34" s="2229"/>
      <c r="H34" s="2229"/>
      <c r="I34" s="2214"/>
      <c r="J34" s="2215"/>
      <c r="K34" s="2215"/>
      <c r="L34" s="2215"/>
      <c r="M34" s="2215"/>
      <c r="N34" s="2215"/>
      <c r="O34" s="2215"/>
      <c r="P34" s="2215"/>
      <c r="Q34" s="2215"/>
      <c r="R34" s="2215"/>
      <c r="S34" s="2215"/>
      <c r="T34" s="2215"/>
      <c r="U34" s="2215"/>
      <c r="V34" s="2215"/>
      <c r="W34" s="2215"/>
      <c r="X34" s="2215"/>
      <c r="Y34" s="2215"/>
      <c r="Z34" s="2215"/>
      <c r="AA34" s="2216"/>
      <c r="AB34" s="96"/>
    </row>
    <row r="35" spans="1:28" ht="18" customHeight="1">
      <c r="A35" s="2278"/>
      <c r="B35" s="2229"/>
      <c r="C35" s="2229"/>
      <c r="D35" s="2229"/>
      <c r="E35" s="2281"/>
      <c r="F35" s="2282"/>
      <c r="G35" s="2282"/>
      <c r="H35" s="2283"/>
      <c r="I35" s="2214"/>
      <c r="J35" s="2215"/>
      <c r="K35" s="2215"/>
      <c r="L35" s="2215"/>
      <c r="M35" s="2215"/>
      <c r="N35" s="2215"/>
      <c r="O35" s="2215"/>
      <c r="P35" s="2215"/>
      <c r="Q35" s="2215"/>
      <c r="R35" s="2215"/>
      <c r="S35" s="2215"/>
      <c r="T35" s="2215"/>
      <c r="U35" s="2215"/>
      <c r="V35" s="2215"/>
      <c r="W35" s="2215"/>
      <c r="X35" s="2215"/>
      <c r="Y35" s="2215"/>
      <c r="Z35" s="2215"/>
      <c r="AA35" s="2216"/>
      <c r="AB35" s="96"/>
    </row>
    <row r="36" spans="1:28" ht="18" customHeight="1">
      <c r="A36" s="2278"/>
      <c r="B36" s="2229"/>
      <c r="C36" s="2229"/>
      <c r="D36" s="2229"/>
      <c r="E36" s="2229"/>
      <c r="F36" s="2229"/>
      <c r="G36" s="2229"/>
      <c r="H36" s="2229"/>
      <c r="I36" s="2214"/>
      <c r="J36" s="2215"/>
      <c r="K36" s="2215"/>
      <c r="L36" s="2215"/>
      <c r="M36" s="2215"/>
      <c r="N36" s="2215"/>
      <c r="O36" s="2215"/>
      <c r="P36" s="2215"/>
      <c r="Q36" s="2215"/>
      <c r="R36" s="2215"/>
      <c r="S36" s="2215"/>
      <c r="T36" s="2215"/>
      <c r="U36" s="2215"/>
      <c r="V36" s="2215"/>
      <c r="W36" s="2215"/>
      <c r="X36" s="2215"/>
      <c r="Y36" s="2215"/>
      <c r="Z36" s="2215"/>
      <c r="AA36" s="2216"/>
      <c r="AB36" s="96"/>
    </row>
    <row r="37" spans="1:28" ht="18" customHeight="1">
      <c r="A37" s="2229"/>
      <c r="B37" s="2229"/>
      <c r="C37" s="2229"/>
      <c r="D37" s="2229"/>
      <c r="E37" s="2229"/>
      <c r="F37" s="2229"/>
      <c r="G37" s="2229"/>
      <c r="H37" s="2229"/>
      <c r="I37" s="2214"/>
      <c r="J37" s="2215"/>
      <c r="K37" s="2215"/>
      <c r="L37" s="2215"/>
      <c r="M37" s="2215"/>
      <c r="N37" s="2215"/>
      <c r="O37" s="2215"/>
      <c r="P37" s="2215"/>
      <c r="Q37" s="2215"/>
      <c r="R37" s="2215"/>
      <c r="S37" s="2215"/>
      <c r="T37" s="2215"/>
      <c r="U37" s="2215"/>
      <c r="V37" s="2215"/>
      <c r="W37" s="2215"/>
      <c r="X37" s="2215"/>
      <c r="Y37" s="2215"/>
      <c r="Z37" s="2215"/>
      <c r="AA37" s="2216"/>
      <c r="AB37" s="96"/>
    </row>
    <row r="38" spans="1:28" ht="18" customHeight="1">
      <c r="A38" s="2229"/>
      <c r="B38" s="2229"/>
      <c r="C38" s="2229"/>
      <c r="D38" s="2229"/>
      <c r="E38" s="2229"/>
      <c r="F38" s="2229"/>
      <c r="G38" s="2229"/>
      <c r="H38" s="2229"/>
      <c r="I38" s="2214"/>
      <c r="J38" s="2215"/>
      <c r="K38" s="2215"/>
      <c r="L38" s="2215"/>
      <c r="M38" s="2215"/>
      <c r="N38" s="2215"/>
      <c r="O38" s="2215"/>
      <c r="P38" s="2215"/>
      <c r="Q38" s="2215"/>
      <c r="R38" s="2215"/>
      <c r="S38" s="2215"/>
      <c r="T38" s="2215"/>
      <c r="U38" s="2215"/>
      <c r="V38" s="2215"/>
      <c r="W38" s="2215"/>
      <c r="X38" s="2215"/>
      <c r="Y38" s="2215"/>
      <c r="Z38" s="2215"/>
      <c r="AA38" s="2216"/>
      <c r="AB38" s="96"/>
    </row>
    <row r="39" spans="1:28" ht="18" customHeight="1">
      <c r="A39" s="2226"/>
      <c r="B39" s="2227"/>
      <c r="C39" s="2227"/>
      <c r="D39" s="2228"/>
      <c r="E39" s="2226"/>
      <c r="F39" s="2227"/>
      <c r="G39" s="2227"/>
      <c r="H39" s="2228"/>
      <c r="I39" s="2214"/>
      <c r="J39" s="2215"/>
      <c r="K39" s="2215"/>
      <c r="L39" s="2215"/>
      <c r="M39" s="2215"/>
      <c r="N39" s="2215"/>
      <c r="O39" s="2215"/>
      <c r="P39" s="2215"/>
      <c r="Q39" s="2215"/>
      <c r="R39" s="2215"/>
      <c r="S39" s="2215"/>
      <c r="T39" s="2215"/>
      <c r="U39" s="2215"/>
      <c r="V39" s="2215"/>
      <c r="W39" s="2215"/>
      <c r="X39" s="2215"/>
      <c r="Y39" s="2215"/>
      <c r="Z39" s="2215"/>
      <c r="AA39" s="2216"/>
      <c r="AB39" s="96"/>
    </row>
    <row r="40" spans="1:28" ht="18" customHeight="1">
      <c r="A40" s="2229"/>
      <c r="B40" s="2229"/>
      <c r="C40" s="2229"/>
      <c r="D40" s="2229"/>
      <c r="E40" s="2229"/>
      <c r="F40" s="2229"/>
      <c r="G40" s="2229"/>
      <c r="H40" s="2229"/>
      <c r="I40" s="2214"/>
      <c r="J40" s="2215"/>
      <c r="K40" s="2215"/>
      <c r="L40" s="2215"/>
      <c r="M40" s="2215"/>
      <c r="N40" s="2215"/>
      <c r="O40" s="2215"/>
      <c r="P40" s="2215"/>
      <c r="Q40" s="2215"/>
      <c r="R40" s="2215"/>
      <c r="S40" s="2215"/>
      <c r="T40" s="2215"/>
      <c r="U40" s="2215"/>
      <c r="V40" s="2215"/>
      <c r="W40" s="2215"/>
      <c r="X40" s="2215"/>
      <c r="Y40" s="2215"/>
      <c r="Z40" s="2215"/>
      <c r="AA40" s="2216"/>
      <c r="AB40" s="96"/>
    </row>
    <row r="41" spans="1:28" ht="18" customHeight="1">
      <c r="A41" s="2229"/>
      <c r="B41" s="2229"/>
      <c r="C41" s="2229"/>
      <c r="D41" s="2229"/>
      <c r="E41" s="2229"/>
      <c r="F41" s="2229"/>
      <c r="G41" s="2229"/>
      <c r="H41" s="2229"/>
      <c r="I41" s="2214"/>
      <c r="J41" s="2215"/>
      <c r="K41" s="2215"/>
      <c r="L41" s="2215"/>
      <c r="M41" s="2215"/>
      <c r="N41" s="2215"/>
      <c r="O41" s="2215"/>
      <c r="P41" s="2215"/>
      <c r="Q41" s="2215"/>
      <c r="R41" s="2215"/>
      <c r="S41" s="2215"/>
      <c r="T41" s="2215"/>
      <c r="U41" s="2215"/>
      <c r="V41" s="2215"/>
      <c r="W41" s="2215"/>
      <c r="X41" s="2215"/>
      <c r="Y41" s="2215"/>
      <c r="Z41" s="2215"/>
      <c r="AA41" s="2216"/>
      <c r="AB41" s="96"/>
    </row>
    <row r="42" spans="1:28" ht="18" customHeight="1">
      <c r="A42" s="2229"/>
      <c r="B42" s="2229"/>
      <c r="C42" s="2229"/>
      <c r="D42" s="2229"/>
      <c r="E42" s="2229"/>
      <c r="F42" s="2229"/>
      <c r="G42" s="2229"/>
      <c r="H42" s="2229"/>
      <c r="I42" s="2214"/>
      <c r="J42" s="2215"/>
      <c r="K42" s="2215"/>
      <c r="L42" s="2215"/>
      <c r="M42" s="2215"/>
      <c r="N42" s="2215"/>
      <c r="O42" s="2215"/>
      <c r="P42" s="2215"/>
      <c r="Q42" s="2215"/>
      <c r="R42" s="2215"/>
      <c r="S42" s="2215"/>
      <c r="T42" s="2215"/>
      <c r="U42" s="2215"/>
      <c r="V42" s="2215"/>
      <c r="W42" s="2215"/>
      <c r="X42" s="2215"/>
      <c r="Y42" s="2215"/>
      <c r="Z42" s="2215"/>
      <c r="AA42" s="2216"/>
      <c r="AB42" s="96"/>
    </row>
    <row r="43" spans="1:28" ht="18" customHeight="1">
      <c r="A43" s="2226"/>
      <c r="B43" s="2227"/>
      <c r="C43" s="2227"/>
      <c r="D43" s="2228"/>
      <c r="E43" s="2226"/>
      <c r="F43" s="2227"/>
      <c r="G43" s="2227"/>
      <c r="H43" s="2228"/>
      <c r="I43" s="2214"/>
      <c r="J43" s="2215"/>
      <c r="K43" s="2215"/>
      <c r="L43" s="2215"/>
      <c r="M43" s="2215"/>
      <c r="N43" s="2215"/>
      <c r="O43" s="2215"/>
      <c r="P43" s="2215"/>
      <c r="Q43" s="2215"/>
      <c r="R43" s="2215"/>
      <c r="S43" s="2215"/>
      <c r="T43" s="2215"/>
      <c r="U43" s="2215"/>
      <c r="V43" s="2215"/>
      <c r="W43" s="2215"/>
      <c r="X43" s="2215"/>
      <c r="Y43" s="2215"/>
      <c r="Z43" s="2215"/>
      <c r="AA43" s="2216"/>
      <c r="AB43" s="96"/>
    </row>
    <row r="44" spans="1:28" ht="18" customHeight="1">
      <c r="A44" s="2226"/>
      <c r="B44" s="2227"/>
      <c r="C44" s="2227"/>
      <c r="D44" s="2228"/>
      <c r="E44" s="2226"/>
      <c r="F44" s="2227"/>
      <c r="G44" s="2227"/>
      <c r="H44" s="2228"/>
      <c r="I44" s="2214"/>
      <c r="J44" s="2215"/>
      <c r="K44" s="2215"/>
      <c r="L44" s="2215"/>
      <c r="M44" s="2215"/>
      <c r="N44" s="2215"/>
      <c r="O44" s="2215"/>
      <c r="P44" s="2215"/>
      <c r="Q44" s="2215"/>
      <c r="R44" s="2215"/>
      <c r="S44" s="2215"/>
      <c r="T44" s="2215"/>
      <c r="U44" s="2215"/>
      <c r="V44" s="2215"/>
      <c r="W44" s="2215"/>
      <c r="X44" s="2215"/>
      <c r="Y44" s="2215"/>
      <c r="Z44" s="2215"/>
      <c r="AA44" s="2216"/>
      <c r="AB44" s="96"/>
    </row>
    <row r="45" spans="1:28" ht="18" customHeight="1">
      <c r="A45" s="2229"/>
      <c r="B45" s="2229"/>
      <c r="C45" s="2229"/>
      <c r="D45" s="2229"/>
      <c r="E45" s="2229"/>
      <c r="F45" s="2229"/>
      <c r="G45" s="2229"/>
      <c r="H45" s="2229"/>
      <c r="I45" s="2214"/>
      <c r="J45" s="2215"/>
      <c r="K45" s="2215"/>
      <c r="L45" s="2215"/>
      <c r="M45" s="2215"/>
      <c r="N45" s="2215"/>
      <c r="O45" s="2215"/>
      <c r="P45" s="2215"/>
      <c r="Q45" s="2215"/>
      <c r="R45" s="2215"/>
      <c r="S45" s="2215"/>
      <c r="T45" s="2215"/>
      <c r="U45" s="2215"/>
      <c r="V45" s="2215"/>
      <c r="W45" s="2215"/>
      <c r="X45" s="2215"/>
      <c r="Y45" s="2215"/>
      <c r="Z45" s="2215"/>
      <c r="AA45" s="2216"/>
      <c r="AB45" s="96"/>
    </row>
    <row r="46" spans="1:28" ht="18" customHeight="1">
      <c r="A46" s="2229"/>
      <c r="B46" s="2229"/>
      <c r="C46" s="2229"/>
      <c r="D46" s="2229"/>
      <c r="E46" s="2229"/>
      <c r="F46" s="2229"/>
      <c r="G46" s="2229"/>
      <c r="H46" s="2229"/>
      <c r="I46" s="2214"/>
      <c r="J46" s="2215"/>
      <c r="K46" s="2215"/>
      <c r="L46" s="2215"/>
      <c r="M46" s="2215"/>
      <c r="N46" s="2215"/>
      <c r="O46" s="2215"/>
      <c r="P46" s="2215"/>
      <c r="Q46" s="2215"/>
      <c r="R46" s="2215"/>
      <c r="S46" s="2215"/>
      <c r="T46" s="2215"/>
      <c r="U46" s="2215"/>
      <c r="V46" s="2215"/>
      <c r="W46" s="2215"/>
      <c r="X46" s="2215"/>
      <c r="Y46" s="2215"/>
      <c r="Z46" s="2215"/>
      <c r="AA46" s="2216"/>
      <c r="AB46" s="96"/>
    </row>
    <row r="47" spans="1:28" ht="18" customHeight="1">
      <c r="A47" s="2229"/>
      <c r="B47" s="2229"/>
      <c r="C47" s="2229"/>
      <c r="D47" s="2229"/>
      <c r="E47" s="2229"/>
      <c r="F47" s="2229"/>
      <c r="G47" s="2229"/>
      <c r="H47" s="2229"/>
      <c r="I47" s="2214"/>
      <c r="J47" s="2215"/>
      <c r="K47" s="2215"/>
      <c r="L47" s="2215"/>
      <c r="M47" s="2215"/>
      <c r="N47" s="2215"/>
      <c r="O47" s="2215"/>
      <c r="P47" s="2215"/>
      <c r="Q47" s="2215"/>
      <c r="R47" s="2215"/>
      <c r="S47" s="2215"/>
      <c r="T47" s="2215"/>
      <c r="U47" s="2215"/>
      <c r="V47" s="2215"/>
      <c r="W47" s="2215"/>
      <c r="X47" s="2215"/>
      <c r="Y47" s="2215"/>
      <c r="Z47" s="2215"/>
      <c r="AA47" s="2216"/>
      <c r="AB47" s="96"/>
    </row>
    <row r="48" spans="1:28" ht="18" customHeight="1">
      <c r="A48" s="2229"/>
      <c r="B48" s="2229"/>
      <c r="C48" s="2229"/>
      <c r="D48" s="2229"/>
      <c r="E48" s="2229"/>
      <c r="F48" s="2229"/>
      <c r="G48" s="2229"/>
      <c r="H48" s="2229"/>
      <c r="I48" s="2214"/>
      <c r="J48" s="2215"/>
      <c r="K48" s="2215"/>
      <c r="L48" s="2215"/>
      <c r="M48" s="2215"/>
      <c r="N48" s="2215"/>
      <c r="O48" s="2215"/>
      <c r="P48" s="2215"/>
      <c r="Q48" s="2215"/>
      <c r="R48" s="2215"/>
      <c r="S48" s="2215"/>
      <c r="T48" s="2215"/>
      <c r="U48" s="2215"/>
      <c r="V48" s="2215"/>
      <c r="W48" s="2215"/>
      <c r="X48" s="2215"/>
      <c r="Y48" s="2215"/>
      <c r="Z48" s="2215"/>
      <c r="AA48" s="2216"/>
      <c r="AB48" s="96"/>
    </row>
    <row r="49" spans="1:28" ht="18" customHeight="1">
      <c r="A49" s="2229"/>
      <c r="B49" s="2229"/>
      <c r="C49" s="2229"/>
      <c r="D49" s="2229"/>
      <c r="E49" s="2229"/>
      <c r="F49" s="2229"/>
      <c r="G49" s="2229"/>
      <c r="H49" s="2229"/>
      <c r="I49" s="2214"/>
      <c r="J49" s="2215"/>
      <c r="K49" s="2215"/>
      <c r="L49" s="2215"/>
      <c r="M49" s="2215"/>
      <c r="N49" s="2215"/>
      <c r="O49" s="2215"/>
      <c r="P49" s="2215"/>
      <c r="Q49" s="2215"/>
      <c r="R49" s="2215"/>
      <c r="S49" s="2215"/>
      <c r="T49" s="2215"/>
      <c r="U49" s="2215"/>
      <c r="V49" s="2215"/>
      <c r="W49" s="2215"/>
      <c r="X49" s="2215"/>
      <c r="Y49" s="2215"/>
      <c r="Z49" s="2215"/>
      <c r="AA49" s="2216"/>
      <c r="AB49" s="96"/>
    </row>
    <row r="50" spans="1:28" ht="18" customHeight="1">
      <c r="A50" s="2229"/>
      <c r="B50" s="2229"/>
      <c r="C50" s="2229"/>
      <c r="D50" s="2229"/>
      <c r="E50" s="2229"/>
      <c r="F50" s="2229"/>
      <c r="G50" s="2229"/>
      <c r="H50" s="2229"/>
      <c r="I50" s="2214"/>
      <c r="J50" s="2215"/>
      <c r="K50" s="2215"/>
      <c r="L50" s="2215"/>
      <c r="M50" s="2215"/>
      <c r="N50" s="2215"/>
      <c r="O50" s="2215"/>
      <c r="P50" s="2215"/>
      <c r="Q50" s="2215"/>
      <c r="R50" s="2215"/>
      <c r="S50" s="2215"/>
      <c r="T50" s="2215"/>
      <c r="U50" s="2215"/>
      <c r="V50" s="2215"/>
      <c r="W50" s="2215"/>
      <c r="X50" s="2215"/>
      <c r="Y50" s="2215"/>
      <c r="Z50" s="2215"/>
      <c r="AA50" s="2216"/>
      <c r="AB50" s="96"/>
    </row>
    <row r="51" spans="1:28" ht="18" customHeight="1">
      <c r="A51" s="2229"/>
      <c r="B51" s="2229"/>
      <c r="C51" s="2229"/>
      <c r="D51" s="2229"/>
      <c r="E51" s="2229"/>
      <c r="F51" s="2229"/>
      <c r="G51" s="2229"/>
      <c r="H51" s="2229"/>
      <c r="I51" s="2214"/>
      <c r="J51" s="2215"/>
      <c r="K51" s="2215"/>
      <c r="L51" s="2215"/>
      <c r="M51" s="2215"/>
      <c r="N51" s="2215"/>
      <c r="O51" s="2215"/>
      <c r="P51" s="2215"/>
      <c r="Q51" s="2215"/>
      <c r="R51" s="2215"/>
      <c r="S51" s="2215"/>
      <c r="T51" s="2215"/>
      <c r="U51" s="2215"/>
      <c r="V51" s="2215"/>
      <c r="W51" s="2215"/>
      <c r="X51" s="2215"/>
      <c r="Y51" s="2215"/>
      <c r="Z51" s="2215"/>
      <c r="AA51" s="2216"/>
      <c r="AB51" s="96"/>
    </row>
    <row r="52" spans="1:28" ht="18" customHeight="1">
      <c r="A52" s="2229"/>
      <c r="B52" s="2229"/>
      <c r="C52" s="2229"/>
      <c r="D52" s="2229"/>
      <c r="E52" s="2229"/>
      <c r="F52" s="2229"/>
      <c r="G52" s="2229"/>
      <c r="H52" s="2229"/>
      <c r="I52" s="2214"/>
      <c r="J52" s="2215"/>
      <c r="K52" s="2215"/>
      <c r="L52" s="2215"/>
      <c r="M52" s="2215"/>
      <c r="N52" s="2215"/>
      <c r="O52" s="2215"/>
      <c r="P52" s="2215"/>
      <c r="Q52" s="2215"/>
      <c r="R52" s="2215"/>
      <c r="S52" s="2215"/>
      <c r="T52" s="2215"/>
      <c r="U52" s="2215"/>
      <c r="V52" s="2215"/>
      <c r="W52" s="2215"/>
      <c r="X52" s="2215"/>
      <c r="Y52" s="2215"/>
      <c r="Z52" s="2215"/>
      <c r="AA52" s="2216"/>
      <c r="AB52" s="96"/>
    </row>
    <row r="53" spans="1:28" ht="18" customHeight="1">
      <c r="A53" s="2294"/>
      <c r="B53" s="2294"/>
      <c r="C53" s="2294"/>
      <c r="D53" s="2294"/>
      <c r="E53" s="2294"/>
      <c r="F53" s="2294"/>
      <c r="G53" s="2294"/>
      <c r="H53" s="2294"/>
      <c r="I53" s="2217"/>
      <c r="J53" s="2218"/>
      <c r="K53" s="2218"/>
      <c r="L53" s="2218"/>
      <c r="M53" s="2218"/>
      <c r="N53" s="2218"/>
      <c r="O53" s="2218"/>
      <c r="P53" s="2218"/>
      <c r="Q53" s="2218"/>
      <c r="R53" s="2218"/>
      <c r="S53" s="2218"/>
      <c r="T53" s="2218"/>
      <c r="U53" s="2218"/>
      <c r="V53" s="2218"/>
      <c r="W53" s="2218"/>
      <c r="X53" s="2218"/>
      <c r="Y53" s="2218"/>
      <c r="Z53" s="2218"/>
      <c r="AA53" s="2219"/>
      <c r="AB53" s="96"/>
    </row>
    <row r="54" spans="1:28" ht="18" customHeight="1">
      <c r="H54" s="2320" t="str">
        <f>"【"&amp;【マスター】!C7&amp;"】"</f>
        <v>【デイサービスさくら亭】</v>
      </c>
      <c r="I54" s="2321"/>
      <c r="J54" s="2321"/>
      <c r="K54" s="2321"/>
      <c r="L54" s="2321"/>
      <c r="M54" s="2321"/>
      <c r="N54" s="2321"/>
      <c r="O54" s="2321"/>
      <c r="P54" s="2321"/>
      <c r="Q54" s="2321"/>
      <c r="R54" s="2321"/>
      <c r="S54" s="2321"/>
      <c r="T54" s="2321"/>
      <c r="U54" s="2321"/>
      <c r="W54" s="2224" t="s">
        <v>1680</v>
      </c>
      <c r="X54" s="2224"/>
      <c r="Y54" s="2224"/>
      <c r="Z54" s="2224"/>
      <c r="AA54" s="2224"/>
    </row>
    <row r="55" spans="1:28" ht="18" customHeight="1">
      <c r="H55" s="2321"/>
      <c r="I55" s="2321"/>
      <c r="J55" s="2321"/>
      <c r="K55" s="2321"/>
      <c r="L55" s="2321"/>
      <c r="M55" s="2321"/>
      <c r="N55" s="2321"/>
      <c r="O55" s="2321"/>
      <c r="P55" s="2321"/>
      <c r="Q55" s="2321"/>
      <c r="R55" s="2321"/>
      <c r="S55" s="2321"/>
      <c r="T55" s="2321"/>
      <c r="U55" s="2321"/>
      <c r="W55" s="2225"/>
      <c r="X55" s="2225"/>
      <c r="Y55" s="2225"/>
      <c r="Z55" s="2225"/>
      <c r="AA55" s="2225"/>
    </row>
    <row r="56" spans="1:28" ht="18" customHeight="1">
      <c r="W56" s="2225"/>
      <c r="X56" s="2225"/>
      <c r="Y56" s="2225"/>
      <c r="Z56" s="2225"/>
      <c r="AA56" s="2225"/>
    </row>
    <row r="57" spans="1:28" ht="18" customHeight="1"/>
    <row r="58" spans="1:28" ht="18" customHeight="1"/>
    <row r="59" spans="1:28" ht="18" customHeight="1"/>
    <row r="60" spans="1:28" ht="18" customHeight="1"/>
    <row r="61" spans="1:28" ht="18" customHeight="1"/>
    <row r="62" spans="1:28" ht="18" customHeight="1"/>
    <row r="63" spans="1:28" ht="18" customHeight="1"/>
  </sheetData>
  <sheetProtection selectLockedCells="1"/>
  <mergeCells count="150">
    <mergeCell ref="A2:H3"/>
    <mergeCell ref="T2:U3"/>
    <mergeCell ref="V2:Z3"/>
    <mergeCell ref="AA2:AA3"/>
    <mergeCell ref="I2:O3"/>
    <mergeCell ref="R8:AA8"/>
    <mergeCell ref="A5:C5"/>
    <mergeCell ref="D5:E5"/>
    <mergeCell ref="G5:I5"/>
    <mergeCell ref="J5:L5"/>
    <mergeCell ref="R5:AA5"/>
    <mergeCell ref="A6:F6"/>
    <mergeCell ref="G6:K6"/>
    <mergeCell ref="L6:Q6"/>
    <mergeCell ref="R6:AA7"/>
    <mergeCell ref="A7:B7"/>
    <mergeCell ref="P2:R3"/>
    <mergeCell ref="A9:B9"/>
    <mergeCell ref="C9:E9"/>
    <mergeCell ref="L9:M9"/>
    <mergeCell ref="N9:P9"/>
    <mergeCell ref="R9:AA9"/>
    <mergeCell ref="C7:F7"/>
    <mergeCell ref="G7:K7"/>
    <mergeCell ref="L7:M7"/>
    <mergeCell ref="N7:Q7"/>
    <mergeCell ref="A8:B8"/>
    <mergeCell ref="C8:E8"/>
    <mergeCell ref="L8:M8"/>
    <mergeCell ref="N8:P8"/>
    <mergeCell ref="G9:K9"/>
    <mergeCell ref="A16:C16"/>
    <mergeCell ref="A17:C17"/>
    <mergeCell ref="A18:C18"/>
    <mergeCell ref="A19:C19"/>
    <mergeCell ref="A20:C20"/>
    <mergeCell ref="A21:C21"/>
    <mergeCell ref="S11:T11"/>
    <mergeCell ref="U11:AA11"/>
    <mergeCell ref="D11:E11"/>
    <mergeCell ref="H11:I11"/>
    <mergeCell ref="M11:N11"/>
    <mergeCell ref="Q11:R11"/>
    <mergeCell ref="D12:E14"/>
    <mergeCell ref="H12:I14"/>
    <mergeCell ref="A11:C14"/>
    <mergeCell ref="J11:L14"/>
    <mergeCell ref="M12:N14"/>
    <mergeCell ref="Q12:R14"/>
    <mergeCell ref="S12:T14"/>
    <mergeCell ref="U12:AA14"/>
    <mergeCell ref="F12:G14"/>
    <mergeCell ref="F11:G11"/>
    <mergeCell ref="O11:P11"/>
    <mergeCell ref="O12:P14"/>
    <mergeCell ref="A25:D25"/>
    <mergeCell ref="E25:H25"/>
    <mergeCell ref="A26:D26"/>
    <mergeCell ref="E26:H26"/>
    <mergeCell ref="A23:D23"/>
    <mergeCell ref="Z23:AA23"/>
    <mergeCell ref="I23:L23"/>
    <mergeCell ref="M23:S23"/>
    <mergeCell ref="W23:Y23"/>
    <mergeCell ref="I25:AA25"/>
    <mergeCell ref="I26:AA26"/>
    <mergeCell ref="A29:D29"/>
    <mergeCell ref="E29:H29"/>
    <mergeCell ref="A30:D30"/>
    <mergeCell ref="E30:H30"/>
    <mergeCell ref="A27:D27"/>
    <mergeCell ref="E27:H27"/>
    <mergeCell ref="A28:D28"/>
    <mergeCell ref="E28:H28"/>
    <mergeCell ref="I27:AA27"/>
    <mergeCell ref="I28:AA28"/>
    <mergeCell ref="I29:AA29"/>
    <mergeCell ref="I30:AA30"/>
    <mergeCell ref="A33:D33"/>
    <mergeCell ref="E33:H33"/>
    <mergeCell ref="A34:D34"/>
    <mergeCell ref="E34:H34"/>
    <mergeCell ref="A31:D31"/>
    <mergeCell ref="E31:H31"/>
    <mergeCell ref="A32:D32"/>
    <mergeCell ref="E32:H32"/>
    <mergeCell ref="I31:AA31"/>
    <mergeCell ref="I32:AA32"/>
    <mergeCell ref="I33:AA33"/>
    <mergeCell ref="I34:AA34"/>
    <mergeCell ref="A37:D37"/>
    <mergeCell ref="E37:H37"/>
    <mergeCell ref="A38:D38"/>
    <mergeCell ref="E38:H38"/>
    <mergeCell ref="A35:D35"/>
    <mergeCell ref="E35:H35"/>
    <mergeCell ref="A36:D36"/>
    <mergeCell ref="E36:H36"/>
    <mergeCell ref="I35:AA35"/>
    <mergeCell ref="I36:AA36"/>
    <mergeCell ref="I37:AA37"/>
    <mergeCell ref="I38:AA38"/>
    <mergeCell ref="A41:D41"/>
    <mergeCell ref="E41:H41"/>
    <mergeCell ref="A42:D42"/>
    <mergeCell ref="E42:H42"/>
    <mergeCell ref="A39:D39"/>
    <mergeCell ref="E39:H39"/>
    <mergeCell ref="A40:D40"/>
    <mergeCell ref="E40:H40"/>
    <mergeCell ref="I39:AA39"/>
    <mergeCell ref="I40:AA40"/>
    <mergeCell ref="I41:AA41"/>
    <mergeCell ref="I42:AA42"/>
    <mergeCell ref="A45:D45"/>
    <mergeCell ref="E45:H45"/>
    <mergeCell ref="A46:D46"/>
    <mergeCell ref="E46:H46"/>
    <mergeCell ref="A43:D43"/>
    <mergeCell ref="E43:H43"/>
    <mergeCell ref="A44:D44"/>
    <mergeCell ref="E44:H44"/>
    <mergeCell ref="I43:AA43"/>
    <mergeCell ref="I44:AA44"/>
    <mergeCell ref="I45:AA45"/>
    <mergeCell ref="I46:AA46"/>
    <mergeCell ref="A49:D49"/>
    <mergeCell ref="E49:H49"/>
    <mergeCell ref="A47:D47"/>
    <mergeCell ref="E47:H47"/>
    <mergeCell ref="A48:D48"/>
    <mergeCell ref="E48:H48"/>
    <mergeCell ref="I47:AA47"/>
    <mergeCell ref="I48:AA48"/>
    <mergeCell ref="I49:AA49"/>
    <mergeCell ref="A50:D50"/>
    <mergeCell ref="E50:H50"/>
    <mergeCell ref="H54:U55"/>
    <mergeCell ref="W54:Y56"/>
    <mergeCell ref="Z54:AA56"/>
    <mergeCell ref="A53:D53"/>
    <mergeCell ref="E53:H53"/>
    <mergeCell ref="A51:D51"/>
    <mergeCell ref="E51:H51"/>
    <mergeCell ref="A52:D52"/>
    <mergeCell ref="E52:H52"/>
    <mergeCell ref="I50:AA50"/>
    <mergeCell ref="I51:AA51"/>
    <mergeCell ref="I52:AA52"/>
    <mergeCell ref="I53:AA53"/>
  </mergeCells>
  <phoneticPr fontId="16"/>
  <printOptions horizontalCentered="1"/>
  <pageMargins left="0.55118110236220474" right="0.15748031496062992" top="0.23622047244094491" bottom="0.23622047244094491" header="0.27559055118110237" footer="0.23622047244094491"/>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36</vt:i4>
      </vt:variant>
    </vt:vector>
  </HeadingPairs>
  <TitlesOfParts>
    <vt:vector size="61" baseType="lpstr">
      <vt:lpstr>帳票一覧</vt:lpstr>
      <vt:lpstr>【マスター】</vt:lpstr>
      <vt:lpstr>通所契約書 </vt:lpstr>
      <vt:lpstr>通所重説 (別表)</vt:lpstr>
      <vt:lpstr>通所重説</vt:lpstr>
      <vt:lpstr>介護S契約書 </vt:lpstr>
      <vt:lpstr>介護S重説</vt:lpstr>
      <vt:lpstr>サービス内容説明書</vt:lpstr>
      <vt:lpstr>同意書</vt:lpstr>
      <vt:lpstr>委任状</vt:lpstr>
      <vt:lpstr>利用相談</vt:lpstr>
      <vt:lpstr>緊急時連絡カード</vt:lpstr>
      <vt:lpstr>請求内容内訳</vt:lpstr>
      <vt:lpstr>料金表（1回分)</vt:lpstr>
      <vt:lpstr>お泊まり概算見積</vt:lpstr>
      <vt:lpstr>見積書（保険外含む）</vt:lpstr>
      <vt:lpstr>お泊まり概算見積（特例）</vt:lpstr>
      <vt:lpstr>通所重説(掲示)</vt:lpstr>
      <vt:lpstr>通所運営規程</vt:lpstr>
      <vt:lpstr>通所運営規程 (人数詳細)</vt:lpstr>
      <vt:lpstr>介護S重説(掲示)</vt:lpstr>
      <vt:lpstr>介護S運営規程</vt:lpstr>
      <vt:lpstr>個人情報基本方針</vt:lpstr>
      <vt:lpstr>経過表（内）</vt:lpstr>
      <vt:lpstr>経過表（外）</vt:lpstr>
      <vt:lpstr>【マスター】!Print_Area</vt:lpstr>
      <vt:lpstr>お泊まり概算見積!Print_Area</vt:lpstr>
      <vt:lpstr>'お泊まり概算見積（特例）'!Print_Area</vt:lpstr>
      <vt:lpstr>サービス内容説明書!Print_Area</vt:lpstr>
      <vt:lpstr>委任状!Print_Area</vt:lpstr>
      <vt:lpstr>介護S運営規程!Print_Area</vt:lpstr>
      <vt:lpstr>'介護S契約書 '!Print_Area</vt:lpstr>
      <vt:lpstr>介護S重説!Print_Area</vt:lpstr>
      <vt:lpstr>'介護S重説(掲示)'!Print_Area</vt:lpstr>
      <vt:lpstr>緊急時連絡カード!Print_Area</vt:lpstr>
      <vt:lpstr>'経過表（外）'!Print_Area</vt:lpstr>
      <vt:lpstr>'経過表（内）'!Print_Area</vt:lpstr>
      <vt:lpstr>'見積書（保険外含む）'!Print_Area</vt:lpstr>
      <vt:lpstr>個人情報基本方針!Print_Area</vt:lpstr>
      <vt:lpstr>請求内容内訳!Print_Area</vt:lpstr>
      <vt:lpstr>通所運営規程!Print_Area</vt:lpstr>
      <vt:lpstr>'通所運営規程 (人数詳細)'!Print_Area</vt:lpstr>
      <vt:lpstr>'通所契約書 '!Print_Area</vt:lpstr>
      <vt:lpstr>通所重説!Print_Area</vt:lpstr>
      <vt:lpstr>'通所重説 (別表)'!Print_Area</vt:lpstr>
      <vt:lpstr>'通所重説(掲示)'!Print_Area</vt:lpstr>
      <vt:lpstr>同意書!Print_Area</vt:lpstr>
      <vt:lpstr>利用相談!Print_Area</vt:lpstr>
      <vt:lpstr>'料金表（1回分)'!Print_Area</vt:lpstr>
      <vt:lpstr>【マスター】!機能訓練加算種類</vt:lpstr>
      <vt:lpstr>【マスター】!機能訓練加算単位数</vt:lpstr>
      <vt:lpstr>'見積書（保険外含む）'!要介護１</vt:lpstr>
      <vt:lpstr>要介護１</vt:lpstr>
      <vt:lpstr>'見積書（保険外含む）'!要介護２</vt:lpstr>
      <vt:lpstr>要介護２</vt:lpstr>
      <vt:lpstr>'見積書（保険外含む）'!要介護３</vt:lpstr>
      <vt:lpstr>要介護３</vt:lpstr>
      <vt:lpstr>'見積書（保険外含む）'!要介護４</vt:lpstr>
      <vt:lpstr>要介護４</vt:lpstr>
      <vt:lpstr>'見積書（保険外含む）'!要介護５</vt:lpstr>
      <vt:lpstr>要介護５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事業所使用様式</dc:title>
  <dc:subject/>
  <dc:creator>株式会社CareNation</dc:creator>
  <cp:keywords/>
  <dc:description/>
  <cp:lastModifiedBy>user</cp:lastModifiedBy>
  <cp:revision>20150703</cp:revision>
  <cp:lastPrinted>2025-05-28T07:58:07Z</cp:lastPrinted>
  <dcterms:created xsi:type="dcterms:W3CDTF">2000-11-28T07:00:36Z</dcterms:created>
  <dcterms:modified xsi:type="dcterms:W3CDTF">2025-06-21T03:52:30Z</dcterms:modified>
  <cp:category/>
  <cp:contentStatus/>
</cp:coreProperties>
</file>