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mc:AlternateContent xmlns:mc="http://schemas.openxmlformats.org/markup-compatibility/2006">
    <mc:Choice Requires="x15">
      <x15ac:absPath xmlns:x15ac="http://schemas.microsoft.com/office/spreadsheetml/2010/11/ac" url="C:\Users\ひまわり\Dropbox\施設\住宅型有料老人ホームひまわり\●本多\その他\デイサービス必要書類\★契約時書類\"/>
    </mc:Choice>
  </mc:AlternateContent>
  <xr:revisionPtr revIDLastSave="0" documentId="13_ncr:1_{31FDF997-E0F3-45B1-B8C3-7EC771BE50A5}" xr6:coauthVersionLast="47" xr6:coauthVersionMax="47" xr10:uidLastSave="{00000000-0000-0000-0000-000000000000}"/>
  <bookViews>
    <workbookView xWindow="-120" yWindow="-120" windowWidth="29040" windowHeight="15720" tabRatio="789" firstSheet="9" activeTab="9" xr2:uid="{38ADCF75-99C5-4F5B-8FB9-9A6413250D6A}"/>
  </bookViews>
  <sheets>
    <sheet name="帳票一覧" sheetId="107" state="hidden" r:id="rId1"/>
    <sheet name="【マスター】" sheetId="150" r:id="rId2"/>
    <sheet name="【表紙】通所契約書" sheetId="169" r:id="rId3"/>
    <sheet name="通所契約書 " sheetId="137" r:id="rId4"/>
    <sheet name="【裏表紙】通所契約書" sheetId="181" r:id="rId5"/>
    <sheet name="【表紙】通所重説" sheetId="170" state="hidden" r:id="rId6"/>
    <sheet name="通所重説" sheetId="151" r:id="rId7"/>
    <sheet name="通所重説 (別表)" sheetId="179" r:id="rId8"/>
    <sheet name="【裏表紙】通所重説" sheetId="177" r:id="rId9"/>
    <sheet name="【表紙】介護S契約書" sheetId="172" r:id="rId10"/>
    <sheet name="介護S契約書 " sheetId="138" r:id="rId11"/>
    <sheet name="【表紙】介護S重説" sheetId="152" state="hidden" r:id="rId12"/>
    <sheet name="介護S重説" sheetId="171" r:id="rId13"/>
    <sheet name="【裏表紙】介護S重説" sheetId="182" r:id="rId14"/>
    <sheet name="サービス内容説明書" sheetId="178" r:id="rId15"/>
    <sheet name="【裏表紙】介護S契約書" sheetId="183" r:id="rId16"/>
    <sheet name="同意書" sheetId="184" r:id="rId17"/>
    <sheet name="委任状" sheetId="185" r:id="rId18"/>
    <sheet name="緊急時連絡カード" sheetId="154" r:id="rId19"/>
    <sheet name="請求内容内訳" sheetId="131" state="hidden" r:id="rId20"/>
    <sheet name="利用相談" sheetId="93" r:id="rId21"/>
    <sheet name="お泊り利用概算見積書 (特例)" sheetId="161" state="hidden" r:id="rId22"/>
    <sheet name="お泊り利用概算見積書" sheetId="162" state="hidden" r:id="rId23"/>
    <sheet name="見積書" sheetId="180" r:id="rId24"/>
    <sheet name="料金表（1回分）" sheetId="186" r:id="rId25"/>
    <sheet name="お泊まり概算見積" sheetId="191" r:id="rId26"/>
    <sheet name="小田原_お泊まり概算見積（特例）" sheetId="187" r:id="rId27"/>
    <sheet name="通所重説(掲示)" sheetId="190" r:id="rId28"/>
    <sheet name="通所運営規程 (看護あり)" sheetId="134" r:id="rId29"/>
    <sheet name="介護S重説(掲示)" sheetId="128" r:id="rId30"/>
    <sheet name="介護S運営規程" sheetId="91" r:id="rId31"/>
    <sheet name="個人情報基本方針" sheetId="104" r:id="rId32"/>
    <sheet name="運行記録簿" sheetId="173" r:id="rId33"/>
    <sheet name="送迎記録" sheetId="174" r:id="rId34"/>
    <sheet name="経過表（内）" sheetId="121" state="hidden" r:id="rId35"/>
    <sheet name="経過表（外）" sheetId="109" state="hidden" r:id="rId36"/>
  </sheets>
  <externalReferences>
    <externalReference r:id="rId37"/>
  </externalReferences>
  <definedNames>
    <definedName name="Number" localSheetId="33">送迎記録!$B$5</definedName>
    <definedName name="Number">[1]RPT1456!$B$5</definedName>
    <definedName name="pageNo" localSheetId="33">送迎記録!$M$35</definedName>
    <definedName name="pageNo">[1]RPT1456!$M$35</definedName>
    <definedName name="_xlnm.Print_Area" localSheetId="1">【マスター】!$A$2:$M$168</definedName>
    <definedName name="_xlnm.Print_Area" localSheetId="9">【表紙】介護S契約書!$A$1:$T$54</definedName>
    <definedName name="_xlnm.Print_Area" localSheetId="11">【表紙】介護S重説!$A$1:$T$54</definedName>
    <definedName name="_xlnm.Print_Area" localSheetId="2">【表紙】通所契約書!$A$1:$U$54</definedName>
    <definedName name="_xlnm.Print_Area" localSheetId="5">【表紙】通所重説!$A$1:$T$54</definedName>
    <definedName name="_xlnm.Print_Area" localSheetId="15">【裏表紙】介護S契約書!$A$1:$T$59</definedName>
    <definedName name="_xlnm.Print_Area" localSheetId="13">【裏表紙】介護S重説!$A$1:$T$54</definedName>
    <definedName name="_xlnm.Print_Area" localSheetId="4">【裏表紙】通所契約書!$A$1:$T$54</definedName>
    <definedName name="_xlnm.Print_Area" localSheetId="8">【裏表紙】通所重説!$A$1:$U$54</definedName>
    <definedName name="_xlnm.Print_Area" localSheetId="25">お泊まり概算見積!$A$1:$K$55</definedName>
    <definedName name="_xlnm.Print_Area" localSheetId="22">お泊り利用概算見積書!$A$1:$P$40</definedName>
    <definedName name="_xlnm.Print_Area" localSheetId="21">'お泊り利用概算見積書 (特例)'!$A$1:$P$59</definedName>
    <definedName name="_xlnm.Print_Area" localSheetId="14">サービス内容説明書!$A$2:$X$47</definedName>
    <definedName name="_xlnm.Print_Area" localSheetId="17">委任状!$A$1:$T$53</definedName>
    <definedName name="_xlnm.Print_Area" localSheetId="32">運行記録簿!$A$1:$AN$71</definedName>
    <definedName name="_xlnm.Print_Area" localSheetId="30">介護S運営規程!$A$1:$T$249</definedName>
    <definedName name="_xlnm.Print_Area" localSheetId="10">'介護S契約書 '!$A$1:$T$222</definedName>
    <definedName name="_xlnm.Print_Area" localSheetId="12">介護S重説!$A$1:$V$160</definedName>
    <definedName name="_xlnm.Print_Area" localSheetId="29">'介護S重説(掲示)'!$A$1:$T$106</definedName>
    <definedName name="_xlnm.Print_Area" localSheetId="18">緊急時連絡カード!$A$1:$AF$51</definedName>
    <definedName name="_xlnm.Print_Area" localSheetId="35">'経過表（外）'!$A$1:$AA$56</definedName>
    <definedName name="_xlnm.Print_Area" localSheetId="34">'経過表（内）'!$A$1:$AC$54</definedName>
    <definedName name="_xlnm.Print_Area" localSheetId="23">見積書!$A$2:$X$45</definedName>
    <definedName name="_xlnm.Print_Area" localSheetId="31">個人情報基本方針!$A$1:$T$59</definedName>
    <definedName name="_xlnm.Print_Area" localSheetId="26">'小田原_お泊まり概算見積（特例）'!$A$1:$K$65</definedName>
    <definedName name="_xlnm.Print_Area" localSheetId="19">請求内容内訳!$A$1:$T$57</definedName>
    <definedName name="_xlnm.Print_Area" localSheetId="33">送迎記録!$B$1:$M$36</definedName>
    <definedName name="_xlnm.Print_Area" localSheetId="28">'通所運営規程 (看護あり)'!$A$1:$T$284</definedName>
    <definedName name="_xlnm.Print_Area" localSheetId="3">'通所契約書 '!$A$1:$T$227</definedName>
    <definedName name="_xlnm.Print_Area" localSheetId="6">通所重説!$A$1:$T$242</definedName>
    <definedName name="_xlnm.Print_Area" localSheetId="7">'通所重説 (別表)'!$A$1:$H$166</definedName>
    <definedName name="_xlnm.Print_Area" localSheetId="27">'通所重説(掲示)'!$A$1:$T$138</definedName>
    <definedName name="_xlnm.Print_Area" localSheetId="16">同意書!$A$1:$T$53</definedName>
    <definedName name="_xlnm.Print_Area" localSheetId="20">利用相談!$A$1:$AG$41</definedName>
    <definedName name="_xlnm.Print_Area" localSheetId="24">'料金表（1回分）'!$A$1:$K$57</definedName>
    <definedName name="svcOfficeName" localSheetId="15">[1]RPT1456!#REF!</definedName>
    <definedName name="svcOfficeName" localSheetId="13">[1]RPT1456!#REF!</definedName>
    <definedName name="svcOfficeName" localSheetId="4">[1]RPT1456!#REF!</definedName>
    <definedName name="svcOfficeName" localSheetId="25">[1]RPT1456!#REF!</definedName>
    <definedName name="svcOfficeName" localSheetId="23">[1]RPT1456!#REF!</definedName>
    <definedName name="svcOfficeName">[1]RPT1456!#REF!</definedName>
    <definedName name="なし" localSheetId="25">#REF!</definedName>
    <definedName name="なし" localSheetId="27">#REF!</definedName>
    <definedName name="なし">#REF!</definedName>
    <definedName name="延長加算" localSheetId="25">#REF!</definedName>
    <definedName name="延長加算" localSheetId="27">#REF!</definedName>
    <definedName name="延長加算">#REF!</definedName>
    <definedName name="延長加算算定時" localSheetId="25">#REF!</definedName>
    <definedName name="延長加算算定時" localSheetId="27">#REF!</definedName>
    <definedName name="延長加算算定時">#REF!</definedName>
    <definedName name="介護度１">見積書!$AF$12:$AF$45</definedName>
    <definedName name="介護度２">見積書!$AF$48:$AF$81</definedName>
    <definedName name="介護度３">見積書!$AF$84:$AF$117</definedName>
    <definedName name="介護度４">見積書!$AF$120:$AF$153</definedName>
    <definedName name="介護度５">見積書!$AF$156:$AF$189</definedName>
    <definedName name="機能訓練加算種類" localSheetId="1">【マスター】!$P$65:$P$67</definedName>
    <definedName name="機能訓練加算種類" localSheetId="9">#REF!</definedName>
    <definedName name="機能訓練加算種類" localSheetId="2">#REF!</definedName>
    <definedName name="機能訓練加算種類" localSheetId="5">#REF!</definedName>
    <definedName name="機能訓練加算種類" localSheetId="15">#REF!</definedName>
    <definedName name="機能訓練加算種類" localSheetId="13">#REF!</definedName>
    <definedName name="機能訓練加算種類" localSheetId="4">#REF!</definedName>
    <definedName name="機能訓練加算種類" localSheetId="8">#REF!</definedName>
    <definedName name="機能訓練加算種類" localSheetId="25">#REF!</definedName>
    <definedName name="機能訓練加算種類" localSheetId="12">#REF!</definedName>
    <definedName name="機能訓練加算種類" localSheetId="23">#REF!</definedName>
    <definedName name="機能訓練加算種類" localSheetId="7">#REF!</definedName>
    <definedName name="機能訓練加算種類" localSheetId="27">#REF!</definedName>
    <definedName name="機能訓練加算種類">#REF!</definedName>
    <definedName name="機能訓練加算単位数" localSheetId="1">【マスター】!$P$65:$P$67</definedName>
    <definedName name="機能訓練加算単位数" localSheetId="9">#REF!</definedName>
    <definedName name="機能訓練加算単位数" localSheetId="2">#REF!</definedName>
    <definedName name="機能訓練加算単位数" localSheetId="5">#REF!</definedName>
    <definedName name="機能訓練加算単位数" localSheetId="15">#REF!</definedName>
    <definedName name="機能訓練加算単位数" localSheetId="13">#REF!</definedName>
    <definedName name="機能訓練加算単位数" localSheetId="4">#REF!</definedName>
    <definedName name="機能訓練加算単位数" localSheetId="8">#REF!</definedName>
    <definedName name="機能訓練加算単位数" localSheetId="25">#REF!</definedName>
    <definedName name="機能訓練加算単位数" localSheetId="12">#REF!</definedName>
    <definedName name="機能訓練加算単位数" localSheetId="23">#REF!</definedName>
    <definedName name="機能訓練加算単位数" localSheetId="7">#REF!</definedName>
    <definedName name="機能訓練加算単位数" localSheetId="27">#REF!</definedName>
    <definedName name="機能訓練加算単位数">#REF!</definedName>
    <definedName name="自費延長" localSheetId="25">#REF!</definedName>
    <definedName name="自費延長" localSheetId="27">#REF!</definedName>
    <definedName name="自費延長">#REF!</definedName>
    <definedName name="要介護１">サービス内容説明書!$AF$12:$AF$45</definedName>
    <definedName name="要介護２">サービス内容説明書!$AF$48:$AF$81</definedName>
    <definedName name="要介護３">サービス内容説明書!$AF$84:$AF$117</definedName>
    <definedName name="要介護４">サービス内容説明書!$AF$120:$AF$153</definedName>
    <definedName name="要介護５">サービス内容説明書!$AF$156:$AF$189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178" l="1"/>
  <c r="K8" i="178"/>
  <c r="K22" i="178"/>
  <c r="H21" i="178"/>
  <c r="H22" i="178" l="1"/>
  <c r="E22" i="178"/>
  <c r="G8" i="178"/>
  <c r="O67" i="150"/>
  <c r="O66" i="150"/>
  <c r="J98" i="179" l="1"/>
  <c r="B98" i="179" s="1"/>
  <c r="B97" i="179"/>
  <c r="K9" i="191" l="1"/>
  <c r="I9" i="191"/>
  <c r="G9" i="191"/>
  <c r="E9" i="191"/>
  <c r="C9" i="191"/>
  <c r="C19" i="191"/>
  <c r="E19" i="191"/>
  <c r="G19" i="191"/>
  <c r="I19" i="191"/>
  <c r="K19" i="191"/>
  <c r="K29" i="191"/>
  <c r="I29" i="191"/>
  <c r="G29" i="191"/>
  <c r="E29" i="191"/>
  <c r="C29" i="191"/>
  <c r="C39" i="191"/>
  <c r="E39" i="191"/>
  <c r="G39" i="191"/>
  <c r="I39" i="191"/>
  <c r="K39" i="191"/>
  <c r="N38" i="187"/>
  <c r="N39" i="187"/>
  <c r="N40" i="187"/>
  <c r="N41" i="187"/>
  <c r="N37" i="187"/>
  <c r="N38" i="191"/>
  <c r="N39" i="191"/>
  <c r="N40" i="191"/>
  <c r="N41" i="191"/>
  <c r="N37" i="191"/>
  <c r="AC29" i="180" l="1"/>
  <c r="AC28" i="180"/>
  <c r="AC27" i="180"/>
  <c r="AC26" i="180"/>
  <c r="AC25" i="180"/>
  <c r="AC26" i="178"/>
  <c r="AC27" i="178"/>
  <c r="AC28" i="178"/>
  <c r="AC29" i="178"/>
  <c r="AC25" i="178"/>
  <c r="AC50" i="178"/>
  <c r="AD50" i="178" s="1"/>
  <c r="AC43" i="178"/>
  <c r="AD43" i="178" s="1"/>
  <c r="AC42" i="178"/>
  <c r="AD42" i="178" s="1"/>
  <c r="AC11" i="178"/>
  <c r="AD11" i="178" s="1"/>
  <c r="AC13" i="178"/>
  <c r="AD13" i="178" s="1"/>
  <c r="AC12" i="178"/>
  <c r="AD12" i="178" s="1"/>
  <c r="D52" i="171"/>
  <c r="D47" i="171"/>
  <c r="AC50" i="180"/>
  <c r="AD50" i="180" s="1"/>
  <c r="AC43" i="180"/>
  <c r="AD43" i="180" s="1"/>
  <c r="AC42" i="180"/>
  <c r="AD42" i="180" s="1"/>
  <c r="AC13" i="180"/>
  <c r="AD13" i="180" s="1"/>
  <c r="AC12" i="180"/>
  <c r="AD12" i="180" s="1"/>
  <c r="AC11" i="180"/>
  <c r="AD11" i="180" s="1"/>
  <c r="K50" i="186"/>
  <c r="K48" i="186"/>
  <c r="O52" i="191"/>
  <c r="O49" i="191"/>
  <c r="O48" i="191"/>
  <c r="O44" i="191"/>
  <c r="O45" i="191"/>
  <c r="O43" i="191"/>
  <c r="O62" i="187"/>
  <c r="O58" i="187"/>
  <c r="O59" i="187"/>
  <c r="O55" i="187"/>
  <c r="O54" i="187"/>
  <c r="O53" i="187"/>
  <c r="C127" i="91"/>
  <c r="C118" i="91"/>
  <c r="D48" i="128"/>
  <c r="D45" i="128"/>
  <c r="M24" i="187" l="1"/>
  <c r="M23" i="191"/>
  <c r="AH54" i="180"/>
  <c r="AH55" i="180" s="1"/>
  <c r="AH56" i="180" s="1"/>
  <c r="AH57" i="180" s="1"/>
  <c r="AH58" i="180" s="1"/>
  <c r="AH59" i="180" s="1"/>
  <c r="AH53" i="180"/>
  <c r="AH52" i="180"/>
  <c r="AH51" i="180"/>
  <c r="AH50" i="180"/>
  <c r="AH48" i="180" s="1"/>
  <c r="AH49" i="180"/>
  <c r="AH54" i="178"/>
  <c r="AH55" i="178" s="1"/>
  <c r="AH56" i="178" s="1"/>
  <c r="AH57" i="178" s="1"/>
  <c r="AH58" i="178" s="1"/>
  <c r="AH59" i="178" s="1"/>
  <c r="AH53" i="178"/>
  <c r="AH52" i="178"/>
  <c r="AH51" i="178"/>
  <c r="AH50" i="178"/>
  <c r="AH48" i="178" s="1"/>
  <c r="AH49" i="178"/>
  <c r="AH90" i="180"/>
  <c r="AH92" i="180" s="1"/>
  <c r="AH94" i="180" s="1"/>
  <c r="AH89" i="180"/>
  <c r="AH91" i="180" s="1"/>
  <c r="AH93" i="180" s="1"/>
  <c r="AH95" i="180" s="1"/>
  <c r="AH88" i="180"/>
  <c r="AH87" i="180"/>
  <c r="AH86" i="180"/>
  <c r="AH84" i="180" s="1"/>
  <c r="AH85" i="180"/>
  <c r="AH90" i="178"/>
  <c r="AH91" i="178" s="1"/>
  <c r="AH92" i="178" s="1"/>
  <c r="AH93" i="178" s="1"/>
  <c r="AH94" i="178" s="1"/>
  <c r="AH95" i="178" s="1"/>
  <c r="AH89" i="178"/>
  <c r="AH88" i="178"/>
  <c r="AH87" i="178"/>
  <c r="AH86" i="178"/>
  <c r="AH84" i="178" s="1"/>
  <c r="AH85" i="178"/>
  <c r="AK120" i="180"/>
  <c r="AH126" i="180"/>
  <c r="AH128" i="180" s="1"/>
  <c r="AH130" i="180" s="1"/>
  <c r="AH125" i="180"/>
  <c r="AH127" i="180" s="1"/>
  <c r="AH129" i="180" s="1"/>
  <c r="AH131" i="180" s="1"/>
  <c r="AH124" i="180"/>
  <c r="AH123" i="180"/>
  <c r="AH122" i="180"/>
  <c r="AH120" i="180" s="1"/>
  <c r="AH121" i="180"/>
  <c r="AH126" i="178"/>
  <c r="AH127" i="178" s="1"/>
  <c r="AH128" i="178" s="1"/>
  <c r="AH129" i="178" s="1"/>
  <c r="AH130" i="178" s="1"/>
  <c r="AH131" i="178" s="1"/>
  <c r="AH125" i="178"/>
  <c r="AH124" i="178"/>
  <c r="AH123" i="178"/>
  <c r="AH122" i="178"/>
  <c r="AH120" i="178" s="1"/>
  <c r="AH121" i="178"/>
  <c r="AH162" i="180"/>
  <c r="AH164" i="180" s="1"/>
  <c r="AH166" i="180" s="1"/>
  <c r="AH161" i="180"/>
  <c r="AH163" i="180" s="1"/>
  <c r="AH165" i="180" s="1"/>
  <c r="AH167" i="180" s="1"/>
  <c r="AH160" i="180"/>
  <c r="AH159" i="180"/>
  <c r="AH158" i="180"/>
  <c r="AH157" i="180"/>
  <c r="AH156" i="180" s="1"/>
  <c r="AH162" i="178"/>
  <c r="AH163" i="178" s="1"/>
  <c r="AH164" i="178" s="1"/>
  <c r="AH165" i="178" s="1"/>
  <c r="AH166" i="178" s="1"/>
  <c r="AH167" i="178" s="1"/>
  <c r="AH161" i="178"/>
  <c r="AH160" i="178"/>
  <c r="AH159" i="178"/>
  <c r="AH158" i="178"/>
  <c r="AH156" i="178" s="1"/>
  <c r="AH157" i="178"/>
  <c r="AH13" i="180"/>
  <c r="AH14" i="180"/>
  <c r="AH15" i="180"/>
  <c r="AH16" i="180"/>
  <c r="AH17" i="180"/>
  <c r="AH18" i="180"/>
  <c r="AH18" i="178"/>
  <c r="AH19" i="178" s="1"/>
  <c r="AH20" i="178" s="1"/>
  <c r="AH21" i="178" s="1"/>
  <c r="AH22" i="178" s="1"/>
  <c r="AH23" i="178" s="1"/>
  <c r="AH17" i="178"/>
  <c r="AH16" i="178"/>
  <c r="AH15" i="178"/>
  <c r="AH13" i="178"/>
  <c r="AH14" i="178"/>
  <c r="AH12" i="178" s="1"/>
  <c r="F38" i="186"/>
  <c r="K54" i="186"/>
  <c r="K53" i="186"/>
  <c r="K52" i="186"/>
  <c r="K43" i="186"/>
  <c r="K44" i="186"/>
  <c r="K42" i="186"/>
  <c r="P123" i="91"/>
  <c r="P122" i="91"/>
  <c r="P126" i="91"/>
  <c r="P125" i="91"/>
  <c r="C119" i="91"/>
  <c r="H44" i="128"/>
  <c r="H43" i="128"/>
  <c r="D40" i="128"/>
  <c r="D38" i="128"/>
  <c r="D35" i="128"/>
  <c r="X139" i="134"/>
  <c r="W139" i="134"/>
  <c r="V139" i="134"/>
  <c r="M138" i="134"/>
  <c r="M137" i="134"/>
  <c r="C132" i="134"/>
  <c r="J60" i="190"/>
  <c r="J59" i="190"/>
  <c r="B55" i="190"/>
  <c r="P21" i="187"/>
  <c r="P20" i="187"/>
  <c r="P19" i="187"/>
  <c r="P21" i="191"/>
  <c r="P20" i="191"/>
  <c r="P19" i="191"/>
  <c r="C139" i="134" l="1"/>
  <c r="S34" i="180"/>
  <c r="S35" i="180"/>
  <c r="S36" i="180"/>
  <c r="S37" i="180"/>
  <c r="S38" i="180"/>
  <c r="S39" i="180"/>
  <c r="S40" i="180"/>
  <c r="S33" i="180"/>
  <c r="O34" i="180"/>
  <c r="O35" i="180"/>
  <c r="O36" i="180"/>
  <c r="O37" i="180"/>
  <c r="O38" i="180"/>
  <c r="O39" i="180"/>
  <c r="O40" i="180"/>
  <c r="G45" i="171"/>
  <c r="G42" i="171"/>
  <c r="D37" i="171"/>
  <c r="D34" i="171"/>
  <c r="D29" i="171"/>
  <c r="S34" i="178"/>
  <c r="S35" i="178"/>
  <c r="S36" i="178"/>
  <c r="S37" i="178"/>
  <c r="S33" i="178"/>
  <c r="O35" i="178"/>
  <c r="O36" i="178"/>
  <c r="O37" i="178"/>
  <c r="AM40" i="180"/>
  <c r="AM39" i="180"/>
  <c r="AM38" i="180"/>
  <c r="AM37" i="180"/>
  <c r="AM36" i="180"/>
  <c r="AM35" i="180"/>
  <c r="O33" i="180" s="1"/>
  <c r="AM34" i="180"/>
  <c r="AM33" i="180"/>
  <c r="AM32" i="180"/>
  <c r="AM31" i="180"/>
  <c r="AM40" i="178"/>
  <c r="AM39" i="178"/>
  <c r="AM38" i="178"/>
  <c r="AM37" i="178"/>
  <c r="O34" i="178" s="1"/>
  <c r="AM36" i="178"/>
  <c r="AM35" i="178"/>
  <c r="AM34" i="178"/>
  <c r="AM33" i="178"/>
  <c r="AM32" i="178"/>
  <c r="AM31" i="178"/>
  <c r="E102" i="179"/>
  <c r="E101" i="179"/>
  <c r="AU50" i="150"/>
  <c r="AU61" i="150" s="1"/>
  <c r="AU49" i="150"/>
  <c r="AU60" i="150" s="1"/>
  <c r="AU48" i="150"/>
  <c r="AU59" i="150" s="1"/>
  <c r="AU47" i="150"/>
  <c r="AU58" i="150" s="1"/>
  <c r="AU46" i="150"/>
  <c r="AU57" i="150" s="1"/>
  <c r="AU45" i="150"/>
  <c r="AU56" i="150" s="1"/>
  <c r="AU44" i="150"/>
  <c r="AU55" i="150" s="1"/>
  <c r="AU43" i="150"/>
  <c r="AU54" i="150" s="1"/>
  <c r="K52" i="150"/>
  <c r="L52" i="150" l="1"/>
  <c r="Q17" i="187" s="1"/>
  <c r="O33" i="178"/>
  <c r="Q17" i="191"/>
  <c r="K38" i="186"/>
  <c r="P17" i="187"/>
  <c r="R17" i="187" s="1"/>
  <c r="P17" i="191"/>
  <c r="R17" i="191" s="1"/>
  <c r="AH45" i="180"/>
  <c r="AH189" i="178"/>
  <c r="AH117" i="180"/>
  <c r="AH81" i="178"/>
  <c r="AH189" i="180"/>
  <c r="AH153" i="178"/>
  <c r="J38" i="186"/>
  <c r="AH45" i="178"/>
  <c r="AH81" i="180"/>
  <c r="AH153" i="180"/>
  <c r="AH117" i="178"/>
  <c r="J45" i="128"/>
  <c r="K47" i="171"/>
  <c r="F79" i="150" l="1"/>
  <c r="O68" i="150"/>
  <c r="E108" i="150"/>
  <c r="M62" i="187"/>
  <c r="M63" i="187" s="1"/>
  <c r="I64" i="187" s="1"/>
  <c r="M52" i="191"/>
  <c r="M53" i="191" s="1"/>
  <c r="I54" i="191" s="1"/>
  <c r="J33" i="186"/>
  <c r="J34" i="186"/>
  <c r="J32" i="186"/>
  <c r="F33" i="186"/>
  <c r="F34" i="186"/>
  <c r="F32" i="186"/>
  <c r="I34" i="186"/>
  <c r="AA50" i="180"/>
  <c r="AA51" i="180" s="1"/>
  <c r="K21" i="180" s="1"/>
  <c r="Z15" i="180"/>
  <c r="Z14" i="180"/>
  <c r="K8" i="180" l="1"/>
  <c r="AD52" i="180" s="1"/>
  <c r="AA50" i="178"/>
  <c r="AA51" i="178" s="1"/>
  <c r="AD52" i="178" l="1"/>
  <c r="F77" i="150" l="1"/>
  <c r="F75" i="150" l="1"/>
  <c r="F74" i="150"/>
  <c r="F73" i="150"/>
  <c r="A90" i="179"/>
  <c r="K19" i="183"/>
  <c r="K18" i="183"/>
  <c r="C48" i="186"/>
  <c r="A49" i="190" l="1"/>
  <c r="U64" i="134"/>
  <c r="C243" i="91"/>
  <c r="G247" i="91" l="1"/>
  <c r="I247" i="91"/>
  <c r="K247" i="91"/>
  <c r="E247" i="91"/>
  <c r="E281" i="134"/>
  <c r="J64" i="134"/>
  <c r="A2" i="180" l="1"/>
  <c r="A17" i="180"/>
  <c r="R8" i="180"/>
  <c r="A17" i="178"/>
  <c r="S11" i="178" l="1"/>
  <c r="O12" i="178"/>
  <c r="O16" i="178"/>
  <c r="O17" i="178"/>
  <c r="S12" i="178"/>
  <c r="S13" i="178"/>
  <c r="S14" i="178"/>
  <c r="S15" i="178"/>
  <c r="S16" i="178"/>
  <c r="S17" i="178"/>
  <c r="I12" i="178"/>
  <c r="I13" i="178"/>
  <c r="I14" i="178"/>
  <c r="I15" i="178"/>
  <c r="I16" i="178"/>
  <c r="I17" i="178"/>
  <c r="I11" i="178"/>
  <c r="I11" i="180"/>
  <c r="F247" i="91"/>
  <c r="P15" i="191"/>
  <c r="J46" i="187"/>
  <c r="H46" i="187"/>
  <c r="F46" i="187"/>
  <c r="D46" i="187"/>
  <c r="B46" i="187"/>
  <c r="J36" i="187"/>
  <c r="H36" i="187"/>
  <c r="F36" i="187"/>
  <c r="D36" i="187"/>
  <c r="B36" i="187"/>
  <c r="J26" i="187"/>
  <c r="H26" i="187"/>
  <c r="F26" i="187"/>
  <c r="D26" i="187"/>
  <c r="B26" i="187"/>
  <c r="J16" i="187"/>
  <c r="H16" i="187"/>
  <c r="F16" i="187"/>
  <c r="D16" i="187"/>
  <c r="B16" i="187"/>
  <c r="J6" i="187"/>
  <c r="H6" i="187"/>
  <c r="F6" i="187"/>
  <c r="D6" i="187"/>
  <c r="B6" i="187"/>
  <c r="J36" i="191"/>
  <c r="H36" i="191"/>
  <c r="F36" i="191"/>
  <c r="D36" i="191"/>
  <c r="B36" i="191"/>
  <c r="J26" i="191"/>
  <c r="H26" i="191"/>
  <c r="F26" i="191"/>
  <c r="D26" i="191"/>
  <c r="B26" i="191"/>
  <c r="J16" i="191"/>
  <c r="H16" i="191"/>
  <c r="F16" i="191"/>
  <c r="D16" i="191"/>
  <c r="B16" i="191"/>
  <c r="J6" i="191"/>
  <c r="H6" i="191"/>
  <c r="F6" i="191"/>
  <c r="D6" i="191"/>
  <c r="B6" i="191"/>
  <c r="F65" i="187"/>
  <c r="F55" i="191"/>
  <c r="V44" i="150"/>
  <c r="V55" i="150" s="1"/>
  <c r="V43" i="150"/>
  <c r="V54" i="150" s="1"/>
  <c r="AG5" i="178" l="1"/>
  <c r="P15" i="187"/>
  <c r="R15" i="187" s="1"/>
  <c r="O15" i="187"/>
  <c r="J65" i="187"/>
  <c r="H65" i="187"/>
  <c r="A65" i="187"/>
  <c r="A55" i="191"/>
  <c r="H55" i="191"/>
  <c r="J55" i="191"/>
  <c r="O15" i="191"/>
  <c r="I5" i="186"/>
  <c r="I6" i="186"/>
  <c r="I7" i="186"/>
  <c r="I8" i="186"/>
  <c r="I9" i="186"/>
  <c r="I10" i="186"/>
  <c r="I11" i="186"/>
  <c r="I12" i="186"/>
  <c r="I13" i="186"/>
  <c r="I14" i="186"/>
  <c r="I15" i="186"/>
  <c r="I16" i="186"/>
  <c r="I17" i="186"/>
  <c r="I18" i="186"/>
  <c r="I19" i="186"/>
  <c r="I20" i="186"/>
  <c r="I21" i="186"/>
  <c r="I22" i="186"/>
  <c r="I23" i="186"/>
  <c r="I24" i="186"/>
  <c r="I25" i="186"/>
  <c r="I26" i="186"/>
  <c r="I27" i="186"/>
  <c r="I28" i="186"/>
  <c r="I29" i="186"/>
  <c r="I30" i="186"/>
  <c r="I31" i="186"/>
  <c r="I32" i="186"/>
  <c r="I33" i="186"/>
  <c r="F27" i="186"/>
  <c r="J62" i="187" s="1"/>
  <c r="F28" i="186"/>
  <c r="F5" i="186"/>
  <c r="B50" i="191" s="1"/>
  <c r="F6" i="186"/>
  <c r="B61" i="187" s="1"/>
  <c r="F7" i="186"/>
  <c r="B62" i="187" s="1"/>
  <c r="F8" i="186"/>
  <c r="B53" i="191" s="1"/>
  <c r="F9" i="186"/>
  <c r="D49" i="191" s="1"/>
  <c r="F10" i="186"/>
  <c r="D60" i="187" s="1"/>
  <c r="F11" i="186"/>
  <c r="D51" i="191" s="1"/>
  <c r="F12" i="186"/>
  <c r="D62" i="187" s="1"/>
  <c r="F13" i="186"/>
  <c r="D63" i="187" s="1"/>
  <c r="F14" i="186"/>
  <c r="F59" i="187" s="1"/>
  <c r="F15" i="186"/>
  <c r="F60" i="187" s="1"/>
  <c r="F16" i="186"/>
  <c r="F51" i="191" s="1"/>
  <c r="F17" i="186"/>
  <c r="F52" i="191" s="1"/>
  <c r="F18" i="186"/>
  <c r="F63" i="187" s="1"/>
  <c r="F19" i="186"/>
  <c r="H59" i="187" s="1"/>
  <c r="F20" i="186"/>
  <c r="H60" i="187" s="1"/>
  <c r="F21" i="186"/>
  <c r="H51" i="191" s="1"/>
  <c r="F22" i="186"/>
  <c r="H62" i="187" s="1"/>
  <c r="F23" i="186"/>
  <c r="H53" i="191" s="1"/>
  <c r="F24" i="186"/>
  <c r="J49" i="191" s="1"/>
  <c r="F25" i="186"/>
  <c r="J60" i="187" s="1"/>
  <c r="F26" i="186"/>
  <c r="J61" i="187" s="1"/>
  <c r="O43" i="180"/>
  <c r="O40" i="178"/>
  <c r="A4" i="178"/>
  <c r="AC30" i="178"/>
  <c r="AK156" i="180"/>
  <c r="AK163" i="180"/>
  <c r="AK164" i="180" s="1"/>
  <c r="AK165" i="180" s="1"/>
  <c r="AK166" i="180" s="1"/>
  <c r="AK167" i="180" s="1"/>
  <c r="AK127" i="180"/>
  <c r="AK128" i="180" s="1"/>
  <c r="AK129" i="180" s="1"/>
  <c r="AK130" i="180" s="1"/>
  <c r="AK131" i="180" s="1"/>
  <c r="AK48" i="180"/>
  <c r="AK55" i="180"/>
  <c r="AK56" i="180" s="1"/>
  <c r="AK57" i="180" s="1"/>
  <c r="AK58" i="180" s="1"/>
  <c r="AK59" i="180" s="1"/>
  <c r="AK19" i="180"/>
  <c r="AK20" i="180" s="1"/>
  <c r="AK21" i="180" s="1"/>
  <c r="AK22" i="180" s="1"/>
  <c r="AK23" i="180" s="1"/>
  <c r="AK12" i="180"/>
  <c r="AH12" i="180" s="1"/>
  <c r="D72" i="150"/>
  <c r="A78" i="179"/>
  <c r="AT47" i="150"/>
  <c r="AT58" i="150" s="1"/>
  <c r="AT43" i="150"/>
  <c r="AT54" i="150" s="1"/>
  <c r="AT50" i="150"/>
  <c r="AT61" i="150" s="1"/>
  <c r="D68" i="150"/>
  <c r="D65" i="150"/>
  <c r="AP43" i="150"/>
  <c r="AP44" i="150"/>
  <c r="AP45" i="150"/>
  <c r="AP46" i="150"/>
  <c r="AP57" i="150" s="1"/>
  <c r="AP47" i="150"/>
  <c r="AP58" i="150" s="1"/>
  <c r="AP48" i="150"/>
  <c r="AP59" i="150" s="1"/>
  <c r="AP49" i="150"/>
  <c r="AP60" i="150" s="1"/>
  <c r="AP50" i="150"/>
  <c r="AP61" i="150" s="1"/>
  <c r="AP54" i="150"/>
  <c r="AP55" i="150"/>
  <c r="AP56" i="150"/>
  <c r="A74" i="179"/>
  <c r="A56" i="179"/>
  <c r="A57" i="179"/>
  <c r="A58" i="179"/>
  <c r="A59" i="179"/>
  <c r="A60" i="179"/>
  <c r="A61" i="179"/>
  <c r="A62" i="179"/>
  <c r="A63" i="179"/>
  <c r="A64" i="179"/>
  <c r="A65" i="179"/>
  <c r="A66" i="179"/>
  <c r="A67" i="179"/>
  <c r="A68" i="179"/>
  <c r="A69" i="179"/>
  <c r="A70" i="179"/>
  <c r="A71" i="179"/>
  <c r="A72" i="179"/>
  <c r="A73" i="179"/>
  <c r="A75" i="179"/>
  <c r="A76" i="179"/>
  <c r="A77" i="179"/>
  <c r="N55" i="150"/>
  <c r="N56" i="150"/>
  <c r="N53" i="150"/>
  <c r="N54" i="150"/>
  <c r="AS50" i="150"/>
  <c r="AS61" i="150" s="1"/>
  <c r="AQ50" i="150"/>
  <c r="AQ61" i="150" s="1"/>
  <c r="AO50" i="150"/>
  <c r="AO61" i="150" s="1"/>
  <c r="AN50" i="150"/>
  <c r="AN61" i="150" s="1"/>
  <c r="AM50" i="150"/>
  <c r="AM61" i="150" s="1"/>
  <c r="AL50" i="150"/>
  <c r="AL61" i="150" s="1"/>
  <c r="AK50" i="150"/>
  <c r="AK61" i="150" s="1"/>
  <c r="AJ50" i="150"/>
  <c r="AJ61" i="150" s="1"/>
  <c r="AI50" i="150"/>
  <c r="AI61" i="150" s="1"/>
  <c r="AH50" i="150"/>
  <c r="AH61" i="150" s="1"/>
  <c r="AG50" i="150"/>
  <c r="AG61" i="150" s="1"/>
  <c r="AF50" i="150"/>
  <c r="AF61" i="150" s="1"/>
  <c r="AE50" i="150"/>
  <c r="AE61" i="150" s="1"/>
  <c r="AD50" i="150"/>
  <c r="AD61" i="150" s="1"/>
  <c r="AC50" i="150"/>
  <c r="AC61" i="150" s="1"/>
  <c r="AB50" i="150"/>
  <c r="AB61" i="150" s="1"/>
  <c r="AA50" i="150"/>
  <c r="AA61" i="150" s="1"/>
  <c r="Z50" i="150"/>
  <c r="Z61" i="150" s="1"/>
  <c r="Y50" i="150"/>
  <c r="Y61" i="150" s="1"/>
  <c r="X50" i="150"/>
  <c r="X61" i="150" s="1"/>
  <c r="W50" i="150"/>
  <c r="W61" i="150" s="1"/>
  <c r="AS49" i="150"/>
  <c r="AS60" i="150" s="1"/>
  <c r="AQ49" i="150"/>
  <c r="AQ60" i="150" s="1"/>
  <c r="AO49" i="150"/>
  <c r="AO60" i="150" s="1"/>
  <c r="AN49" i="150"/>
  <c r="AN60" i="150" s="1"/>
  <c r="AM49" i="150"/>
  <c r="AM60" i="150" s="1"/>
  <c r="AL49" i="150"/>
  <c r="AL60" i="150" s="1"/>
  <c r="AK49" i="150"/>
  <c r="AK60" i="150" s="1"/>
  <c r="AJ49" i="150"/>
  <c r="AJ60" i="150" s="1"/>
  <c r="AI49" i="150"/>
  <c r="AI60" i="150" s="1"/>
  <c r="AH49" i="150"/>
  <c r="AH60" i="150" s="1"/>
  <c r="AG49" i="150"/>
  <c r="AG60" i="150" s="1"/>
  <c r="AF49" i="150"/>
  <c r="AF60" i="150" s="1"/>
  <c r="AE49" i="150"/>
  <c r="AE60" i="150" s="1"/>
  <c r="AD49" i="150"/>
  <c r="AD60" i="150" s="1"/>
  <c r="AC49" i="150"/>
  <c r="AC60" i="150" s="1"/>
  <c r="AB49" i="150"/>
  <c r="AB60" i="150" s="1"/>
  <c r="AA49" i="150"/>
  <c r="AA60" i="150" s="1"/>
  <c r="Z49" i="150"/>
  <c r="Z60" i="150" s="1"/>
  <c r="Y49" i="150"/>
  <c r="X49" i="150"/>
  <c r="X60" i="150" s="1"/>
  <c r="W49" i="150"/>
  <c r="W60" i="150" s="1"/>
  <c r="AS48" i="150"/>
  <c r="AS59" i="150" s="1"/>
  <c r="AQ48" i="150"/>
  <c r="AQ59" i="150" s="1"/>
  <c r="AO48" i="150"/>
  <c r="AO59" i="150" s="1"/>
  <c r="AN48" i="150"/>
  <c r="AN59" i="150" s="1"/>
  <c r="AM48" i="150"/>
  <c r="AM59" i="150" s="1"/>
  <c r="AL48" i="150"/>
  <c r="AL59" i="150" s="1"/>
  <c r="AK48" i="150"/>
  <c r="AK59" i="150" s="1"/>
  <c r="AJ48" i="150"/>
  <c r="AJ59" i="150" s="1"/>
  <c r="AI48" i="150"/>
  <c r="AI59" i="150" s="1"/>
  <c r="AH48" i="150"/>
  <c r="AH59" i="150" s="1"/>
  <c r="AG48" i="150"/>
  <c r="AG59" i="150" s="1"/>
  <c r="AF48" i="150"/>
  <c r="AF59" i="150" s="1"/>
  <c r="AE48" i="150"/>
  <c r="AE59" i="150" s="1"/>
  <c r="AD48" i="150"/>
  <c r="AD59" i="150" s="1"/>
  <c r="AC48" i="150"/>
  <c r="AC59" i="150" s="1"/>
  <c r="AB48" i="150"/>
  <c r="AB59" i="150" s="1"/>
  <c r="AA48" i="150"/>
  <c r="AA59" i="150" s="1"/>
  <c r="Z48" i="150"/>
  <c r="Z59" i="150" s="1"/>
  <c r="Y48" i="150"/>
  <c r="Y59" i="150" s="1"/>
  <c r="X48" i="150"/>
  <c r="X59" i="150" s="1"/>
  <c r="W48" i="150"/>
  <c r="W59" i="150" s="1"/>
  <c r="AS47" i="150"/>
  <c r="AS58" i="150" s="1"/>
  <c r="AQ47" i="150"/>
  <c r="AQ58" i="150" s="1"/>
  <c r="AO47" i="150"/>
  <c r="AO58" i="150" s="1"/>
  <c r="AN47" i="150"/>
  <c r="AN58" i="150" s="1"/>
  <c r="AM47" i="150"/>
  <c r="AM58" i="150" s="1"/>
  <c r="AL47" i="150"/>
  <c r="AL58" i="150" s="1"/>
  <c r="AK47" i="150"/>
  <c r="AK58" i="150" s="1"/>
  <c r="AJ47" i="150"/>
  <c r="AJ58" i="150" s="1"/>
  <c r="AI47" i="150"/>
  <c r="AI58" i="150" s="1"/>
  <c r="AH47" i="150"/>
  <c r="AH58" i="150" s="1"/>
  <c r="AG47" i="150"/>
  <c r="AG58" i="150" s="1"/>
  <c r="AF47" i="150"/>
  <c r="AF58" i="150" s="1"/>
  <c r="AE47" i="150"/>
  <c r="AE58" i="150" s="1"/>
  <c r="AD47" i="150"/>
  <c r="AD58" i="150" s="1"/>
  <c r="AC47" i="150"/>
  <c r="AC58" i="150" s="1"/>
  <c r="AB47" i="150"/>
  <c r="AB58" i="150" s="1"/>
  <c r="AA47" i="150"/>
  <c r="AA58" i="150" s="1"/>
  <c r="Z47" i="150"/>
  <c r="Z58" i="150" s="1"/>
  <c r="Y47" i="150"/>
  <c r="Y58" i="150" s="1"/>
  <c r="X47" i="150"/>
  <c r="X58" i="150" s="1"/>
  <c r="W47" i="150"/>
  <c r="W58" i="150" s="1"/>
  <c r="AS46" i="150"/>
  <c r="AS57" i="150" s="1"/>
  <c r="AQ46" i="150"/>
  <c r="AQ57" i="150" s="1"/>
  <c r="AO46" i="150"/>
  <c r="AO57" i="150" s="1"/>
  <c r="AN46" i="150"/>
  <c r="AN57" i="150" s="1"/>
  <c r="AM46" i="150"/>
  <c r="AM57" i="150" s="1"/>
  <c r="AL46" i="150"/>
  <c r="AL57" i="150" s="1"/>
  <c r="AK46" i="150"/>
  <c r="AK57" i="150" s="1"/>
  <c r="AJ46" i="150"/>
  <c r="AJ57" i="150" s="1"/>
  <c r="AI46" i="150"/>
  <c r="AI57" i="150" s="1"/>
  <c r="AH46" i="150"/>
  <c r="AH57" i="150" s="1"/>
  <c r="AG46" i="150"/>
  <c r="AG57" i="150" s="1"/>
  <c r="AF46" i="150"/>
  <c r="AF57" i="150" s="1"/>
  <c r="AE46" i="150"/>
  <c r="AE57" i="150" s="1"/>
  <c r="AD46" i="150"/>
  <c r="AD57" i="150" s="1"/>
  <c r="AC46" i="150"/>
  <c r="AC57" i="150" s="1"/>
  <c r="AB46" i="150"/>
  <c r="AB57" i="150" s="1"/>
  <c r="AA46" i="150"/>
  <c r="AA57" i="150" s="1"/>
  <c r="Z46" i="150"/>
  <c r="Z57" i="150" s="1"/>
  <c r="Y46" i="150"/>
  <c r="Y57" i="150" s="1"/>
  <c r="X46" i="150"/>
  <c r="X57" i="150" s="1"/>
  <c r="W46" i="150"/>
  <c r="W57" i="150" s="1"/>
  <c r="AS45" i="150"/>
  <c r="AS56" i="150" s="1"/>
  <c r="AQ45" i="150"/>
  <c r="AQ56" i="150" s="1"/>
  <c r="AO45" i="150"/>
  <c r="AO56" i="150" s="1"/>
  <c r="AN45" i="150"/>
  <c r="AN56" i="150" s="1"/>
  <c r="AM45" i="150"/>
  <c r="AM56" i="150" s="1"/>
  <c r="AL45" i="150"/>
  <c r="AL56" i="150" s="1"/>
  <c r="AK45" i="150"/>
  <c r="AK56" i="150" s="1"/>
  <c r="AJ45" i="150"/>
  <c r="AJ56" i="150" s="1"/>
  <c r="AI45" i="150"/>
  <c r="AI56" i="150" s="1"/>
  <c r="AH45" i="150"/>
  <c r="AH56" i="150" s="1"/>
  <c r="AG45" i="150"/>
  <c r="AG56" i="150" s="1"/>
  <c r="AF45" i="150"/>
  <c r="AF56" i="150" s="1"/>
  <c r="AE45" i="150"/>
  <c r="AE56" i="150" s="1"/>
  <c r="AD45" i="150"/>
  <c r="AD56" i="150" s="1"/>
  <c r="AC45" i="150"/>
  <c r="AC56" i="150" s="1"/>
  <c r="AB45" i="150"/>
  <c r="AB56" i="150" s="1"/>
  <c r="AA45" i="150"/>
  <c r="AA56" i="150" s="1"/>
  <c r="Z45" i="150"/>
  <c r="Z56" i="150" s="1"/>
  <c r="Y45" i="150"/>
  <c r="X45" i="150"/>
  <c r="X56" i="150" s="1"/>
  <c r="W45" i="150"/>
  <c r="W56" i="150" s="1"/>
  <c r="AS44" i="150"/>
  <c r="AS55" i="150" s="1"/>
  <c r="AQ44" i="150"/>
  <c r="AQ55" i="150" s="1"/>
  <c r="AO44" i="150"/>
  <c r="AO55" i="150" s="1"/>
  <c r="AN44" i="150"/>
  <c r="AN55" i="150" s="1"/>
  <c r="AM44" i="150"/>
  <c r="AM55" i="150" s="1"/>
  <c r="AL44" i="150"/>
  <c r="AL55" i="150" s="1"/>
  <c r="AK44" i="150"/>
  <c r="AK55" i="150" s="1"/>
  <c r="AJ44" i="150"/>
  <c r="AJ55" i="150" s="1"/>
  <c r="AI44" i="150"/>
  <c r="AI55" i="150" s="1"/>
  <c r="AH44" i="150"/>
  <c r="AH55" i="150" s="1"/>
  <c r="AG44" i="150"/>
  <c r="AG55" i="150" s="1"/>
  <c r="AF44" i="150"/>
  <c r="AF55" i="150" s="1"/>
  <c r="AE44" i="150"/>
  <c r="AE55" i="150" s="1"/>
  <c r="AD44" i="150"/>
  <c r="AD55" i="150" s="1"/>
  <c r="AC44" i="150"/>
  <c r="AC55" i="150" s="1"/>
  <c r="AB44" i="150"/>
  <c r="AB55" i="150" s="1"/>
  <c r="AA44" i="150"/>
  <c r="AA55" i="150" s="1"/>
  <c r="Z44" i="150"/>
  <c r="Z55" i="150" s="1"/>
  <c r="Y44" i="150"/>
  <c r="Y55" i="150" s="1"/>
  <c r="X44" i="150"/>
  <c r="X55" i="150" s="1"/>
  <c r="W44" i="150"/>
  <c r="W55" i="150" s="1"/>
  <c r="AS43" i="150"/>
  <c r="AS54" i="150" s="1"/>
  <c r="AQ43" i="150"/>
  <c r="AQ54" i="150" s="1"/>
  <c r="AO43" i="150"/>
  <c r="AO54" i="150" s="1"/>
  <c r="AN43" i="150"/>
  <c r="AN54" i="150" s="1"/>
  <c r="AM43" i="150"/>
  <c r="AM54" i="150" s="1"/>
  <c r="AL43" i="150"/>
  <c r="AL54" i="150" s="1"/>
  <c r="AK43" i="150"/>
  <c r="AK54" i="150" s="1"/>
  <c r="AJ43" i="150"/>
  <c r="AJ54" i="150" s="1"/>
  <c r="AI43" i="150"/>
  <c r="AI54" i="150" s="1"/>
  <c r="AH43" i="150"/>
  <c r="AH54" i="150" s="1"/>
  <c r="AG43" i="150"/>
  <c r="AG54" i="150" s="1"/>
  <c r="AF43" i="150"/>
  <c r="AF54" i="150" s="1"/>
  <c r="AE43" i="150"/>
  <c r="AE54" i="150" s="1"/>
  <c r="AD43" i="150"/>
  <c r="AD54" i="150" s="1"/>
  <c r="AC43" i="150"/>
  <c r="AC54" i="150" s="1"/>
  <c r="AB43" i="150"/>
  <c r="AB54" i="150" s="1"/>
  <c r="AA43" i="150"/>
  <c r="AA54" i="150" s="1"/>
  <c r="Z43" i="150"/>
  <c r="Z54" i="150" s="1"/>
  <c r="Y43" i="150"/>
  <c r="Y54" i="150" s="1"/>
  <c r="X43" i="150"/>
  <c r="X54" i="150" s="1"/>
  <c r="W43" i="150"/>
  <c r="W54" i="150" s="1"/>
  <c r="D71" i="150"/>
  <c r="J26" i="186" s="1"/>
  <c r="D69" i="150"/>
  <c r="D67" i="150"/>
  <c r="D66" i="150"/>
  <c r="D64" i="150"/>
  <c r="D62" i="150"/>
  <c r="D61" i="150"/>
  <c r="D60" i="150"/>
  <c r="D59" i="150"/>
  <c r="D58" i="150"/>
  <c r="D57" i="150"/>
  <c r="D56" i="150"/>
  <c r="D55" i="150"/>
  <c r="D54" i="150"/>
  <c r="D53" i="150"/>
  <c r="D52" i="150"/>
  <c r="D51" i="150"/>
  <c r="D50" i="150"/>
  <c r="D49" i="150"/>
  <c r="J6" i="186" l="1"/>
  <c r="AH71" i="180"/>
  <c r="AH143" i="180"/>
  <c r="AH179" i="178"/>
  <c r="AH143" i="178"/>
  <c r="AH35" i="178"/>
  <c r="AH107" i="180"/>
  <c r="AH107" i="178"/>
  <c r="AH71" i="178"/>
  <c r="AH179" i="180"/>
  <c r="J27" i="186"/>
  <c r="AH79" i="180"/>
  <c r="AH151" i="180"/>
  <c r="AH187" i="178"/>
  <c r="AH151" i="178"/>
  <c r="AH43" i="178"/>
  <c r="AH79" i="178"/>
  <c r="AH115" i="180"/>
  <c r="AH115" i="178"/>
  <c r="AH187" i="180"/>
  <c r="J23" i="186"/>
  <c r="AH178" i="180"/>
  <c r="AH70" i="178"/>
  <c r="AH70" i="180"/>
  <c r="AH142" i="180"/>
  <c r="AH178" i="178"/>
  <c r="AH142" i="178"/>
  <c r="AH34" i="178"/>
  <c r="AH106" i="180"/>
  <c r="AH106" i="178"/>
  <c r="D61" i="179"/>
  <c r="AH174" i="180"/>
  <c r="AH66" i="180"/>
  <c r="AH138" i="180"/>
  <c r="AH174" i="178"/>
  <c r="AH138" i="178"/>
  <c r="AH30" i="178"/>
  <c r="AH102" i="178"/>
  <c r="AH102" i="180"/>
  <c r="AH66" i="178"/>
  <c r="J14" i="186"/>
  <c r="AC21" i="180"/>
  <c r="AC21" i="178"/>
  <c r="J19" i="186"/>
  <c r="AH77" i="178"/>
  <c r="AH41" i="178"/>
  <c r="AH113" i="180"/>
  <c r="AH185" i="180"/>
  <c r="AH77" i="180"/>
  <c r="AH149" i="180"/>
  <c r="AH185" i="178"/>
  <c r="AH149" i="178"/>
  <c r="AH113" i="178"/>
  <c r="J7" i="186"/>
  <c r="AH108" i="180"/>
  <c r="AH108" i="178"/>
  <c r="AH180" i="178"/>
  <c r="AH144" i="178"/>
  <c r="AH72" i="178"/>
  <c r="AH72" i="180"/>
  <c r="AH144" i="180"/>
  <c r="AH36" i="178"/>
  <c r="AH180" i="180"/>
  <c r="D62" i="179"/>
  <c r="AH67" i="180"/>
  <c r="AH139" i="180"/>
  <c r="AH175" i="178"/>
  <c r="AH139" i="178"/>
  <c r="AH31" i="178"/>
  <c r="AH175" i="180"/>
  <c r="AH103" i="180"/>
  <c r="AH103" i="178"/>
  <c r="AH67" i="178"/>
  <c r="D66" i="179"/>
  <c r="AH73" i="178"/>
  <c r="AH109" i="178"/>
  <c r="AH181" i="180"/>
  <c r="AH145" i="178"/>
  <c r="AH109" i="180"/>
  <c r="AH73" i="180"/>
  <c r="AH145" i="180"/>
  <c r="AH181" i="178"/>
  <c r="AH37" i="178"/>
  <c r="D72" i="179"/>
  <c r="AH104" i="180"/>
  <c r="AH104" i="178"/>
  <c r="AH68" i="180"/>
  <c r="AH140" i="180"/>
  <c r="AH176" i="178"/>
  <c r="AH32" i="178"/>
  <c r="AH68" i="178"/>
  <c r="AH176" i="180"/>
  <c r="AH140" i="178"/>
  <c r="E49" i="150"/>
  <c r="E57" i="150"/>
  <c r="E63" i="179" s="1"/>
  <c r="F63" i="179" s="1"/>
  <c r="E65" i="150"/>
  <c r="K20" i="186" s="1"/>
  <c r="D56" i="179"/>
  <c r="AH61" i="178"/>
  <c r="AH25" i="178"/>
  <c r="AH97" i="180"/>
  <c r="AH97" i="178"/>
  <c r="AH169" i="180"/>
  <c r="AH61" i="180"/>
  <c r="AH133" i="180"/>
  <c r="AH169" i="178"/>
  <c r="AH133" i="178"/>
  <c r="D60" i="179"/>
  <c r="AH65" i="178"/>
  <c r="AH29" i="178"/>
  <c r="AH173" i="180"/>
  <c r="AH101" i="180"/>
  <c r="AH101" i="178"/>
  <c r="AH65" i="180"/>
  <c r="AH137" i="180"/>
  <c r="AH173" i="178"/>
  <c r="AH137" i="178"/>
  <c r="J13" i="186"/>
  <c r="AC20" i="180"/>
  <c r="AC20" i="178"/>
  <c r="D68" i="179"/>
  <c r="AH75" i="180"/>
  <c r="AH147" i="180"/>
  <c r="AH183" i="178"/>
  <c r="AH147" i="178"/>
  <c r="AH39" i="178"/>
  <c r="AH111" i="180"/>
  <c r="AH111" i="178"/>
  <c r="AH183" i="180"/>
  <c r="AH75" i="178"/>
  <c r="D74" i="179"/>
  <c r="AH63" i="180"/>
  <c r="AH135" i="180"/>
  <c r="AH171" i="178"/>
  <c r="AH135" i="178"/>
  <c r="AH27" i="178"/>
  <c r="O14" i="178" s="1"/>
  <c r="AH99" i="180"/>
  <c r="AH99" i="178"/>
  <c r="AH171" i="180"/>
  <c r="AH63" i="178"/>
  <c r="D55" i="179"/>
  <c r="AH96" i="180"/>
  <c r="AH96" i="178"/>
  <c r="AH60" i="180"/>
  <c r="AH168" i="178"/>
  <c r="AH60" i="178"/>
  <c r="AH132" i="180"/>
  <c r="AH132" i="178"/>
  <c r="AH24" i="178"/>
  <c r="O13" i="178" s="1"/>
  <c r="AH168" i="180"/>
  <c r="J8" i="186"/>
  <c r="AH170" i="180"/>
  <c r="AH62" i="180"/>
  <c r="AH134" i="180"/>
  <c r="AH170" i="178"/>
  <c r="AH134" i="178"/>
  <c r="AH26" i="178"/>
  <c r="AH62" i="178"/>
  <c r="AH98" i="180"/>
  <c r="AH98" i="178"/>
  <c r="J12" i="186"/>
  <c r="AC19" i="178"/>
  <c r="AC19" i="180"/>
  <c r="D67" i="179"/>
  <c r="AH182" i="180"/>
  <c r="AH74" i="180"/>
  <c r="AH146" i="180"/>
  <c r="AH182" i="178"/>
  <c r="AH146" i="178"/>
  <c r="AH38" i="178"/>
  <c r="AH74" i="178"/>
  <c r="AH110" i="180"/>
  <c r="AH110" i="178"/>
  <c r="D73" i="179"/>
  <c r="AH69" i="178"/>
  <c r="AH105" i="180"/>
  <c r="AH177" i="180"/>
  <c r="AH33" i="178"/>
  <c r="AH69" i="180"/>
  <c r="AH141" i="180"/>
  <c r="AH177" i="178"/>
  <c r="AH141" i="178"/>
  <c r="AH105" i="178"/>
  <c r="J20" i="186"/>
  <c r="AH186" i="180"/>
  <c r="AH78" i="180"/>
  <c r="AH150" i="180"/>
  <c r="AH186" i="178"/>
  <c r="AH150" i="178"/>
  <c r="AH42" i="178"/>
  <c r="AH114" i="180"/>
  <c r="AH114" i="178"/>
  <c r="AH78" i="178"/>
  <c r="E58" i="150"/>
  <c r="E64" i="179" s="1"/>
  <c r="F64" i="179" s="1"/>
  <c r="E66" i="150"/>
  <c r="I51" i="191" s="1"/>
  <c r="E55" i="150"/>
  <c r="E61" i="179" s="1"/>
  <c r="G61" i="179" s="1"/>
  <c r="E59" i="150"/>
  <c r="E65" i="179" s="1"/>
  <c r="G65" i="179" s="1"/>
  <c r="E63" i="150"/>
  <c r="E69" i="179" s="1"/>
  <c r="G69" i="179" s="1"/>
  <c r="E67" i="150"/>
  <c r="K22" i="186" s="1"/>
  <c r="E53" i="150"/>
  <c r="E59" i="179" s="1"/>
  <c r="F59" i="179" s="1"/>
  <c r="E61" i="150"/>
  <c r="E67" i="179" s="1"/>
  <c r="F67" i="179" s="1"/>
  <c r="E71" i="150"/>
  <c r="E77" i="179" s="1"/>
  <c r="E56" i="150"/>
  <c r="E62" i="179" s="1"/>
  <c r="H62" i="179" s="1"/>
  <c r="E64" i="150"/>
  <c r="I59" i="187" s="1"/>
  <c r="E52" i="150"/>
  <c r="E58" i="179" s="1"/>
  <c r="H58" i="179" s="1"/>
  <c r="E60" i="150"/>
  <c r="E66" i="179" s="1"/>
  <c r="H66" i="179" s="1"/>
  <c r="E69" i="150"/>
  <c r="K59" i="187" s="1"/>
  <c r="D50" i="191"/>
  <c r="B60" i="187"/>
  <c r="D59" i="187"/>
  <c r="D53" i="191"/>
  <c r="D52" i="191"/>
  <c r="J22" i="186"/>
  <c r="E54" i="150"/>
  <c r="E60" i="179" s="1"/>
  <c r="F60" i="179" s="1"/>
  <c r="E62" i="150"/>
  <c r="E68" i="179" s="1"/>
  <c r="F68" i="179" s="1"/>
  <c r="J21" i="186"/>
  <c r="J5" i="186"/>
  <c r="F62" i="187"/>
  <c r="H50" i="191"/>
  <c r="F61" i="187"/>
  <c r="J11" i="186"/>
  <c r="J59" i="187"/>
  <c r="D78" i="179"/>
  <c r="J10" i="186"/>
  <c r="E68" i="150"/>
  <c r="I63" i="187" s="1"/>
  <c r="J17" i="186"/>
  <c r="J9" i="186"/>
  <c r="J24" i="186"/>
  <c r="J16" i="186"/>
  <c r="B63" i="187"/>
  <c r="J15" i="186"/>
  <c r="B52" i="191"/>
  <c r="F50" i="191"/>
  <c r="J52" i="191"/>
  <c r="D61" i="187"/>
  <c r="H63" i="187"/>
  <c r="B51" i="191"/>
  <c r="F49" i="191"/>
  <c r="H49" i="191"/>
  <c r="H52" i="191"/>
  <c r="J51" i="191"/>
  <c r="F53" i="191"/>
  <c r="J50" i="191"/>
  <c r="H61" i="187"/>
  <c r="E55" i="179"/>
  <c r="C51" i="191"/>
  <c r="E50" i="191"/>
  <c r="G52" i="191"/>
  <c r="I50" i="191"/>
  <c r="C63" i="187"/>
  <c r="E60" i="187"/>
  <c r="G61" i="187"/>
  <c r="I62" i="187"/>
  <c r="K21" i="186"/>
  <c r="K13" i="186"/>
  <c r="G51" i="191"/>
  <c r="I53" i="191"/>
  <c r="K49" i="191"/>
  <c r="G59" i="187"/>
  <c r="G60" i="187"/>
  <c r="I61" i="187"/>
  <c r="C53" i="191"/>
  <c r="E52" i="191"/>
  <c r="G50" i="191"/>
  <c r="I52" i="191"/>
  <c r="C61" i="187"/>
  <c r="E62" i="187"/>
  <c r="G63" i="187"/>
  <c r="I60" i="187"/>
  <c r="K18" i="186"/>
  <c r="K12" i="186"/>
  <c r="E51" i="191"/>
  <c r="G53" i="191"/>
  <c r="G49" i="191"/>
  <c r="E61" i="187"/>
  <c r="G62" i="187"/>
  <c r="AT44" i="150"/>
  <c r="AT55" i="150" s="1"/>
  <c r="AT48" i="150"/>
  <c r="AT59" i="150" s="1"/>
  <c r="AT45" i="150"/>
  <c r="AT56" i="150" s="1"/>
  <c r="AT49" i="150"/>
  <c r="AT60" i="150" s="1"/>
  <c r="AT46" i="150"/>
  <c r="AT57" i="150" s="1"/>
  <c r="N57" i="150"/>
  <c r="AR42" i="150" s="1"/>
  <c r="D70" i="150" s="1"/>
  <c r="E50" i="150"/>
  <c r="Y56" i="150"/>
  <c r="Y60" i="150"/>
  <c r="E51" i="150" s="1"/>
  <c r="G64" i="179"/>
  <c r="H64" i="179"/>
  <c r="E57" i="179" l="1"/>
  <c r="K6" i="186"/>
  <c r="E72" i="150"/>
  <c r="K52" i="191" s="1"/>
  <c r="C62" i="187"/>
  <c r="K62" i="187"/>
  <c r="C52" i="191"/>
  <c r="E49" i="191"/>
  <c r="E59" i="187"/>
  <c r="I49" i="191"/>
  <c r="K10" i="186"/>
  <c r="K9" i="186"/>
  <c r="H65" i="179"/>
  <c r="H69" i="179"/>
  <c r="K15" i="186"/>
  <c r="F69" i="179"/>
  <c r="G63" i="179"/>
  <c r="H63" i="179"/>
  <c r="F65" i="179"/>
  <c r="G67" i="179"/>
  <c r="J25" i="186"/>
  <c r="AH100" i="180"/>
  <c r="AH100" i="178"/>
  <c r="AH136" i="178"/>
  <c r="AH64" i="178"/>
  <c r="AH64" i="180"/>
  <c r="AH136" i="180"/>
  <c r="AH172" i="180"/>
  <c r="AH172" i="178"/>
  <c r="AH28" i="178"/>
  <c r="K14" i="186"/>
  <c r="K8" i="186"/>
  <c r="H59" i="179"/>
  <c r="F57" i="179"/>
  <c r="H61" i="179"/>
  <c r="F61" i="179"/>
  <c r="G59" i="179"/>
  <c r="E78" i="179"/>
  <c r="K27" i="186"/>
  <c r="G62" i="179"/>
  <c r="K11" i="186"/>
  <c r="F62" i="179"/>
  <c r="K26" i="186"/>
  <c r="F66" i="179"/>
  <c r="G60" i="179"/>
  <c r="H60" i="179"/>
  <c r="G66" i="179"/>
  <c r="H67" i="179"/>
  <c r="K16" i="186"/>
  <c r="K19" i="186"/>
  <c r="G58" i="179"/>
  <c r="F58" i="179"/>
  <c r="K7" i="186"/>
  <c r="E74" i="179"/>
  <c r="H74" i="179" s="1"/>
  <c r="K24" i="186"/>
  <c r="G68" i="179"/>
  <c r="H68" i="179"/>
  <c r="K17" i="186"/>
  <c r="K23" i="186"/>
  <c r="Q15" i="187"/>
  <c r="Q15" i="191"/>
  <c r="E56" i="179"/>
  <c r="F56" i="179" s="1"/>
  <c r="C60" i="187"/>
  <c r="C50" i="191"/>
  <c r="K5" i="186"/>
  <c r="J35" i="128"/>
  <c r="G57" i="179" l="1"/>
  <c r="H57" i="179"/>
  <c r="G78" i="179"/>
  <c r="H78" i="179"/>
  <c r="F78" i="179"/>
  <c r="F74" i="179"/>
  <c r="G74" i="179"/>
  <c r="H56" i="179"/>
  <c r="G56" i="179"/>
  <c r="AC30" i="180"/>
  <c r="F285" i="134" l="1"/>
  <c r="E285" i="134" s="1"/>
  <c r="L285" i="134"/>
  <c r="F286" i="134"/>
  <c r="E286" i="134" s="1"/>
  <c r="L286" i="134"/>
  <c r="F287" i="134"/>
  <c r="E287" i="134" s="1"/>
  <c r="L287" i="134"/>
  <c r="F288" i="134"/>
  <c r="E288" i="134" s="1"/>
  <c r="L288" i="134"/>
  <c r="F289" i="134"/>
  <c r="E289" i="134" s="1"/>
  <c r="L289" i="134"/>
  <c r="F290" i="134"/>
  <c r="E290" i="134" s="1"/>
  <c r="L290" i="134"/>
  <c r="F291" i="134"/>
  <c r="E291" i="134" s="1"/>
  <c r="L291" i="134"/>
  <c r="F292" i="134"/>
  <c r="E292" i="134" s="1"/>
  <c r="L292" i="134"/>
  <c r="F293" i="134"/>
  <c r="E293" i="134" s="1"/>
  <c r="L293" i="134"/>
  <c r="F294" i="134"/>
  <c r="E294" i="134" s="1"/>
  <c r="L294" i="134"/>
  <c r="F295" i="134"/>
  <c r="E295" i="134" s="1"/>
  <c r="L295" i="134"/>
  <c r="F296" i="134"/>
  <c r="E296" i="134" s="1"/>
  <c r="L296" i="134"/>
  <c r="F297" i="134"/>
  <c r="E297" i="134" s="1"/>
  <c r="L297" i="134"/>
  <c r="F298" i="134"/>
  <c r="E298" i="134" s="1"/>
  <c r="L298" i="134"/>
  <c r="F299" i="134"/>
  <c r="E299" i="134" s="1"/>
  <c r="L299" i="134"/>
  <c r="F300" i="134"/>
  <c r="E300" i="134" s="1"/>
  <c r="L300" i="134"/>
  <c r="F301" i="134"/>
  <c r="E301" i="134" s="1"/>
  <c r="L301" i="134"/>
  <c r="F302" i="134"/>
  <c r="E302" i="134" s="1"/>
  <c r="L302" i="134"/>
  <c r="F303" i="134"/>
  <c r="E303" i="134" s="1"/>
  <c r="L303" i="134"/>
  <c r="F304" i="134"/>
  <c r="E304" i="134" s="1"/>
  <c r="L304" i="134"/>
  <c r="F305" i="134"/>
  <c r="E305" i="134" s="1"/>
  <c r="L305" i="134"/>
  <c r="F306" i="134"/>
  <c r="E306" i="134" s="1"/>
  <c r="L306" i="134"/>
  <c r="F307" i="134"/>
  <c r="E307" i="134" s="1"/>
  <c r="L307" i="134"/>
  <c r="F308" i="134"/>
  <c r="E308" i="134" s="1"/>
  <c r="L308" i="134"/>
  <c r="F309" i="134"/>
  <c r="E309" i="134" s="1"/>
  <c r="L309" i="134"/>
  <c r="F310" i="134"/>
  <c r="E310" i="134" s="1"/>
  <c r="L310" i="134"/>
  <c r="F311" i="134"/>
  <c r="E311" i="134" s="1"/>
  <c r="L311" i="134"/>
  <c r="F312" i="134"/>
  <c r="E312" i="134" s="1"/>
  <c r="L312" i="134"/>
  <c r="F313" i="134"/>
  <c r="E313" i="134" s="1"/>
  <c r="L313" i="134"/>
  <c r="F314" i="134"/>
  <c r="E314" i="134" s="1"/>
  <c r="L314" i="134"/>
  <c r="F315" i="134"/>
  <c r="E315" i="134" s="1"/>
  <c r="L315" i="134"/>
  <c r="F316" i="134"/>
  <c r="E316" i="134" s="1"/>
  <c r="L316" i="134"/>
  <c r="F317" i="134"/>
  <c r="E317" i="134" s="1"/>
  <c r="L317" i="134"/>
  <c r="F318" i="134"/>
  <c r="E318" i="134" s="1"/>
  <c r="L318" i="134"/>
  <c r="F319" i="134"/>
  <c r="E319" i="134" s="1"/>
  <c r="L319" i="134"/>
  <c r="F320" i="134"/>
  <c r="E320" i="134" s="1"/>
  <c r="L320" i="134"/>
  <c r="F321" i="134"/>
  <c r="E321" i="134" s="1"/>
  <c r="L321" i="134"/>
  <c r="F322" i="134"/>
  <c r="E322" i="134" s="1"/>
  <c r="L322" i="134"/>
  <c r="F323" i="134"/>
  <c r="E323" i="134" s="1"/>
  <c r="L323" i="134"/>
  <c r="F324" i="134"/>
  <c r="E324" i="134" s="1"/>
  <c r="L324" i="134"/>
  <c r="F325" i="134"/>
  <c r="E325" i="134" s="1"/>
  <c r="L325" i="134"/>
  <c r="F326" i="134"/>
  <c r="E326" i="134" s="1"/>
  <c r="L326" i="134"/>
  <c r="F327" i="134"/>
  <c r="E327" i="134" s="1"/>
  <c r="L327" i="134"/>
  <c r="F328" i="134"/>
  <c r="L328" i="134"/>
  <c r="F329" i="134"/>
  <c r="G329" i="134" s="1"/>
  <c r="H329" i="134" s="1"/>
  <c r="I329" i="134" s="1"/>
  <c r="J329" i="134" s="1"/>
  <c r="K329" i="134" s="1"/>
  <c r="L329" i="134"/>
  <c r="F330" i="134"/>
  <c r="G330" i="134" s="1"/>
  <c r="H330" i="134" s="1"/>
  <c r="I330" i="134" s="1"/>
  <c r="J330" i="134" s="1"/>
  <c r="K330" i="134" s="1"/>
  <c r="L330" i="134"/>
  <c r="F283" i="134"/>
  <c r="E283" i="134" s="1"/>
  <c r="F284" i="134"/>
  <c r="E284" i="134" s="1"/>
  <c r="L283" i="134"/>
  <c r="G302" i="134" l="1"/>
  <c r="H302" i="134" s="1"/>
  <c r="I302" i="134" s="1"/>
  <c r="J302" i="134" s="1"/>
  <c r="K302" i="134" s="1"/>
  <c r="G318" i="134"/>
  <c r="H318" i="134" s="1"/>
  <c r="I318" i="134" s="1"/>
  <c r="J318" i="134" s="1"/>
  <c r="K318" i="134" s="1"/>
  <c r="G326" i="134"/>
  <c r="H326" i="134" s="1"/>
  <c r="I326" i="134" s="1"/>
  <c r="J326" i="134" s="1"/>
  <c r="K326" i="134" s="1"/>
  <c r="G310" i="134"/>
  <c r="H310" i="134" s="1"/>
  <c r="I310" i="134" s="1"/>
  <c r="J310" i="134" s="1"/>
  <c r="K310" i="134" s="1"/>
  <c r="G294" i="134"/>
  <c r="H294" i="134" s="1"/>
  <c r="I294" i="134" s="1"/>
  <c r="J294" i="134" s="1"/>
  <c r="K294" i="134" s="1"/>
  <c r="G287" i="134"/>
  <c r="H287" i="134" s="1"/>
  <c r="I287" i="134" s="1"/>
  <c r="J287" i="134" s="1"/>
  <c r="K287" i="134" s="1"/>
  <c r="G286" i="134"/>
  <c r="H286" i="134" s="1"/>
  <c r="I286" i="134" s="1"/>
  <c r="J286" i="134" s="1"/>
  <c r="K286" i="134" s="1"/>
  <c r="G324" i="134"/>
  <c r="H324" i="134" s="1"/>
  <c r="I324" i="134" s="1"/>
  <c r="J324" i="134" s="1"/>
  <c r="K324" i="134" s="1"/>
  <c r="G308" i="134"/>
  <c r="H308" i="134" s="1"/>
  <c r="I308" i="134" s="1"/>
  <c r="J308" i="134" s="1"/>
  <c r="K308" i="134" s="1"/>
  <c r="G292" i="134"/>
  <c r="H292" i="134" s="1"/>
  <c r="I292" i="134" s="1"/>
  <c r="J292" i="134" s="1"/>
  <c r="K292" i="134" s="1"/>
  <c r="G316" i="134"/>
  <c r="H316" i="134" s="1"/>
  <c r="I316" i="134" s="1"/>
  <c r="J316" i="134" s="1"/>
  <c r="K316" i="134" s="1"/>
  <c r="G300" i="134"/>
  <c r="H300" i="134" s="1"/>
  <c r="I300" i="134" s="1"/>
  <c r="J300" i="134" s="1"/>
  <c r="K300" i="134" s="1"/>
  <c r="G328" i="134"/>
  <c r="H328" i="134" s="1"/>
  <c r="I328" i="134" s="1"/>
  <c r="J328" i="134" s="1"/>
  <c r="K328" i="134" s="1"/>
  <c r="E328" i="134"/>
  <c r="E330" i="134"/>
  <c r="G322" i="134"/>
  <c r="H322" i="134" s="1"/>
  <c r="I322" i="134" s="1"/>
  <c r="J322" i="134" s="1"/>
  <c r="K322" i="134" s="1"/>
  <c r="G314" i="134"/>
  <c r="H314" i="134" s="1"/>
  <c r="I314" i="134" s="1"/>
  <c r="J314" i="134" s="1"/>
  <c r="K314" i="134" s="1"/>
  <c r="G306" i="134"/>
  <c r="H306" i="134" s="1"/>
  <c r="I306" i="134" s="1"/>
  <c r="J306" i="134" s="1"/>
  <c r="K306" i="134" s="1"/>
  <c r="G298" i="134"/>
  <c r="H298" i="134" s="1"/>
  <c r="I298" i="134" s="1"/>
  <c r="J298" i="134" s="1"/>
  <c r="K298" i="134" s="1"/>
  <c r="G290" i="134"/>
  <c r="H290" i="134" s="1"/>
  <c r="I290" i="134" s="1"/>
  <c r="J290" i="134" s="1"/>
  <c r="K290" i="134" s="1"/>
  <c r="G288" i="134"/>
  <c r="H288" i="134" s="1"/>
  <c r="I288" i="134" s="1"/>
  <c r="J288" i="134" s="1"/>
  <c r="K288" i="134" s="1"/>
  <c r="G285" i="134"/>
  <c r="H285" i="134" s="1"/>
  <c r="I285" i="134" s="1"/>
  <c r="J285" i="134" s="1"/>
  <c r="K285" i="134" s="1"/>
  <c r="E329" i="134"/>
  <c r="G320" i="134"/>
  <c r="H320" i="134" s="1"/>
  <c r="I320" i="134" s="1"/>
  <c r="J320" i="134" s="1"/>
  <c r="K320" i="134" s="1"/>
  <c r="G312" i="134"/>
  <c r="H312" i="134" s="1"/>
  <c r="I312" i="134" s="1"/>
  <c r="J312" i="134" s="1"/>
  <c r="K312" i="134" s="1"/>
  <c r="G304" i="134"/>
  <c r="H304" i="134" s="1"/>
  <c r="I304" i="134" s="1"/>
  <c r="J304" i="134" s="1"/>
  <c r="K304" i="134" s="1"/>
  <c r="G296" i="134"/>
  <c r="H296" i="134" s="1"/>
  <c r="I296" i="134" s="1"/>
  <c r="J296" i="134" s="1"/>
  <c r="K296" i="134" s="1"/>
  <c r="G289" i="134"/>
  <c r="H289" i="134" s="1"/>
  <c r="I289" i="134" s="1"/>
  <c r="J289" i="134" s="1"/>
  <c r="K289" i="134" s="1"/>
  <c r="G327" i="134"/>
  <c r="H327" i="134" s="1"/>
  <c r="I327" i="134" s="1"/>
  <c r="J327" i="134" s="1"/>
  <c r="K327" i="134" s="1"/>
  <c r="G325" i="134"/>
  <c r="H325" i="134" s="1"/>
  <c r="I325" i="134" s="1"/>
  <c r="J325" i="134" s="1"/>
  <c r="K325" i="134" s="1"/>
  <c r="G323" i="134"/>
  <c r="H323" i="134" s="1"/>
  <c r="I323" i="134" s="1"/>
  <c r="J323" i="134" s="1"/>
  <c r="K323" i="134" s="1"/>
  <c r="G321" i="134"/>
  <c r="H321" i="134" s="1"/>
  <c r="I321" i="134" s="1"/>
  <c r="J321" i="134" s="1"/>
  <c r="K321" i="134" s="1"/>
  <c r="G319" i="134"/>
  <c r="H319" i="134" s="1"/>
  <c r="I319" i="134" s="1"/>
  <c r="J319" i="134" s="1"/>
  <c r="K319" i="134" s="1"/>
  <c r="G317" i="134"/>
  <c r="H317" i="134" s="1"/>
  <c r="I317" i="134" s="1"/>
  <c r="J317" i="134" s="1"/>
  <c r="K317" i="134" s="1"/>
  <c r="G315" i="134"/>
  <c r="H315" i="134" s="1"/>
  <c r="I315" i="134" s="1"/>
  <c r="J315" i="134" s="1"/>
  <c r="K315" i="134" s="1"/>
  <c r="G313" i="134"/>
  <c r="H313" i="134" s="1"/>
  <c r="I313" i="134" s="1"/>
  <c r="J313" i="134" s="1"/>
  <c r="K313" i="134" s="1"/>
  <c r="G311" i="134"/>
  <c r="H311" i="134" s="1"/>
  <c r="I311" i="134" s="1"/>
  <c r="J311" i="134" s="1"/>
  <c r="K311" i="134" s="1"/>
  <c r="G309" i="134"/>
  <c r="H309" i="134" s="1"/>
  <c r="I309" i="134" s="1"/>
  <c r="J309" i="134" s="1"/>
  <c r="K309" i="134" s="1"/>
  <c r="G307" i="134"/>
  <c r="H307" i="134" s="1"/>
  <c r="I307" i="134" s="1"/>
  <c r="J307" i="134" s="1"/>
  <c r="K307" i="134" s="1"/>
  <c r="G305" i="134"/>
  <c r="H305" i="134" s="1"/>
  <c r="I305" i="134" s="1"/>
  <c r="J305" i="134" s="1"/>
  <c r="K305" i="134" s="1"/>
  <c r="G303" i="134"/>
  <c r="H303" i="134" s="1"/>
  <c r="I303" i="134" s="1"/>
  <c r="J303" i="134" s="1"/>
  <c r="K303" i="134" s="1"/>
  <c r="G301" i="134"/>
  <c r="H301" i="134" s="1"/>
  <c r="I301" i="134" s="1"/>
  <c r="J301" i="134" s="1"/>
  <c r="K301" i="134" s="1"/>
  <c r="G299" i="134"/>
  <c r="H299" i="134" s="1"/>
  <c r="I299" i="134" s="1"/>
  <c r="J299" i="134" s="1"/>
  <c r="K299" i="134" s="1"/>
  <c r="G297" i="134"/>
  <c r="H297" i="134" s="1"/>
  <c r="I297" i="134" s="1"/>
  <c r="J297" i="134" s="1"/>
  <c r="K297" i="134" s="1"/>
  <c r="G295" i="134"/>
  <c r="H295" i="134" s="1"/>
  <c r="I295" i="134" s="1"/>
  <c r="J295" i="134" s="1"/>
  <c r="K295" i="134" s="1"/>
  <c r="G293" i="134"/>
  <c r="H293" i="134" s="1"/>
  <c r="I293" i="134" s="1"/>
  <c r="J293" i="134" s="1"/>
  <c r="K293" i="134" s="1"/>
  <c r="G291" i="134"/>
  <c r="H291" i="134" s="1"/>
  <c r="I291" i="134" s="1"/>
  <c r="J291" i="134" s="1"/>
  <c r="K291" i="134" s="1"/>
  <c r="G284" i="134"/>
  <c r="H284" i="134" s="1"/>
  <c r="I284" i="134" s="1"/>
  <c r="J284" i="134" s="1"/>
  <c r="K284" i="134" s="1"/>
  <c r="G283" i="134"/>
  <c r="H283" i="134" s="1"/>
  <c r="I283" i="134" s="1"/>
  <c r="J283" i="134" s="1"/>
  <c r="K283" i="134" s="1"/>
  <c r="B35" i="93" l="1"/>
  <c r="J52" i="91"/>
  <c r="H30" i="128"/>
  <c r="H45" i="151"/>
  <c r="B20" i="172"/>
  <c r="K16" i="182"/>
  <c r="H14" i="171"/>
  <c r="B20" i="152"/>
  <c r="B20" i="169"/>
  <c r="A56" i="186"/>
  <c r="A47" i="178"/>
  <c r="A46" i="178"/>
  <c r="B97" i="190"/>
  <c r="B94" i="190"/>
  <c r="B91" i="190"/>
  <c r="B88" i="190"/>
  <c r="B85" i="190"/>
  <c r="B105" i="151"/>
  <c r="B117" i="151"/>
  <c r="B114" i="151"/>
  <c r="B111" i="151"/>
  <c r="B108" i="151"/>
  <c r="K16" i="177"/>
  <c r="H14" i="151" l="1"/>
  <c r="B20" i="170"/>
  <c r="A52" i="104" l="1"/>
  <c r="E30" i="180"/>
  <c r="E29" i="180"/>
  <c r="K19" i="181" l="1"/>
  <c r="K18" i="181"/>
  <c r="K13" i="181"/>
  <c r="E29" i="178"/>
  <c r="E30" i="178"/>
  <c r="V30" i="150" l="1"/>
  <c r="AA43" i="180" l="1"/>
  <c r="AA42" i="180"/>
  <c r="AA21" i="180"/>
  <c r="AA20" i="180"/>
  <c r="AA19" i="180"/>
  <c r="Z17" i="180"/>
  <c r="Z16" i="180"/>
  <c r="AA13" i="180"/>
  <c r="AA12" i="180"/>
  <c r="AA11" i="180"/>
  <c r="AA22" i="180" l="1"/>
  <c r="O8" i="180" s="1"/>
  <c r="AA44" i="180"/>
  <c r="H21" i="180" s="1"/>
  <c r="AA14" i="180"/>
  <c r="T33" i="178"/>
  <c r="M49" i="191"/>
  <c r="M48" i="191"/>
  <c r="M59" i="187"/>
  <c r="M58" i="187"/>
  <c r="T40" i="180"/>
  <c r="A40" i="180"/>
  <c r="T39" i="180"/>
  <c r="A39" i="180"/>
  <c r="T38" i="180"/>
  <c r="A38" i="180"/>
  <c r="T37" i="180"/>
  <c r="A37" i="180"/>
  <c r="T36" i="180"/>
  <c r="A36" i="180"/>
  <c r="T35" i="180"/>
  <c r="A35" i="180"/>
  <c r="T34" i="180"/>
  <c r="A34" i="180"/>
  <c r="T33" i="180"/>
  <c r="A33" i="180"/>
  <c r="T17" i="180"/>
  <c r="S17" i="180"/>
  <c r="O17" i="180"/>
  <c r="I17" i="180"/>
  <c r="S16" i="180"/>
  <c r="O16" i="180"/>
  <c r="T16" i="180" s="1"/>
  <c r="I16" i="180"/>
  <c r="A16" i="180"/>
  <c r="S15" i="180"/>
  <c r="O15" i="180"/>
  <c r="T15" i="180" s="1"/>
  <c r="I15" i="180"/>
  <c r="A15" i="180"/>
  <c r="S14" i="180"/>
  <c r="O14" i="180"/>
  <c r="T14" i="180" s="1"/>
  <c r="I14" i="180"/>
  <c r="A14" i="180"/>
  <c r="S13" i="180"/>
  <c r="O13" i="180"/>
  <c r="T13" i="180" s="1"/>
  <c r="I13" i="180"/>
  <c r="A13" i="180"/>
  <c r="S12" i="180"/>
  <c r="O12" i="180"/>
  <c r="T12" i="180" s="1"/>
  <c r="I12" i="180"/>
  <c r="A12" i="180"/>
  <c r="S11" i="180"/>
  <c r="A11" i="180"/>
  <c r="A4" i="180"/>
  <c r="AG5" i="180" l="1"/>
  <c r="E21" i="180"/>
  <c r="D8" i="180"/>
  <c r="AD15" i="180" s="1"/>
  <c r="AC23" i="180"/>
  <c r="N21" i="180"/>
  <c r="G8" i="180"/>
  <c r="AD45" i="180" s="1"/>
  <c r="T41" i="180"/>
  <c r="H44" i="180" s="1"/>
  <c r="M50" i="191"/>
  <c r="F54" i="191" s="1"/>
  <c r="M60" i="187"/>
  <c r="F64" i="187" s="1"/>
  <c r="AB23" i="180" l="1"/>
  <c r="N22" i="180" s="1"/>
  <c r="A11" i="178"/>
  <c r="AA43" i="178"/>
  <c r="AA42" i="178"/>
  <c r="AA44" i="178" l="1"/>
  <c r="O11" i="180"/>
  <c r="T11" i="180" s="1"/>
  <c r="A101" i="128"/>
  <c r="M240" i="151"/>
  <c r="F240" i="151"/>
  <c r="F239" i="151"/>
  <c r="M238" i="151"/>
  <c r="F238" i="151"/>
  <c r="F39" i="150"/>
  <c r="A45" i="178"/>
  <c r="T37" i="178"/>
  <c r="A37" i="178"/>
  <c r="T36" i="178"/>
  <c r="A36" i="178"/>
  <c r="T35" i="178"/>
  <c r="A35" i="178"/>
  <c r="T34" i="178"/>
  <c r="A34" i="178"/>
  <c r="A33" i="178"/>
  <c r="AA19" i="178"/>
  <c r="AA20" i="178"/>
  <c r="AA21" i="178"/>
  <c r="AA11" i="178"/>
  <c r="AA12" i="178"/>
  <c r="AA13" i="178"/>
  <c r="T17" i="178"/>
  <c r="T16" i="178"/>
  <c r="A16" i="178"/>
  <c r="A15" i="178"/>
  <c r="T14" i="178"/>
  <c r="A14" i="178"/>
  <c r="T13" i="178"/>
  <c r="A13" i="178"/>
  <c r="T12" i="178"/>
  <c r="A12" i="178"/>
  <c r="Z17" i="178"/>
  <c r="Z16" i="178"/>
  <c r="Z15" i="178"/>
  <c r="Z14" i="178"/>
  <c r="E70" i="151"/>
  <c r="B5" i="128"/>
  <c r="A3" i="138"/>
  <c r="K30" i="182"/>
  <c r="K29" i="182"/>
  <c r="J50" i="185"/>
  <c r="J49" i="185"/>
  <c r="J44" i="185"/>
  <c r="J43" i="185"/>
  <c r="K7" i="183"/>
  <c r="K12" i="183"/>
  <c r="E338" i="134"/>
  <c r="F338" i="134"/>
  <c r="G338" i="134"/>
  <c r="H338" i="134"/>
  <c r="I338" i="134"/>
  <c r="J338" i="134"/>
  <c r="K338" i="134"/>
  <c r="L338" i="134"/>
  <c r="E337" i="134"/>
  <c r="F337" i="134"/>
  <c r="G337" i="134"/>
  <c r="H337" i="134"/>
  <c r="I337" i="134"/>
  <c r="J337" i="134"/>
  <c r="K337" i="134"/>
  <c r="L337" i="134"/>
  <c r="F291" i="91"/>
  <c r="L291" i="91"/>
  <c r="F292" i="91"/>
  <c r="E292" i="91" s="1"/>
  <c r="L292" i="91"/>
  <c r="F293" i="91"/>
  <c r="E293" i="91" s="1"/>
  <c r="L293" i="91"/>
  <c r="F294" i="91"/>
  <c r="G294" i="91" s="1"/>
  <c r="H294" i="91" s="1"/>
  <c r="I294" i="91" s="1"/>
  <c r="J294" i="91" s="1"/>
  <c r="K294" i="91" s="1"/>
  <c r="L294" i="91"/>
  <c r="F295" i="91"/>
  <c r="L295" i="91"/>
  <c r="F296" i="91"/>
  <c r="E296" i="91" s="1"/>
  <c r="L296" i="91"/>
  <c r="F249" i="91"/>
  <c r="L249" i="91"/>
  <c r="F250" i="91"/>
  <c r="G250" i="91" s="1"/>
  <c r="H250" i="91" s="1"/>
  <c r="I250" i="91" s="1"/>
  <c r="J250" i="91" s="1"/>
  <c r="K250" i="91" s="1"/>
  <c r="L250" i="91"/>
  <c r="F251" i="91"/>
  <c r="G251" i="91" s="1"/>
  <c r="H251" i="91" s="1"/>
  <c r="I251" i="91" s="1"/>
  <c r="J251" i="91" s="1"/>
  <c r="K251" i="91" s="1"/>
  <c r="L251" i="91"/>
  <c r="F252" i="91"/>
  <c r="L252" i="91"/>
  <c r="F253" i="91"/>
  <c r="G253" i="91" s="1"/>
  <c r="H253" i="91" s="1"/>
  <c r="I253" i="91" s="1"/>
  <c r="J253" i="91" s="1"/>
  <c r="K253" i="91" s="1"/>
  <c r="L253" i="91"/>
  <c r="F254" i="91"/>
  <c r="G254" i="91" s="1"/>
  <c r="H254" i="91" s="1"/>
  <c r="I254" i="91" s="1"/>
  <c r="J254" i="91" s="1"/>
  <c r="K254" i="91" s="1"/>
  <c r="L254" i="91"/>
  <c r="F255" i="91"/>
  <c r="G255" i="91" s="1"/>
  <c r="H255" i="91" s="1"/>
  <c r="I255" i="91" s="1"/>
  <c r="J255" i="91" s="1"/>
  <c r="K255" i="91" s="1"/>
  <c r="L255" i="91"/>
  <c r="F256" i="91"/>
  <c r="E256" i="91" s="1"/>
  <c r="L256" i="91"/>
  <c r="F257" i="91"/>
  <c r="G257" i="91" s="1"/>
  <c r="H257" i="91" s="1"/>
  <c r="I257" i="91" s="1"/>
  <c r="J257" i="91" s="1"/>
  <c r="K257" i="91" s="1"/>
  <c r="L257" i="91"/>
  <c r="F258" i="91"/>
  <c r="G258" i="91" s="1"/>
  <c r="H258" i="91" s="1"/>
  <c r="I258" i="91" s="1"/>
  <c r="J258" i="91" s="1"/>
  <c r="K258" i="91" s="1"/>
  <c r="L258" i="91"/>
  <c r="F259" i="91"/>
  <c r="L259" i="91"/>
  <c r="F260" i="91"/>
  <c r="E260" i="91" s="1"/>
  <c r="L260" i="91"/>
  <c r="F261" i="91"/>
  <c r="L261" i="91"/>
  <c r="F262" i="91"/>
  <c r="L262" i="91"/>
  <c r="F263" i="91"/>
  <c r="G263" i="91" s="1"/>
  <c r="H263" i="91" s="1"/>
  <c r="I263" i="91" s="1"/>
  <c r="J263" i="91" s="1"/>
  <c r="K263" i="91" s="1"/>
  <c r="L263" i="91"/>
  <c r="F264" i="91"/>
  <c r="E264" i="91" s="1"/>
  <c r="L264" i="91"/>
  <c r="F265" i="91"/>
  <c r="G265" i="91" s="1"/>
  <c r="H265" i="91" s="1"/>
  <c r="I265" i="91" s="1"/>
  <c r="J265" i="91" s="1"/>
  <c r="K265" i="91" s="1"/>
  <c r="L265" i="91"/>
  <c r="F266" i="91"/>
  <c r="G266" i="91" s="1"/>
  <c r="H266" i="91" s="1"/>
  <c r="I266" i="91" s="1"/>
  <c r="J266" i="91" s="1"/>
  <c r="K266" i="91" s="1"/>
  <c r="L266" i="91"/>
  <c r="F267" i="91"/>
  <c r="L267" i="91"/>
  <c r="F268" i="91"/>
  <c r="E268" i="91" s="1"/>
  <c r="L268" i="91"/>
  <c r="F269" i="91"/>
  <c r="G269" i="91" s="1"/>
  <c r="H269" i="91" s="1"/>
  <c r="I269" i="91" s="1"/>
  <c r="J269" i="91" s="1"/>
  <c r="K269" i="91" s="1"/>
  <c r="L269" i="91"/>
  <c r="F270" i="91"/>
  <c r="G270" i="91" s="1"/>
  <c r="H270" i="91" s="1"/>
  <c r="I270" i="91" s="1"/>
  <c r="J270" i="91" s="1"/>
  <c r="K270" i="91" s="1"/>
  <c r="L270" i="91"/>
  <c r="F271" i="91"/>
  <c r="L271" i="91"/>
  <c r="F272" i="91"/>
  <c r="G272" i="91" s="1"/>
  <c r="H272" i="91" s="1"/>
  <c r="I272" i="91" s="1"/>
  <c r="J272" i="91" s="1"/>
  <c r="K272" i="91" s="1"/>
  <c r="L272" i="91"/>
  <c r="F273" i="91"/>
  <c r="G273" i="91" s="1"/>
  <c r="H273" i="91" s="1"/>
  <c r="I273" i="91" s="1"/>
  <c r="J273" i="91" s="1"/>
  <c r="K273" i="91" s="1"/>
  <c r="L273" i="91"/>
  <c r="F274" i="91"/>
  <c r="G274" i="91" s="1"/>
  <c r="H274" i="91" s="1"/>
  <c r="I274" i="91" s="1"/>
  <c r="J274" i="91" s="1"/>
  <c r="K274" i="91" s="1"/>
  <c r="L274" i="91"/>
  <c r="F275" i="91"/>
  <c r="L275" i="91"/>
  <c r="F276" i="91"/>
  <c r="E276" i="91" s="1"/>
  <c r="L276" i="91"/>
  <c r="F277" i="91"/>
  <c r="E277" i="91" s="1"/>
  <c r="L277" i="91"/>
  <c r="F278" i="91"/>
  <c r="G278" i="91" s="1"/>
  <c r="H278" i="91" s="1"/>
  <c r="I278" i="91" s="1"/>
  <c r="J278" i="91" s="1"/>
  <c r="K278" i="91" s="1"/>
  <c r="L278" i="91"/>
  <c r="F279" i="91"/>
  <c r="G279" i="91" s="1"/>
  <c r="H279" i="91" s="1"/>
  <c r="I279" i="91" s="1"/>
  <c r="J279" i="91" s="1"/>
  <c r="K279" i="91" s="1"/>
  <c r="L279" i="91"/>
  <c r="F280" i="91"/>
  <c r="L280" i="91"/>
  <c r="F281" i="91"/>
  <c r="G281" i="91" s="1"/>
  <c r="H281" i="91" s="1"/>
  <c r="I281" i="91" s="1"/>
  <c r="J281" i="91" s="1"/>
  <c r="K281" i="91" s="1"/>
  <c r="L281" i="91"/>
  <c r="F282" i="91"/>
  <c r="G282" i="91" s="1"/>
  <c r="H282" i="91" s="1"/>
  <c r="I282" i="91" s="1"/>
  <c r="J282" i="91" s="1"/>
  <c r="K282" i="91" s="1"/>
  <c r="L282" i="91"/>
  <c r="F283" i="91"/>
  <c r="L283" i="91"/>
  <c r="F284" i="91"/>
  <c r="L284" i="91"/>
  <c r="F285" i="91"/>
  <c r="G285" i="91" s="1"/>
  <c r="H285" i="91" s="1"/>
  <c r="I285" i="91" s="1"/>
  <c r="J285" i="91" s="1"/>
  <c r="K285" i="91" s="1"/>
  <c r="L285" i="91"/>
  <c r="F286" i="91"/>
  <c r="G286" i="91" s="1"/>
  <c r="H286" i="91" s="1"/>
  <c r="I286" i="91" s="1"/>
  <c r="J286" i="91" s="1"/>
  <c r="K286" i="91" s="1"/>
  <c r="L286" i="91"/>
  <c r="F287" i="91"/>
  <c r="G287" i="91" s="1"/>
  <c r="H287" i="91" s="1"/>
  <c r="I287" i="91" s="1"/>
  <c r="J287" i="91" s="1"/>
  <c r="K287" i="91" s="1"/>
  <c r="L287" i="91"/>
  <c r="F288" i="91"/>
  <c r="G288" i="91" s="1"/>
  <c r="H288" i="91" s="1"/>
  <c r="I288" i="91" s="1"/>
  <c r="J288" i="91" s="1"/>
  <c r="K288" i="91" s="1"/>
  <c r="L288" i="91"/>
  <c r="F289" i="91"/>
  <c r="L289" i="91"/>
  <c r="F290" i="91"/>
  <c r="G290" i="91" s="1"/>
  <c r="H290" i="91" s="1"/>
  <c r="I290" i="91" s="1"/>
  <c r="J290" i="91" s="1"/>
  <c r="K290" i="91" s="1"/>
  <c r="L290" i="91"/>
  <c r="L248" i="91"/>
  <c r="L282" i="134"/>
  <c r="C133" i="134"/>
  <c r="F40" i="190"/>
  <c r="F54" i="151"/>
  <c r="H2" i="174"/>
  <c r="Q69" i="173"/>
  <c r="F37" i="186"/>
  <c r="D65" i="134"/>
  <c r="D64" i="134"/>
  <c r="B64" i="134"/>
  <c r="J65" i="134"/>
  <c r="A83" i="179"/>
  <c r="A82" i="179"/>
  <c r="A81" i="179"/>
  <c r="A80" i="179"/>
  <c r="A55" i="179"/>
  <c r="K40" i="171"/>
  <c r="A3" i="137"/>
  <c r="I133" i="151"/>
  <c r="I132" i="151"/>
  <c r="H28" i="128"/>
  <c r="H20" i="190"/>
  <c r="K27" i="128"/>
  <c r="K18" i="190"/>
  <c r="K26" i="128"/>
  <c r="K17" i="190"/>
  <c r="K25" i="128"/>
  <c r="K16" i="190"/>
  <c r="H24" i="128"/>
  <c r="H15" i="190"/>
  <c r="K22" i="128"/>
  <c r="K13" i="190"/>
  <c r="K21" i="128"/>
  <c r="K12" i="190"/>
  <c r="K20" i="128"/>
  <c r="K11" i="190"/>
  <c r="H19" i="128"/>
  <c r="H10" i="190"/>
  <c r="H18" i="128"/>
  <c r="H9" i="190"/>
  <c r="C5" i="154"/>
  <c r="K29" i="171"/>
  <c r="V19" i="150"/>
  <c r="V31" i="150" s="1"/>
  <c r="V45" i="150"/>
  <c r="V56" i="150" s="1"/>
  <c r="V46" i="150"/>
  <c r="V47" i="150"/>
  <c r="V58" i="150" s="1"/>
  <c r="V48" i="150"/>
  <c r="V49" i="150"/>
  <c r="V60" i="150" s="1"/>
  <c r="V50" i="150"/>
  <c r="V61" i="150" s="1"/>
  <c r="AY26" i="150"/>
  <c r="AY38" i="150" s="1"/>
  <c r="AX26" i="150"/>
  <c r="AW26" i="150"/>
  <c r="AW38" i="150" s="1"/>
  <c r="AV26" i="150"/>
  <c r="AV38" i="150" s="1"/>
  <c r="AU26" i="150"/>
  <c r="AU38" i="150" s="1"/>
  <c r="AY25" i="150"/>
  <c r="AY37" i="150" s="1"/>
  <c r="AX25" i="150"/>
  <c r="AX37" i="150" s="1"/>
  <c r="AW25" i="150"/>
  <c r="AW37" i="150" s="1"/>
  <c r="AV25" i="150"/>
  <c r="AV37" i="150" s="1"/>
  <c r="AU25" i="150"/>
  <c r="AU37" i="150" s="1"/>
  <c r="AY24" i="150"/>
  <c r="AY36" i="150" s="1"/>
  <c r="AX24" i="150"/>
  <c r="AX36" i="150" s="1"/>
  <c r="AW24" i="150"/>
  <c r="AW36" i="150" s="1"/>
  <c r="AV24" i="150"/>
  <c r="AU24" i="150"/>
  <c r="AU36" i="150" s="1"/>
  <c r="AY23" i="150"/>
  <c r="AY35" i="150" s="1"/>
  <c r="AX23" i="150"/>
  <c r="AX35" i="150" s="1"/>
  <c r="AW23" i="150"/>
  <c r="AW35" i="150" s="1"/>
  <c r="AV23" i="150"/>
  <c r="AV35" i="150" s="1"/>
  <c r="AU23" i="150"/>
  <c r="AU35" i="150" s="1"/>
  <c r="AY22" i="150"/>
  <c r="AY34" i="150" s="1"/>
  <c r="AX22" i="150"/>
  <c r="AW22" i="150"/>
  <c r="AW34" i="150" s="1"/>
  <c r="AV22" i="150"/>
  <c r="AV34" i="150" s="1"/>
  <c r="AU22" i="150"/>
  <c r="AU34" i="150" s="1"/>
  <c r="AY21" i="150"/>
  <c r="AX21" i="150"/>
  <c r="AX33" i="150" s="1"/>
  <c r="AW21" i="150"/>
  <c r="AW33" i="150" s="1"/>
  <c r="AV21" i="150"/>
  <c r="AV33" i="150" s="1"/>
  <c r="AU21" i="150"/>
  <c r="AY20" i="150"/>
  <c r="AY32" i="150" s="1"/>
  <c r="AX20" i="150"/>
  <c r="AX32" i="150" s="1"/>
  <c r="AW20" i="150"/>
  <c r="AW32" i="150" s="1"/>
  <c r="AV20" i="150"/>
  <c r="AV32" i="150" s="1"/>
  <c r="AU20" i="150"/>
  <c r="AU32" i="150" s="1"/>
  <c r="AY19" i="150"/>
  <c r="AY31" i="150" s="1"/>
  <c r="AX19" i="150"/>
  <c r="AX31" i="150" s="1"/>
  <c r="AW19" i="150"/>
  <c r="AV19" i="150"/>
  <c r="AV31" i="150" s="1"/>
  <c r="AU19" i="150"/>
  <c r="AU31" i="150" s="1"/>
  <c r="AT26" i="150"/>
  <c r="AT38" i="150" s="1"/>
  <c r="AS26" i="150"/>
  <c r="AR26" i="150"/>
  <c r="AR38" i="150" s="1"/>
  <c r="AQ26" i="150"/>
  <c r="AQ38" i="150" s="1"/>
  <c r="AP26" i="150"/>
  <c r="AP38" i="150" s="1"/>
  <c r="AT25" i="150"/>
  <c r="AS25" i="150"/>
  <c r="AS37" i="150" s="1"/>
  <c r="AR25" i="150"/>
  <c r="AR37" i="150" s="1"/>
  <c r="AQ25" i="150"/>
  <c r="AQ37" i="150" s="1"/>
  <c r="AP25" i="150"/>
  <c r="AT24" i="150"/>
  <c r="AT36" i="150" s="1"/>
  <c r="AS24" i="150"/>
  <c r="AS36" i="150" s="1"/>
  <c r="AR24" i="150"/>
  <c r="AR36" i="150" s="1"/>
  <c r="AQ24" i="150"/>
  <c r="AQ36" i="150" s="1"/>
  <c r="AP24" i="150"/>
  <c r="AP36" i="150" s="1"/>
  <c r="AT23" i="150"/>
  <c r="AT35" i="150" s="1"/>
  <c r="AS23" i="150"/>
  <c r="AS35" i="150" s="1"/>
  <c r="AR23" i="150"/>
  <c r="AR35" i="150" s="1"/>
  <c r="AQ23" i="150"/>
  <c r="AQ35" i="150" s="1"/>
  <c r="AP23" i="150"/>
  <c r="AP35" i="150" s="1"/>
  <c r="AT22" i="150"/>
  <c r="AT34" i="150" s="1"/>
  <c r="AS22" i="150"/>
  <c r="AS34" i="150" s="1"/>
  <c r="AR22" i="150"/>
  <c r="AR34" i="150" s="1"/>
  <c r="AQ22" i="150"/>
  <c r="AQ34" i="150" s="1"/>
  <c r="AP22" i="150"/>
  <c r="AP34" i="150" s="1"/>
  <c r="AT21" i="150"/>
  <c r="AT33" i="150" s="1"/>
  <c r="AS21" i="150"/>
  <c r="AS33" i="150" s="1"/>
  <c r="AR21" i="150"/>
  <c r="AR33" i="150" s="1"/>
  <c r="AQ21" i="150"/>
  <c r="AQ33" i="150" s="1"/>
  <c r="AP21" i="150"/>
  <c r="AT20" i="150"/>
  <c r="AT32" i="150" s="1"/>
  <c r="AS20" i="150"/>
  <c r="AS32" i="150" s="1"/>
  <c r="AR20" i="150"/>
  <c r="AR32" i="150" s="1"/>
  <c r="AQ20" i="150"/>
  <c r="AP20" i="150"/>
  <c r="AP32" i="150" s="1"/>
  <c r="AT19" i="150"/>
  <c r="AT31" i="150" s="1"/>
  <c r="AS19" i="150"/>
  <c r="AS31" i="150" s="1"/>
  <c r="AR19" i="150"/>
  <c r="AR31" i="150" s="1"/>
  <c r="AQ19" i="150"/>
  <c r="AQ31" i="150" s="1"/>
  <c r="AP19" i="150"/>
  <c r="AP31" i="150" s="1"/>
  <c r="AO26" i="150"/>
  <c r="AO38" i="150" s="1"/>
  <c r="AN26" i="150"/>
  <c r="AN38" i="150" s="1"/>
  <c r="AM26" i="150"/>
  <c r="AM38" i="150" s="1"/>
  <c r="AL26" i="150"/>
  <c r="AL38" i="150" s="1"/>
  <c r="AK26" i="150"/>
  <c r="AK38" i="150" s="1"/>
  <c r="AO25" i="150"/>
  <c r="AO37" i="150" s="1"/>
  <c r="AN25" i="150"/>
  <c r="AN37" i="150" s="1"/>
  <c r="AM25" i="150"/>
  <c r="AM37" i="150" s="1"/>
  <c r="AL25" i="150"/>
  <c r="AL37" i="150" s="1"/>
  <c r="AK25" i="150"/>
  <c r="AO24" i="150"/>
  <c r="AO36" i="150" s="1"/>
  <c r="AN24" i="150"/>
  <c r="AN36" i="150" s="1"/>
  <c r="AM24" i="150"/>
  <c r="AM36" i="150" s="1"/>
  <c r="AL24" i="150"/>
  <c r="AK24" i="150"/>
  <c r="AK36" i="150" s="1"/>
  <c r="AO23" i="150"/>
  <c r="AO35" i="150" s="1"/>
  <c r="AN23" i="150"/>
  <c r="AN35" i="150" s="1"/>
  <c r="AM23" i="150"/>
  <c r="AL23" i="150"/>
  <c r="AL35" i="150" s="1"/>
  <c r="AK23" i="150"/>
  <c r="AK35" i="150" s="1"/>
  <c r="AO22" i="150"/>
  <c r="AO34" i="150" s="1"/>
  <c r="AN22" i="150"/>
  <c r="AM22" i="150"/>
  <c r="AM34" i="150" s="1"/>
  <c r="AL22" i="150"/>
  <c r="AL34" i="150" s="1"/>
  <c r="AK22" i="150"/>
  <c r="AK34" i="150" s="1"/>
  <c r="AO21" i="150"/>
  <c r="AN21" i="150"/>
  <c r="AN33" i="150" s="1"/>
  <c r="AM21" i="150"/>
  <c r="AM33" i="150" s="1"/>
  <c r="AL21" i="150"/>
  <c r="AL33" i="150" s="1"/>
  <c r="AK21" i="150"/>
  <c r="AK33" i="150" s="1"/>
  <c r="AO20" i="150"/>
  <c r="AO32" i="150" s="1"/>
  <c r="AN20" i="150"/>
  <c r="AN32" i="150" s="1"/>
  <c r="AM20" i="150"/>
  <c r="AM32" i="150" s="1"/>
  <c r="AL20" i="150"/>
  <c r="AK20" i="150"/>
  <c r="AK32" i="150" s="1"/>
  <c r="AO19" i="150"/>
  <c r="AO31" i="150" s="1"/>
  <c r="AN19" i="150"/>
  <c r="AN31" i="150" s="1"/>
  <c r="AM19" i="150"/>
  <c r="AL19" i="150"/>
  <c r="AL31" i="150" s="1"/>
  <c r="AK19" i="150"/>
  <c r="AK31" i="150" s="1"/>
  <c r="AJ26" i="150"/>
  <c r="AJ38" i="150" s="1"/>
  <c r="AI26" i="150"/>
  <c r="AH26" i="150"/>
  <c r="AH38" i="150" s="1"/>
  <c r="AG26" i="150"/>
  <c r="AG38" i="150" s="1"/>
  <c r="AF26" i="150"/>
  <c r="AF38" i="150" s="1"/>
  <c r="AJ25" i="150"/>
  <c r="AI25" i="150"/>
  <c r="AI37" i="150" s="1"/>
  <c r="AH25" i="150"/>
  <c r="AH37" i="150" s="1"/>
  <c r="AG25" i="150"/>
  <c r="AG37" i="150" s="1"/>
  <c r="AF25" i="150"/>
  <c r="AF37" i="150" s="1"/>
  <c r="AJ24" i="150"/>
  <c r="AJ36" i="150" s="1"/>
  <c r="AI24" i="150"/>
  <c r="AI36" i="150" s="1"/>
  <c r="AH24" i="150"/>
  <c r="AH36" i="150" s="1"/>
  <c r="AG24" i="150"/>
  <c r="AF24" i="150"/>
  <c r="AF36" i="150" s="1"/>
  <c r="AJ23" i="150"/>
  <c r="AJ35" i="150" s="1"/>
  <c r="AI23" i="150"/>
  <c r="AI35" i="150" s="1"/>
  <c r="AH23" i="150"/>
  <c r="AH35" i="150" s="1"/>
  <c r="AG23" i="150"/>
  <c r="AG35" i="150" s="1"/>
  <c r="AF23" i="150"/>
  <c r="AF35" i="150" s="1"/>
  <c r="AJ22" i="150"/>
  <c r="AJ34" i="150" s="1"/>
  <c r="AI22" i="150"/>
  <c r="AH22" i="150"/>
  <c r="AH34" i="150" s="1"/>
  <c r="AG22" i="150"/>
  <c r="AG34" i="150" s="1"/>
  <c r="AF22" i="150"/>
  <c r="AF34" i="150" s="1"/>
  <c r="AJ21" i="150"/>
  <c r="AI21" i="150"/>
  <c r="AI33" i="150" s="1"/>
  <c r="AH21" i="150"/>
  <c r="AH33" i="150" s="1"/>
  <c r="AG21" i="150"/>
  <c r="AG33" i="150" s="1"/>
  <c r="AF21" i="150"/>
  <c r="AJ20" i="150"/>
  <c r="AJ32" i="150" s="1"/>
  <c r="AI20" i="150"/>
  <c r="AI32" i="150" s="1"/>
  <c r="AH20" i="150"/>
  <c r="AH32" i="150" s="1"/>
  <c r="AG20" i="150"/>
  <c r="AG32" i="150" s="1"/>
  <c r="AF20" i="150"/>
  <c r="AF32" i="150" s="1"/>
  <c r="AJ19" i="150"/>
  <c r="AJ31" i="150" s="1"/>
  <c r="AI19" i="150"/>
  <c r="AI31" i="150" s="1"/>
  <c r="AH19" i="150"/>
  <c r="AG19" i="150"/>
  <c r="AG31" i="150" s="1"/>
  <c r="AF19" i="150"/>
  <c r="AF31" i="150" s="1"/>
  <c r="AE26" i="150"/>
  <c r="AE38" i="150" s="1"/>
  <c r="AD26" i="150"/>
  <c r="AC26" i="150"/>
  <c r="AC38" i="150" s="1"/>
  <c r="AB26" i="150"/>
  <c r="AB38" i="150" s="1"/>
  <c r="AA26" i="150"/>
  <c r="AA38" i="150" s="1"/>
  <c r="AE25" i="150"/>
  <c r="AE37" i="150" s="1"/>
  <c r="AD25" i="150"/>
  <c r="AD37" i="150" s="1"/>
  <c r="AC25" i="150"/>
  <c r="AC37" i="150" s="1"/>
  <c r="AB25" i="150"/>
  <c r="AB37" i="150" s="1"/>
  <c r="AA25" i="150"/>
  <c r="AA37" i="150" s="1"/>
  <c r="AE24" i="150"/>
  <c r="AE36" i="150" s="1"/>
  <c r="AD24" i="150"/>
  <c r="AD36" i="150" s="1"/>
  <c r="AC24" i="150"/>
  <c r="AC36" i="150" s="1"/>
  <c r="AB24" i="150"/>
  <c r="AA24" i="150"/>
  <c r="AA36" i="150" s="1"/>
  <c r="AE23" i="150"/>
  <c r="AE35" i="150" s="1"/>
  <c r="AD23" i="150"/>
  <c r="AD35" i="150" s="1"/>
  <c r="AC23" i="150"/>
  <c r="AC35" i="150" s="1"/>
  <c r="AB23" i="150"/>
  <c r="AB35" i="150" s="1"/>
  <c r="AA23" i="150"/>
  <c r="AA35" i="150" s="1"/>
  <c r="AE22" i="150"/>
  <c r="AE34" i="150" s="1"/>
  <c r="AD22" i="150"/>
  <c r="AC22" i="150"/>
  <c r="AC34" i="150" s="1"/>
  <c r="AB22" i="150"/>
  <c r="AB34" i="150" s="1"/>
  <c r="AA22" i="150"/>
  <c r="AA34" i="150" s="1"/>
  <c r="AE21" i="150"/>
  <c r="AD21" i="150"/>
  <c r="AD33" i="150" s="1"/>
  <c r="AC21" i="150"/>
  <c r="AC33" i="150" s="1"/>
  <c r="AB21" i="150"/>
  <c r="AB33" i="150" s="1"/>
  <c r="AA21" i="150"/>
  <c r="AA33" i="150" s="1"/>
  <c r="AE20" i="150"/>
  <c r="AE32" i="150" s="1"/>
  <c r="AD20" i="150"/>
  <c r="AD32" i="150" s="1"/>
  <c r="AC20" i="150"/>
  <c r="AC32" i="150" s="1"/>
  <c r="AB20" i="150"/>
  <c r="AA20" i="150"/>
  <c r="AA32" i="150" s="1"/>
  <c r="AE19" i="150"/>
  <c r="AE31" i="150" s="1"/>
  <c r="AD19" i="150"/>
  <c r="AD31" i="150" s="1"/>
  <c r="AC19" i="150"/>
  <c r="AB19" i="150"/>
  <c r="AB31" i="150" s="1"/>
  <c r="AA19" i="150"/>
  <c r="AA31" i="150" s="1"/>
  <c r="V20" i="150"/>
  <c r="V32" i="150" s="1"/>
  <c r="W20" i="150"/>
  <c r="W32" i="150" s="1"/>
  <c r="X20" i="150"/>
  <c r="X32" i="150" s="1"/>
  <c r="Y20" i="150"/>
  <c r="Y32" i="150" s="1"/>
  <c r="Z20" i="150"/>
  <c r="Z32" i="150" s="1"/>
  <c r="V21" i="150"/>
  <c r="W21" i="150"/>
  <c r="W33" i="150" s="1"/>
  <c r="X21" i="150"/>
  <c r="X33" i="150" s="1"/>
  <c r="Y21" i="150"/>
  <c r="Y33" i="150" s="1"/>
  <c r="Z21" i="150"/>
  <c r="V22" i="150"/>
  <c r="V34" i="150" s="1"/>
  <c r="W22" i="150"/>
  <c r="W34" i="150" s="1"/>
  <c r="X22" i="150"/>
  <c r="X34" i="150" s="1"/>
  <c r="Y22" i="150"/>
  <c r="Z22" i="150"/>
  <c r="Z34" i="150" s="1"/>
  <c r="V23" i="150"/>
  <c r="V35" i="150" s="1"/>
  <c r="W23" i="150"/>
  <c r="W35" i="150" s="1"/>
  <c r="X23" i="150"/>
  <c r="Y23" i="150"/>
  <c r="Y35" i="150" s="1"/>
  <c r="Z23" i="150"/>
  <c r="Z35" i="150" s="1"/>
  <c r="V24" i="150"/>
  <c r="V36" i="150" s="1"/>
  <c r="W24" i="150"/>
  <c r="X24" i="150"/>
  <c r="X36" i="150" s="1"/>
  <c r="Y24" i="150"/>
  <c r="Y36" i="150" s="1"/>
  <c r="Z24" i="150"/>
  <c r="Z36" i="150" s="1"/>
  <c r="V25" i="150"/>
  <c r="V37" i="150" s="1"/>
  <c r="W25" i="150"/>
  <c r="W37" i="150" s="1"/>
  <c r="X25" i="150"/>
  <c r="X37" i="150" s="1"/>
  <c r="Y25" i="150"/>
  <c r="Y37" i="150" s="1"/>
  <c r="Z25" i="150"/>
  <c r="Z37" i="150" s="1"/>
  <c r="V26" i="150"/>
  <c r="V38" i="150" s="1"/>
  <c r="W26" i="150"/>
  <c r="W38" i="150" s="1"/>
  <c r="X26" i="150"/>
  <c r="X38" i="150" s="1"/>
  <c r="Y26" i="150"/>
  <c r="Z26" i="150"/>
  <c r="Z38" i="150" s="1"/>
  <c r="W19" i="150"/>
  <c r="W31" i="150" s="1"/>
  <c r="X19" i="150"/>
  <c r="X31" i="150" s="1"/>
  <c r="Y19" i="150"/>
  <c r="Y31" i="150" s="1"/>
  <c r="Z19" i="150"/>
  <c r="Z31" i="150" s="1"/>
  <c r="M45" i="191"/>
  <c r="M44" i="191"/>
  <c r="M43" i="191"/>
  <c r="C43" i="191"/>
  <c r="E43" i="191" s="1"/>
  <c r="G43" i="191" s="1"/>
  <c r="I43" i="191" s="1"/>
  <c r="K43" i="191" s="1"/>
  <c r="C42" i="191"/>
  <c r="E42" i="191" s="1"/>
  <c r="G42" i="191" s="1"/>
  <c r="I42" i="191" s="1"/>
  <c r="K42" i="191" s="1"/>
  <c r="C41" i="191"/>
  <c r="E41" i="191" s="1"/>
  <c r="G41" i="191" s="1"/>
  <c r="I41" i="191" s="1"/>
  <c r="K41" i="191" s="1"/>
  <c r="C40" i="191"/>
  <c r="G40" i="191" s="1"/>
  <c r="C33" i="191"/>
  <c r="E33" i="191" s="1"/>
  <c r="G33" i="191" s="1"/>
  <c r="I33" i="191" s="1"/>
  <c r="K33" i="191" s="1"/>
  <c r="C32" i="191"/>
  <c r="E32" i="191" s="1"/>
  <c r="G32" i="191" s="1"/>
  <c r="I32" i="191" s="1"/>
  <c r="K32" i="191" s="1"/>
  <c r="C31" i="191"/>
  <c r="E31" i="191" s="1"/>
  <c r="G31" i="191" s="1"/>
  <c r="I31" i="191" s="1"/>
  <c r="K31" i="191" s="1"/>
  <c r="C30" i="191"/>
  <c r="I30" i="191" s="1"/>
  <c r="C23" i="191"/>
  <c r="E23" i="191" s="1"/>
  <c r="G23" i="191" s="1"/>
  <c r="I23" i="191" s="1"/>
  <c r="K23" i="191" s="1"/>
  <c r="C22" i="191"/>
  <c r="E22" i="191" s="1"/>
  <c r="G22" i="191" s="1"/>
  <c r="I22" i="191" s="1"/>
  <c r="K22" i="191" s="1"/>
  <c r="C21" i="191"/>
  <c r="E21" i="191" s="1"/>
  <c r="G21" i="191" s="1"/>
  <c r="I21" i="191" s="1"/>
  <c r="K21" i="191" s="1"/>
  <c r="C20" i="191"/>
  <c r="I20" i="191" s="1"/>
  <c r="C13" i="191"/>
  <c r="E13" i="191" s="1"/>
  <c r="G13" i="191" s="1"/>
  <c r="I13" i="191" s="1"/>
  <c r="K13" i="191" s="1"/>
  <c r="C12" i="191"/>
  <c r="E12" i="191" s="1"/>
  <c r="G12" i="191" s="1"/>
  <c r="I12" i="191" s="1"/>
  <c r="K12" i="191" s="1"/>
  <c r="C11" i="191"/>
  <c r="E11" i="191" s="1"/>
  <c r="G11" i="191" s="1"/>
  <c r="I11" i="191" s="1"/>
  <c r="K11" i="191" s="1"/>
  <c r="C10" i="191"/>
  <c r="I10" i="191" s="1"/>
  <c r="M4" i="191"/>
  <c r="J2" i="191"/>
  <c r="B11" i="185"/>
  <c r="A7" i="185"/>
  <c r="A6" i="185"/>
  <c r="K58" i="104"/>
  <c r="K56" i="104"/>
  <c r="K55" i="104"/>
  <c r="K54" i="104"/>
  <c r="F248" i="91"/>
  <c r="E248" i="91" s="1"/>
  <c r="J59" i="91"/>
  <c r="J55" i="91"/>
  <c r="F36" i="91"/>
  <c r="F35" i="91"/>
  <c r="C29" i="91"/>
  <c r="C8" i="91"/>
  <c r="A2" i="91"/>
  <c r="K105" i="128"/>
  <c r="K104" i="128"/>
  <c r="K103" i="128"/>
  <c r="K102" i="128"/>
  <c r="K63" i="128"/>
  <c r="K61" i="128"/>
  <c r="K60" i="128"/>
  <c r="K59" i="128"/>
  <c r="E55" i="128"/>
  <c r="J42" i="128"/>
  <c r="C30" i="134"/>
  <c r="N21" i="190"/>
  <c r="C277" i="134"/>
  <c r="L331" i="134"/>
  <c r="L332" i="134"/>
  <c r="L333" i="134"/>
  <c r="L284" i="134"/>
  <c r="F282" i="134"/>
  <c r="G281" i="134"/>
  <c r="I281" i="134"/>
  <c r="K281" i="134"/>
  <c r="D158" i="134"/>
  <c r="H69" i="134"/>
  <c r="J63" i="134"/>
  <c r="J62" i="134"/>
  <c r="J61" i="134"/>
  <c r="H40" i="134"/>
  <c r="F36" i="134"/>
  <c r="F35" i="134"/>
  <c r="C8" i="134"/>
  <c r="A2" i="134"/>
  <c r="K136" i="190"/>
  <c r="K135" i="190"/>
  <c r="K134" i="190"/>
  <c r="B80" i="190"/>
  <c r="F80" i="190"/>
  <c r="F81" i="190"/>
  <c r="F82" i="190"/>
  <c r="I82" i="190"/>
  <c r="I83" i="190"/>
  <c r="K83" i="190"/>
  <c r="I84" i="190"/>
  <c r="A85" i="190"/>
  <c r="F85" i="190"/>
  <c r="F86" i="190"/>
  <c r="F87" i="190"/>
  <c r="A88" i="190"/>
  <c r="F88" i="190"/>
  <c r="F89" i="190"/>
  <c r="F90" i="190"/>
  <c r="A91" i="190"/>
  <c r="F91" i="190"/>
  <c r="F92" i="190"/>
  <c r="F93" i="190"/>
  <c r="A94" i="190"/>
  <c r="F94" i="190"/>
  <c r="F95" i="190"/>
  <c r="F96" i="190"/>
  <c r="A97" i="190"/>
  <c r="F97" i="190"/>
  <c r="F98" i="190"/>
  <c r="F99" i="190"/>
  <c r="B100" i="190"/>
  <c r="F100" i="190"/>
  <c r="F101" i="190"/>
  <c r="F102" i="190"/>
  <c r="D67" i="190"/>
  <c r="H37" i="190"/>
  <c r="H36" i="190"/>
  <c r="H35" i="190"/>
  <c r="H34" i="190"/>
  <c r="F32" i="190"/>
  <c r="N28" i="190"/>
  <c r="N29" i="190"/>
  <c r="N30" i="190"/>
  <c r="N27" i="190"/>
  <c r="L28" i="190"/>
  <c r="L29" i="190"/>
  <c r="L30" i="190"/>
  <c r="L27" i="190"/>
  <c r="J27" i="190"/>
  <c r="J28" i="190"/>
  <c r="J29" i="190"/>
  <c r="J30" i="190"/>
  <c r="J26" i="190"/>
  <c r="H27" i="190"/>
  <c r="H28" i="190"/>
  <c r="H29" i="190"/>
  <c r="H30" i="190"/>
  <c r="H26" i="190"/>
  <c r="H19" i="190"/>
  <c r="B4" i="190"/>
  <c r="K137" i="190"/>
  <c r="A132" i="190"/>
  <c r="K49" i="187"/>
  <c r="I49" i="187"/>
  <c r="G49" i="187"/>
  <c r="M53" i="187"/>
  <c r="M54" i="187"/>
  <c r="M55" i="187"/>
  <c r="M4" i="187"/>
  <c r="AU30" i="150"/>
  <c r="K51" i="150"/>
  <c r="C50" i="187"/>
  <c r="G50" i="187" s="1"/>
  <c r="C51" i="187"/>
  <c r="E51" i="187" s="1"/>
  <c r="G51" i="187" s="1"/>
  <c r="I51" i="187" s="1"/>
  <c r="K51" i="187" s="1"/>
  <c r="C52" i="187"/>
  <c r="E52" i="187" s="1"/>
  <c r="G52" i="187" s="1"/>
  <c r="I52" i="187" s="1"/>
  <c r="K52" i="187" s="1"/>
  <c r="C53" i="187"/>
  <c r="E53" i="187" s="1"/>
  <c r="G53" i="187" s="1"/>
  <c r="I53" i="187" s="1"/>
  <c r="K53" i="187" s="1"/>
  <c r="V59" i="150"/>
  <c r="V57" i="150"/>
  <c r="J2" i="187"/>
  <c r="J1" i="186"/>
  <c r="AV30" i="150"/>
  <c r="AW30" i="150"/>
  <c r="AX30" i="150"/>
  <c r="AY30" i="150"/>
  <c r="E57" i="186"/>
  <c r="I56" i="186"/>
  <c r="E56" i="186"/>
  <c r="C52" i="186"/>
  <c r="R15" i="191"/>
  <c r="D63" i="179"/>
  <c r="D64" i="179"/>
  <c r="D65" i="179"/>
  <c r="D70" i="179"/>
  <c r="J29" i="186"/>
  <c r="J30" i="186"/>
  <c r="J31" i="186"/>
  <c r="J28" i="186"/>
  <c r="F29" i="186"/>
  <c r="F30" i="186"/>
  <c r="F31" i="186"/>
  <c r="I4" i="186"/>
  <c r="F4" i="186"/>
  <c r="C11" i="187"/>
  <c r="E11" i="187" s="1"/>
  <c r="G11" i="187" s="1"/>
  <c r="I11" i="187" s="1"/>
  <c r="K11" i="187" s="1"/>
  <c r="AT30" i="150"/>
  <c r="AS30" i="150"/>
  <c r="AR30" i="150"/>
  <c r="AQ30" i="150"/>
  <c r="AP30" i="150"/>
  <c r="AO30" i="150"/>
  <c r="AN30" i="150"/>
  <c r="AM30" i="150"/>
  <c r="AL30" i="150"/>
  <c r="AK30" i="150"/>
  <c r="AJ30" i="150"/>
  <c r="AI30" i="150"/>
  <c r="AH30" i="150"/>
  <c r="AG30" i="150"/>
  <c r="AF30" i="150"/>
  <c r="AE30" i="150"/>
  <c r="AD30" i="150"/>
  <c r="AC30" i="150"/>
  <c r="AB30" i="150"/>
  <c r="AA30" i="150"/>
  <c r="Z30" i="150"/>
  <c r="Y30" i="150"/>
  <c r="X30" i="150"/>
  <c r="W30" i="150"/>
  <c r="C32" i="187"/>
  <c r="E32" i="187" s="1"/>
  <c r="G32" i="187" s="1"/>
  <c r="I32" i="187" s="1"/>
  <c r="K32" i="187" s="1"/>
  <c r="C33" i="187"/>
  <c r="E33" i="187" s="1"/>
  <c r="G33" i="187" s="1"/>
  <c r="I33" i="187" s="1"/>
  <c r="K33" i="187" s="1"/>
  <c r="C22" i="187"/>
  <c r="E22" i="187" s="1"/>
  <c r="G22" i="187" s="1"/>
  <c r="I22" i="187" s="1"/>
  <c r="K22" i="187" s="1"/>
  <c r="C12" i="187"/>
  <c r="E12" i="187" s="1"/>
  <c r="G12" i="187" s="1"/>
  <c r="I12" i="187" s="1"/>
  <c r="K12" i="187" s="1"/>
  <c r="C10" i="187"/>
  <c r="E10" i="187" s="1"/>
  <c r="B50" i="154"/>
  <c r="B48" i="154"/>
  <c r="A5" i="184"/>
  <c r="F13" i="154"/>
  <c r="F9" i="154"/>
  <c r="A4" i="184"/>
  <c r="D40" i="93"/>
  <c r="D39" i="93"/>
  <c r="D38" i="93"/>
  <c r="B37" i="93"/>
  <c r="B36" i="93"/>
  <c r="B34" i="93"/>
  <c r="K26" i="183"/>
  <c r="K25" i="183"/>
  <c r="K24" i="183"/>
  <c r="K13" i="183"/>
  <c r="K8" i="183"/>
  <c r="K35" i="182"/>
  <c r="K36" i="182"/>
  <c r="K14" i="182"/>
  <c r="K13" i="182"/>
  <c r="K12" i="182"/>
  <c r="S84" i="171"/>
  <c r="S85" i="171"/>
  <c r="S83" i="171"/>
  <c r="L84" i="171"/>
  <c r="L85" i="171"/>
  <c r="L86" i="171"/>
  <c r="L83" i="171"/>
  <c r="I74" i="171"/>
  <c r="I73" i="171"/>
  <c r="K68" i="171"/>
  <c r="K66" i="171"/>
  <c r="K16" i="171"/>
  <c r="K65" i="171"/>
  <c r="K64" i="171"/>
  <c r="H18" i="171"/>
  <c r="E59" i="171"/>
  <c r="H19" i="151"/>
  <c r="K17" i="171"/>
  <c r="K17" i="151"/>
  <c r="K16" i="151"/>
  <c r="K15" i="171"/>
  <c r="K15" i="151"/>
  <c r="K10" i="171"/>
  <c r="K9" i="171"/>
  <c r="K8" i="171"/>
  <c r="A3" i="171"/>
  <c r="K26" i="181"/>
  <c r="K25" i="181"/>
  <c r="K24" i="181"/>
  <c r="K12" i="181"/>
  <c r="K8" i="181"/>
  <c r="K7" i="181"/>
  <c r="K29" i="177"/>
  <c r="K28" i="177"/>
  <c r="A53" i="172"/>
  <c r="A53" i="169"/>
  <c r="A53" i="170"/>
  <c r="A53" i="152"/>
  <c r="E82" i="179"/>
  <c r="E81" i="179"/>
  <c r="E80" i="179"/>
  <c r="D59" i="179"/>
  <c r="D279" i="150"/>
  <c r="K34" i="177"/>
  <c r="K33" i="177"/>
  <c r="K14" i="177"/>
  <c r="K13" i="177"/>
  <c r="K12" i="177"/>
  <c r="A3" i="151"/>
  <c r="K10" i="151"/>
  <c r="K9" i="151"/>
  <c r="H6" i="151"/>
  <c r="S145" i="151"/>
  <c r="S146" i="151"/>
  <c r="S144" i="151"/>
  <c r="G48" i="151"/>
  <c r="H47" i="151"/>
  <c r="H46" i="151"/>
  <c r="F43" i="151"/>
  <c r="F41" i="151"/>
  <c r="F39" i="151"/>
  <c r="F37" i="151"/>
  <c r="F35" i="151"/>
  <c r="F33" i="151"/>
  <c r="K101" i="151"/>
  <c r="K81" i="190" s="1"/>
  <c r="L27" i="151"/>
  <c r="N27" i="151"/>
  <c r="L28" i="151"/>
  <c r="N28" i="151"/>
  <c r="L29" i="151"/>
  <c r="N29" i="151"/>
  <c r="L26" i="151"/>
  <c r="N26" i="151"/>
  <c r="J26" i="151"/>
  <c r="J27" i="151"/>
  <c r="J28" i="151"/>
  <c r="J29" i="151"/>
  <c r="J25" i="151"/>
  <c r="H26" i="151"/>
  <c r="H27" i="151"/>
  <c r="H28" i="151"/>
  <c r="H29" i="151"/>
  <c r="H25" i="151"/>
  <c r="C31" i="150"/>
  <c r="F26" i="190" s="1"/>
  <c r="C32" i="150"/>
  <c r="F27" i="190" s="1"/>
  <c r="C33" i="150"/>
  <c r="F28" i="190" s="1"/>
  <c r="C34" i="150"/>
  <c r="F29" i="190" s="1"/>
  <c r="C35" i="150"/>
  <c r="F29" i="151" s="1"/>
  <c r="P20" i="151"/>
  <c r="H18" i="151"/>
  <c r="K8" i="151"/>
  <c r="L145" i="151"/>
  <c r="L146" i="151"/>
  <c r="L147" i="151"/>
  <c r="L144" i="151"/>
  <c r="K121" i="151"/>
  <c r="K101" i="190" s="1"/>
  <c r="K120" i="151"/>
  <c r="K100" i="190" s="1"/>
  <c r="K115" i="151"/>
  <c r="K95" i="190" s="1"/>
  <c r="K114" i="151"/>
  <c r="K94" i="190" s="1"/>
  <c r="K118" i="151"/>
  <c r="K98" i="190" s="1"/>
  <c r="K117" i="151"/>
  <c r="K97" i="190" s="1"/>
  <c r="K112" i="151"/>
  <c r="K92" i="190" s="1"/>
  <c r="K111" i="151"/>
  <c r="K91" i="190" s="1"/>
  <c r="K109" i="151"/>
  <c r="K89" i="190" s="1"/>
  <c r="K108" i="151"/>
  <c r="K88" i="190" s="1"/>
  <c r="K106" i="151"/>
  <c r="K86" i="190" s="1"/>
  <c r="K105" i="151"/>
  <c r="K85" i="190" s="1"/>
  <c r="K119" i="151"/>
  <c r="K99" i="190" s="1"/>
  <c r="K104" i="151"/>
  <c r="K84" i="190" s="1"/>
  <c r="K102" i="151"/>
  <c r="K82" i="190" s="1"/>
  <c r="K100" i="151"/>
  <c r="K80" i="190" s="1"/>
  <c r="H7" i="151"/>
  <c r="C21" i="187"/>
  <c r="E21" i="187" s="1"/>
  <c r="G21" i="187" s="1"/>
  <c r="I21" i="187" s="1"/>
  <c r="K21" i="187" s="1"/>
  <c r="C20" i="187"/>
  <c r="E20" i="187" s="1"/>
  <c r="C43" i="187"/>
  <c r="E43" i="187" s="1"/>
  <c r="G43" i="187" s="1"/>
  <c r="I43" i="187" s="1"/>
  <c r="K43" i="187" s="1"/>
  <c r="C41" i="187"/>
  <c r="E41" i="187" s="1"/>
  <c r="G41" i="187" s="1"/>
  <c r="I41" i="187" s="1"/>
  <c r="K41" i="187" s="1"/>
  <c r="C31" i="187"/>
  <c r="E31" i="187" s="1"/>
  <c r="G31" i="187" s="1"/>
  <c r="I31" i="187" s="1"/>
  <c r="K31" i="187" s="1"/>
  <c r="C42" i="187"/>
  <c r="E42" i="187" s="1"/>
  <c r="G42" i="187" s="1"/>
  <c r="I42" i="187" s="1"/>
  <c r="K42" i="187" s="1"/>
  <c r="C13" i="187"/>
  <c r="E13" i="187" s="1"/>
  <c r="G13" i="187" s="1"/>
  <c r="I13" i="187" s="1"/>
  <c r="K13" i="187" s="1"/>
  <c r="C23" i="187"/>
  <c r="E23" i="187" s="1"/>
  <c r="G23" i="187" s="1"/>
  <c r="I23" i="187" s="1"/>
  <c r="K23" i="187" s="1"/>
  <c r="C30" i="187"/>
  <c r="I30" i="187" s="1"/>
  <c r="C40" i="187"/>
  <c r="I40" i="187" s="1"/>
  <c r="AX34" i="150"/>
  <c r="AN34" i="150"/>
  <c r="AI34" i="150"/>
  <c r="W36" i="150"/>
  <c r="AB36" i="150"/>
  <c r="AD34" i="150"/>
  <c r="Y34" i="150"/>
  <c r="Y38" i="150"/>
  <c r="X35" i="150"/>
  <c r="I108" i="150"/>
  <c r="F281" i="134"/>
  <c r="F71" i="150"/>
  <c r="F69" i="150"/>
  <c r="F67" i="150"/>
  <c r="AX38" i="150"/>
  <c r="AS38" i="150"/>
  <c r="AI38" i="150"/>
  <c r="AD38" i="150"/>
  <c r="AT37" i="150"/>
  <c r="AP37" i="150"/>
  <c r="AK37" i="150"/>
  <c r="AJ37" i="150"/>
  <c r="AV36" i="150"/>
  <c r="AL36" i="150"/>
  <c r="AG36" i="150"/>
  <c r="AM35" i="150"/>
  <c r="AY33" i="150"/>
  <c r="AU33" i="150"/>
  <c r="AP33" i="150"/>
  <c r="AO33" i="150"/>
  <c r="AJ33" i="150"/>
  <c r="AF33" i="150"/>
  <c r="AE33" i="150"/>
  <c r="Z33" i="150"/>
  <c r="V33" i="150"/>
  <c r="AQ32" i="150"/>
  <c r="AL32" i="150"/>
  <c r="AB32" i="150"/>
  <c r="AW31" i="150"/>
  <c r="AM31" i="150"/>
  <c r="AH31" i="150"/>
  <c r="AC31" i="150"/>
  <c r="J37" i="162"/>
  <c r="J56" i="161"/>
  <c r="D28" i="162"/>
  <c r="G28" i="162" s="1"/>
  <c r="J28" i="162" s="1"/>
  <c r="M28" i="162" s="1"/>
  <c r="P28" i="162" s="1"/>
  <c r="J47" i="161"/>
  <c r="P26" i="162"/>
  <c r="M26" i="162"/>
  <c r="J26" i="162"/>
  <c r="G26" i="162"/>
  <c r="D26" i="162"/>
  <c r="P17" i="162"/>
  <c r="M17" i="162"/>
  <c r="J17" i="162"/>
  <c r="G17" i="162"/>
  <c r="D17" i="162"/>
  <c r="P8" i="162"/>
  <c r="M8" i="162"/>
  <c r="J8" i="162"/>
  <c r="G8" i="162"/>
  <c r="D8" i="162"/>
  <c r="P31" i="162"/>
  <c r="M31" i="162"/>
  <c r="J31" i="162"/>
  <c r="G31" i="162"/>
  <c r="D31" i="162"/>
  <c r="P22" i="162"/>
  <c r="M22" i="162"/>
  <c r="J22" i="162"/>
  <c r="G22" i="162"/>
  <c r="D22" i="162"/>
  <c r="P13" i="162"/>
  <c r="M13" i="162"/>
  <c r="J13" i="162"/>
  <c r="G13" i="162"/>
  <c r="D13" i="162"/>
  <c r="R3" i="162"/>
  <c r="S54" i="162" s="1"/>
  <c r="X33" i="161"/>
  <c r="X32" i="161"/>
  <c r="X31" i="161"/>
  <c r="G13" i="161"/>
  <c r="D13" i="161"/>
  <c r="P8" i="161"/>
  <c r="M8" i="161"/>
  <c r="J8" i="161"/>
  <c r="G8" i="161"/>
  <c r="D8" i="161"/>
  <c r="P44" i="161"/>
  <c r="M44" i="161"/>
  <c r="J44" i="161"/>
  <c r="G44" i="161"/>
  <c r="D44" i="161"/>
  <c r="P35" i="161"/>
  <c r="M35" i="161"/>
  <c r="J35" i="161"/>
  <c r="G35" i="161"/>
  <c r="D35" i="161"/>
  <c r="P26" i="161"/>
  <c r="M26" i="161"/>
  <c r="J26" i="161"/>
  <c r="G26" i="161"/>
  <c r="D26" i="161"/>
  <c r="P17" i="161"/>
  <c r="M17" i="161"/>
  <c r="J17" i="161"/>
  <c r="G17" i="161"/>
  <c r="D17" i="161"/>
  <c r="A4" i="161"/>
  <c r="M4" i="161" s="1"/>
  <c r="D21" i="162"/>
  <c r="G21" i="162" s="1"/>
  <c r="J21" i="162" s="1"/>
  <c r="M21" i="162" s="1"/>
  <c r="P21" i="162" s="1"/>
  <c r="O40" i="162"/>
  <c r="K39" i="162"/>
  <c r="N38" i="162"/>
  <c r="K38" i="162"/>
  <c r="O59" i="161"/>
  <c r="K58" i="161"/>
  <c r="N57" i="161"/>
  <c r="K57" i="161"/>
  <c r="I57" i="161"/>
  <c r="I38" i="162" s="1"/>
  <c r="F57" i="161"/>
  <c r="F38" i="162" s="1"/>
  <c r="C56" i="161"/>
  <c r="C37" i="162" s="1"/>
  <c r="H2" i="162"/>
  <c r="R3" i="161"/>
  <c r="U55" i="161" s="1"/>
  <c r="H2" i="161"/>
  <c r="A4" i="104"/>
  <c r="P50" i="161"/>
  <c r="D50" i="161"/>
  <c r="D40" i="161"/>
  <c r="G50" i="161"/>
  <c r="D22" i="161"/>
  <c r="D31" i="161"/>
  <c r="M50" i="161"/>
  <c r="M22" i="161"/>
  <c r="P22" i="161"/>
  <c r="G40" i="161"/>
  <c r="J31" i="161"/>
  <c r="M40" i="161"/>
  <c r="J13" i="161"/>
  <c r="J40" i="161"/>
  <c r="M31" i="161"/>
  <c r="P31" i="161"/>
  <c r="P13" i="161"/>
  <c r="J22" i="161"/>
  <c r="M13" i="161"/>
  <c r="G31" i="161"/>
  <c r="E331" i="134"/>
  <c r="F331" i="134"/>
  <c r="G331" i="134"/>
  <c r="H331" i="134"/>
  <c r="I331" i="134"/>
  <c r="J331" i="134"/>
  <c r="K331" i="134"/>
  <c r="E332" i="134"/>
  <c r="F332" i="134"/>
  <c r="G332" i="134"/>
  <c r="H332" i="134"/>
  <c r="I332" i="134"/>
  <c r="J332" i="134"/>
  <c r="K332" i="134"/>
  <c r="E333" i="134"/>
  <c r="F333" i="134"/>
  <c r="G333" i="134"/>
  <c r="H333" i="134"/>
  <c r="I333" i="134"/>
  <c r="J333" i="134"/>
  <c r="K333" i="134"/>
  <c r="E334" i="134"/>
  <c r="F334" i="134"/>
  <c r="G334" i="134"/>
  <c r="H334" i="134"/>
  <c r="I334" i="134"/>
  <c r="J334" i="134"/>
  <c r="K334" i="134"/>
  <c r="L334" i="134"/>
  <c r="E335" i="134"/>
  <c r="F335" i="134"/>
  <c r="G335" i="134"/>
  <c r="H335" i="134"/>
  <c r="I335" i="134"/>
  <c r="J335" i="134"/>
  <c r="K335" i="134"/>
  <c r="L335" i="134"/>
  <c r="E336" i="134"/>
  <c r="F336" i="134"/>
  <c r="G336" i="134"/>
  <c r="H336" i="134"/>
  <c r="I336" i="134"/>
  <c r="J336" i="134"/>
  <c r="K336" i="134"/>
  <c r="L336" i="134"/>
  <c r="H54" i="109"/>
  <c r="M52" i="121"/>
  <c r="D47" i="161"/>
  <c r="V8" i="162"/>
  <c r="T44" i="161"/>
  <c r="D19" i="162"/>
  <c r="G19" i="162" s="1"/>
  <c r="J19" i="162" s="1"/>
  <c r="M19" i="162" s="1"/>
  <c r="P19" i="162" s="1"/>
  <c r="D30" i="162"/>
  <c r="G30" i="162" s="1"/>
  <c r="J30" i="162" s="1"/>
  <c r="M30" i="162" s="1"/>
  <c r="P30" i="162" s="1"/>
  <c r="D12" i="162"/>
  <c r="G12" i="162" s="1"/>
  <c r="J12" i="162" s="1"/>
  <c r="M12" i="162" s="1"/>
  <c r="P12" i="162" s="1"/>
  <c r="D20" i="162"/>
  <c r="G20" i="162" s="1"/>
  <c r="J20" i="162" s="1"/>
  <c r="M20" i="162" s="1"/>
  <c r="P20" i="162" s="1"/>
  <c r="D29" i="162"/>
  <c r="G29" i="162" s="1"/>
  <c r="J29" i="162" s="1"/>
  <c r="M29" i="162" s="1"/>
  <c r="P29" i="162" s="1"/>
  <c r="D11" i="162"/>
  <c r="G11" i="162" s="1"/>
  <c r="J11" i="162" s="1"/>
  <c r="M11" i="162" s="1"/>
  <c r="P11" i="162" s="1"/>
  <c r="D10" i="161"/>
  <c r="G10" i="161" s="1"/>
  <c r="J10" i="161" s="1"/>
  <c r="M10" i="161" s="1"/>
  <c r="P10" i="161" s="1"/>
  <c r="D12" i="161"/>
  <c r="G12" i="161" s="1"/>
  <c r="J12" i="161" s="1"/>
  <c r="M12" i="161" s="1"/>
  <c r="P12" i="161" s="1"/>
  <c r="D21" i="161"/>
  <c r="G21" i="161" s="1"/>
  <c r="J21" i="161" s="1"/>
  <c r="M21" i="161" s="1"/>
  <c r="P21" i="161" s="1"/>
  <c r="J50" i="161"/>
  <c r="P40" i="161"/>
  <c r="D48" i="161"/>
  <c r="G48" i="161" s="1"/>
  <c r="J48" i="161" s="1"/>
  <c r="M48" i="161" s="1"/>
  <c r="P48" i="161" s="1"/>
  <c r="D11" i="161"/>
  <c r="G11" i="161" s="1"/>
  <c r="J11" i="161" s="1"/>
  <c r="M11" i="161" s="1"/>
  <c r="P11" i="161" s="1"/>
  <c r="D29" i="161"/>
  <c r="G29" i="161" s="1"/>
  <c r="J29" i="161" s="1"/>
  <c r="M29" i="161" s="1"/>
  <c r="P29" i="161" s="1"/>
  <c r="D20" i="161"/>
  <c r="G20" i="161" s="1"/>
  <c r="J20" i="161" s="1"/>
  <c r="M20" i="161" s="1"/>
  <c r="P20" i="161" s="1"/>
  <c r="D38" i="161"/>
  <c r="G38" i="161" s="1"/>
  <c r="J38" i="161" s="1"/>
  <c r="M38" i="161" s="1"/>
  <c r="P38" i="161" s="1"/>
  <c r="G22" i="161"/>
  <c r="Q56" i="131"/>
  <c r="K21" i="131" s="1"/>
  <c r="M56" i="131"/>
  <c r="K19" i="131" s="1"/>
  <c r="P18" i="131"/>
  <c r="I56" i="131"/>
  <c r="K17" i="131" s="1"/>
  <c r="E56" i="131"/>
  <c r="K15" i="131" s="1"/>
  <c r="Q54" i="131"/>
  <c r="M54" i="131"/>
  <c r="I54" i="131"/>
  <c r="E54" i="131"/>
  <c r="C48" i="131"/>
  <c r="C47" i="131"/>
  <c r="A46" i="131"/>
  <c r="A45" i="131"/>
  <c r="A44" i="131"/>
  <c r="O41" i="131"/>
  <c r="P43" i="131" s="1"/>
  <c r="P24" i="131"/>
  <c r="P22" i="131"/>
  <c r="O11" i="131"/>
  <c r="F11" i="131"/>
  <c r="U58" i="131" s="1"/>
  <c r="AJ5" i="121"/>
  <c r="I2" i="121" s="1"/>
  <c r="V2" i="121"/>
  <c r="V2" i="109" s="1"/>
  <c r="R11" i="131"/>
  <c r="M32" i="131" s="1"/>
  <c r="D19" i="161"/>
  <c r="G19" i="161" s="1"/>
  <c r="J19" i="161" s="1"/>
  <c r="M19" i="161" s="1"/>
  <c r="P19" i="161" s="1"/>
  <c r="D28" i="161"/>
  <c r="G28" i="161" s="1"/>
  <c r="J28" i="161" s="1"/>
  <c r="M28" i="161" s="1"/>
  <c r="P28" i="161" s="1"/>
  <c r="D10" i="162"/>
  <c r="G10" i="162" s="1"/>
  <c r="J10" i="162" s="1"/>
  <c r="M10" i="162" s="1"/>
  <c r="P10" i="162" s="1"/>
  <c r="D46" i="161"/>
  <c r="G46" i="161" s="1"/>
  <c r="J46" i="161" s="1"/>
  <c r="M46" i="161" s="1"/>
  <c r="P46" i="161" s="1"/>
  <c r="D37" i="161"/>
  <c r="G37" i="161" s="1"/>
  <c r="J37" i="161" s="1"/>
  <c r="M37" i="161" s="1"/>
  <c r="P37" i="161" s="1"/>
  <c r="V24" i="161"/>
  <c r="S33" i="162"/>
  <c r="D30" i="161"/>
  <c r="G30" i="161" s="1"/>
  <c r="J30" i="161" s="1"/>
  <c r="M30" i="161" s="1"/>
  <c r="P30" i="161" s="1"/>
  <c r="D49" i="161"/>
  <c r="G49" i="161" s="1"/>
  <c r="J49" i="161" s="1"/>
  <c r="M49" i="161" s="1"/>
  <c r="P49" i="161" s="1"/>
  <c r="D39" i="161"/>
  <c r="G39" i="161" s="1"/>
  <c r="J39" i="161" s="1"/>
  <c r="M39" i="161" s="1"/>
  <c r="P39" i="161" s="1"/>
  <c r="S35" i="161"/>
  <c r="T24" i="161"/>
  <c r="W24" i="162"/>
  <c r="S26" i="162"/>
  <c r="V26" i="162"/>
  <c r="G47" i="161"/>
  <c r="M47" i="161"/>
  <c r="W15" i="161"/>
  <c r="S33" i="161"/>
  <c r="U15" i="161"/>
  <c r="T42" i="162"/>
  <c r="T44" i="162"/>
  <c r="T45" i="162" s="1"/>
  <c r="V58" i="162"/>
  <c r="S44" i="161"/>
  <c r="W42" i="161"/>
  <c r="V17" i="161"/>
  <c r="T6" i="162"/>
  <c r="W44" i="162"/>
  <c r="W46" i="162"/>
  <c r="W47" i="162" s="1"/>
  <c r="U46" i="161"/>
  <c r="U42" i="161"/>
  <c r="U43" i="161" s="1"/>
  <c r="J42" i="161" s="1"/>
  <c r="T33" i="161"/>
  <c r="U6" i="161"/>
  <c r="V44" i="161"/>
  <c r="T42" i="161"/>
  <c r="S17" i="162"/>
  <c r="V17" i="162"/>
  <c r="W15" i="162"/>
  <c r="W16" i="162" s="1"/>
  <c r="P15" i="162" s="1"/>
  <c r="P47" i="161"/>
  <c r="S15" i="161"/>
  <c r="S26" i="161"/>
  <c r="S17" i="161"/>
  <c r="V33" i="161"/>
  <c r="S56" i="162"/>
  <c r="S35" i="162"/>
  <c r="S36" i="162" s="1"/>
  <c r="S42" i="161"/>
  <c r="W46" i="161"/>
  <c r="V44" i="162"/>
  <c r="S42" i="162"/>
  <c r="S43" i="162" s="1"/>
  <c r="S6" i="162"/>
  <c r="U55" i="162"/>
  <c r="U44" i="162"/>
  <c r="U45" i="162" s="1"/>
  <c r="V35" i="162"/>
  <c r="V36" i="162" s="1"/>
  <c r="T24" i="162"/>
  <c r="S24" i="162"/>
  <c r="V15" i="162"/>
  <c r="U6" i="162"/>
  <c r="U7" i="162" s="1"/>
  <c r="V24" i="162"/>
  <c r="W44" i="161"/>
  <c r="S24" i="161"/>
  <c r="W33" i="161"/>
  <c r="V15" i="161"/>
  <c r="U33" i="161"/>
  <c r="V8" i="161"/>
  <c r="V42" i="161"/>
  <c r="V43" i="161" s="1"/>
  <c r="M42" i="161" s="1"/>
  <c r="U24" i="161"/>
  <c r="T6" i="161"/>
  <c r="S6" i="161"/>
  <c r="V46" i="161"/>
  <c r="S46" i="161"/>
  <c r="U24" i="162"/>
  <c r="W6" i="162"/>
  <c r="S46" i="162"/>
  <c r="U42" i="162"/>
  <c r="U43" i="162" s="1"/>
  <c r="T33" i="162"/>
  <c r="S8" i="162"/>
  <c r="V46" i="162"/>
  <c r="S44" i="162"/>
  <c r="W33" i="162"/>
  <c r="W24" i="161"/>
  <c r="V6" i="161"/>
  <c r="V35" i="161"/>
  <c r="T15" i="161"/>
  <c r="U44" i="161"/>
  <c r="V26" i="161"/>
  <c r="S8" i="161"/>
  <c r="W6" i="161"/>
  <c r="T46" i="161"/>
  <c r="U46" i="162"/>
  <c r="W42" i="162"/>
  <c r="W43" i="162" s="1"/>
  <c r="V33" i="162"/>
  <c r="T15" i="162"/>
  <c r="T46" i="162"/>
  <c r="V42" i="162"/>
  <c r="U33" i="162"/>
  <c r="S15" i="162"/>
  <c r="V6" i="162"/>
  <c r="S55" i="162"/>
  <c r="U15" i="162"/>
  <c r="A59" i="161"/>
  <c r="A40" i="162" s="1"/>
  <c r="F59" i="161"/>
  <c r="F40" i="162" s="1"/>
  <c r="D77" i="179"/>
  <c r="U54" i="162" l="1"/>
  <c r="S25" i="162"/>
  <c r="W55" i="162"/>
  <c r="V9" i="162"/>
  <c r="D9" i="162" s="1"/>
  <c r="J9" i="162" s="1"/>
  <c r="V56" i="162"/>
  <c r="AD45" i="178"/>
  <c r="V43" i="162"/>
  <c r="S45" i="162"/>
  <c r="V16" i="162"/>
  <c r="M15" i="162" s="1"/>
  <c r="V45" i="162"/>
  <c r="K10" i="187"/>
  <c r="P16" i="187"/>
  <c r="R16" i="187" s="1"/>
  <c r="AH80" i="180"/>
  <c r="AH116" i="180"/>
  <c r="AH116" i="178"/>
  <c r="AH188" i="178"/>
  <c r="AH152" i="178"/>
  <c r="AH44" i="178"/>
  <c r="O15" i="178" s="1"/>
  <c r="T15" i="178" s="1"/>
  <c r="AH80" i="178"/>
  <c r="AH152" i="180"/>
  <c r="AH188" i="180"/>
  <c r="I10" i="187"/>
  <c r="E10" i="191"/>
  <c r="K50" i="187"/>
  <c r="I50" i="187"/>
  <c r="D42" i="150"/>
  <c r="D43" i="150"/>
  <c r="J281" i="134"/>
  <c r="J247" i="91"/>
  <c r="K51" i="191"/>
  <c r="E53" i="191"/>
  <c r="C49" i="191"/>
  <c r="B42" i="150"/>
  <c r="H281" i="134"/>
  <c r="H247" i="91"/>
  <c r="P14" i="131"/>
  <c r="K61" i="187"/>
  <c r="C59" i="187"/>
  <c r="E63" i="187"/>
  <c r="F26" i="180"/>
  <c r="F26" i="178"/>
  <c r="T18" i="180"/>
  <c r="AG7" i="180"/>
  <c r="Q22" i="180" s="1"/>
  <c r="AG6" i="180"/>
  <c r="T22" i="180" s="1"/>
  <c r="B49" i="191"/>
  <c r="B59" i="187"/>
  <c r="D46" i="150"/>
  <c r="F44" i="150"/>
  <c r="B45" i="150"/>
  <c r="B46" i="150"/>
  <c r="F46" i="150"/>
  <c r="C34" i="162"/>
  <c r="C53" i="161"/>
  <c r="D51" i="179"/>
  <c r="J37" i="186"/>
  <c r="F25" i="151"/>
  <c r="P16" i="191"/>
  <c r="R16" i="191" s="1"/>
  <c r="F30" i="190"/>
  <c r="E50" i="187"/>
  <c r="S25" i="161"/>
  <c r="D24" i="161" s="1"/>
  <c r="S27" i="161"/>
  <c r="D25" i="161" s="1"/>
  <c r="M25" i="161" s="1"/>
  <c r="D75" i="179"/>
  <c r="P16" i="131"/>
  <c r="E42" i="150"/>
  <c r="V7" i="161"/>
  <c r="M6" i="161" s="1"/>
  <c r="V9" i="161"/>
  <c r="D9" i="161" s="1"/>
  <c r="W16" i="161"/>
  <c r="P15" i="161" s="1"/>
  <c r="E46" i="150"/>
  <c r="S7" i="161"/>
  <c r="D6" i="161" s="1"/>
  <c r="S36" i="161"/>
  <c r="D34" i="161" s="1"/>
  <c r="P34" i="161" s="1"/>
  <c r="G10" i="187"/>
  <c r="G30" i="187"/>
  <c r="W54" i="161"/>
  <c r="I56" i="161" s="1"/>
  <c r="I37" i="162" s="1"/>
  <c r="U16" i="162"/>
  <c r="J15" i="162" s="1"/>
  <c r="U34" i="162"/>
  <c r="V34" i="162"/>
  <c r="W34" i="162"/>
  <c r="T34" i="162"/>
  <c r="S7" i="162"/>
  <c r="D6" i="162" s="1"/>
  <c r="S18" i="162"/>
  <c r="D16" i="162" s="1"/>
  <c r="W45" i="162"/>
  <c r="V57" i="161"/>
  <c r="F41" i="150"/>
  <c r="D45" i="150"/>
  <c r="K4" i="186"/>
  <c r="I2" i="109"/>
  <c r="P2" i="109"/>
  <c r="V56" i="161"/>
  <c r="W25" i="161"/>
  <c r="P24" i="161" s="1"/>
  <c r="V45" i="161"/>
  <c r="M43" i="161" s="1"/>
  <c r="D71" i="179"/>
  <c r="J4" i="186"/>
  <c r="D44" i="150"/>
  <c r="W55" i="161"/>
  <c r="U45" i="161"/>
  <c r="J43" i="161" s="1"/>
  <c r="T7" i="161"/>
  <c r="G6" i="161" s="1"/>
  <c r="W45" i="161"/>
  <c r="P43" i="161" s="1"/>
  <c r="V58" i="161"/>
  <c r="S54" i="161"/>
  <c r="F42" i="150"/>
  <c r="B41" i="150"/>
  <c r="B43" i="150"/>
  <c r="F45" i="150"/>
  <c r="G40" i="187"/>
  <c r="E45" i="150"/>
  <c r="U34" i="161"/>
  <c r="J33" i="161" s="1"/>
  <c r="S56" i="161"/>
  <c r="C58" i="161" s="1"/>
  <c r="C39" i="162" s="1"/>
  <c r="U54" i="161"/>
  <c r="F56" i="161" s="1"/>
  <c r="F37" i="162" s="1"/>
  <c r="D41" i="150"/>
  <c r="S55" i="161"/>
  <c r="C57" i="161" s="1"/>
  <c r="C38" i="162" s="1"/>
  <c r="V47" i="161"/>
  <c r="M45" i="161" s="1"/>
  <c r="T16" i="161"/>
  <c r="G15" i="161" s="1"/>
  <c r="S47" i="161"/>
  <c r="D45" i="161" s="1"/>
  <c r="U25" i="161"/>
  <c r="J24" i="161" s="1"/>
  <c r="V16" i="161"/>
  <c r="M15" i="161" s="1"/>
  <c r="W47" i="161"/>
  <c r="P45" i="161" s="1"/>
  <c r="V34" i="161"/>
  <c r="M33" i="161" s="1"/>
  <c r="U7" i="161"/>
  <c r="J6" i="161" s="1"/>
  <c r="U47" i="161"/>
  <c r="J45" i="161" s="1"/>
  <c r="V18" i="161"/>
  <c r="D18" i="161" s="1"/>
  <c r="S45" i="161"/>
  <c r="D43" i="161" s="1"/>
  <c r="T25" i="161"/>
  <c r="G24" i="161" s="1"/>
  <c r="V25" i="161"/>
  <c r="M24" i="161" s="1"/>
  <c r="T45" i="161"/>
  <c r="G43" i="161" s="1"/>
  <c r="P20" i="131"/>
  <c r="P26" i="131" s="1"/>
  <c r="S9" i="161"/>
  <c r="D7" i="161" s="1"/>
  <c r="P7" i="161" s="1"/>
  <c r="W34" i="161"/>
  <c r="P33" i="161" s="1"/>
  <c r="S43" i="161"/>
  <c r="D42" i="161" s="1"/>
  <c r="S18" i="161"/>
  <c r="D16" i="161" s="1"/>
  <c r="T34" i="161"/>
  <c r="G33" i="161" s="1"/>
  <c r="W43" i="161"/>
  <c r="P42" i="161" s="1"/>
  <c r="S34" i="161"/>
  <c r="D33" i="161" s="1"/>
  <c r="E41" i="150"/>
  <c r="F43" i="150"/>
  <c r="E43" i="150"/>
  <c r="E44" i="150"/>
  <c r="B44" i="150"/>
  <c r="K40" i="187"/>
  <c r="K20" i="187"/>
  <c r="D57" i="179"/>
  <c r="E254" i="91"/>
  <c r="L51" i="150"/>
  <c r="C41" i="150"/>
  <c r="C42" i="150"/>
  <c r="C43" i="150"/>
  <c r="C44" i="150"/>
  <c r="C45" i="150"/>
  <c r="C46" i="150"/>
  <c r="E40" i="187"/>
  <c r="G20" i="187"/>
  <c r="K107" i="151"/>
  <c r="K87" i="190" s="1"/>
  <c r="E265" i="91"/>
  <c r="G292" i="91"/>
  <c r="H292" i="91" s="1"/>
  <c r="I292" i="91" s="1"/>
  <c r="J292" i="91" s="1"/>
  <c r="K292" i="91" s="1"/>
  <c r="E285" i="91"/>
  <c r="E257" i="91"/>
  <c r="E263" i="91"/>
  <c r="G256" i="91"/>
  <c r="H256" i="91" s="1"/>
  <c r="I256" i="91" s="1"/>
  <c r="J256" i="91" s="1"/>
  <c r="K256" i="91" s="1"/>
  <c r="E281" i="91"/>
  <c r="G248" i="91"/>
  <c r="H248" i="91" s="1"/>
  <c r="I248" i="91" s="1"/>
  <c r="J248" i="91" s="1"/>
  <c r="K248" i="91" s="1"/>
  <c r="K10" i="191"/>
  <c r="K30" i="191"/>
  <c r="G10" i="191"/>
  <c r="E30" i="191"/>
  <c r="G30" i="191"/>
  <c r="K30" i="187"/>
  <c r="E30" i="187"/>
  <c r="I20" i="187"/>
  <c r="T38" i="178"/>
  <c r="H41" i="178" s="1"/>
  <c r="E291" i="91"/>
  <c r="G291" i="91"/>
  <c r="H291" i="91" s="1"/>
  <c r="I291" i="91" s="1"/>
  <c r="J291" i="91" s="1"/>
  <c r="K291" i="91" s="1"/>
  <c r="P2" i="121"/>
  <c r="G20" i="191"/>
  <c r="E20" i="191"/>
  <c r="K40" i="191"/>
  <c r="I40" i="191"/>
  <c r="F28" i="151"/>
  <c r="V57" i="162"/>
  <c r="W54" i="162"/>
  <c r="E40" i="191"/>
  <c r="F27" i="151"/>
  <c r="V7" i="162"/>
  <c r="M6" i="162" s="1"/>
  <c r="T47" i="162"/>
  <c r="U47" i="162"/>
  <c r="V47" i="162"/>
  <c r="S47" i="162"/>
  <c r="W7" i="162"/>
  <c r="P6" i="162" s="1"/>
  <c r="V25" i="162"/>
  <c r="M24" i="162" s="1"/>
  <c r="W25" i="162"/>
  <c r="P24" i="162" s="1"/>
  <c r="S34" i="162"/>
  <c r="K28" i="131"/>
  <c r="K20" i="191"/>
  <c r="E270" i="91"/>
  <c r="T16" i="162"/>
  <c r="G15" i="162" s="1"/>
  <c r="S9" i="162"/>
  <c r="D7" i="162" s="1"/>
  <c r="M7" i="162" s="1"/>
  <c r="T25" i="162"/>
  <c r="G24" i="162" s="1"/>
  <c r="V18" i="162"/>
  <c r="D18" i="162" s="1"/>
  <c r="J18" i="162" s="1"/>
  <c r="T7" i="162"/>
  <c r="G6" i="162" s="1"/>
  <c r="T43" i="162"/>
  <c r="E75" i="179"/>
  <c r="G75" i="179" s="1"/>
  <c r="X30" i="161"/>
  <c r="D58" i="161" s="1"/>
  <c r="D39" i="162" s="1"/>
  <c r="G4" i="161"/>
  <c r="J4" i="161"/>
  <c r="D58" i="179"/>
  <c r="P9" i="162"/>
  <c r="E71" i="179"/>
  <c r="H71" i="179" s="1"/>
  <c r="E273" i="91"/>
  <c r="G276" i="91"/>
  <c r="H276" i="91" s="1"/>
  <c r="I276" i="91" s="1"/>
  <c r="J276" i="91" s="1"/>
  <c r="K276" i="91" s="1"/>
  <c r="C4" i="161"/>
  <c r="K122" i="151"/>
  <c r="K102" i="190" s="1"/>
  <c r="K116" i="151"/>
  <c r="K96" i="190" s="1"/>
  <c r="G9" i="162"/>
  <c r="E288" i="91"/>
  <c r="G296" i="91"/>
  <c r="H296" i="91" s="1"/>
  <c r="I296" i="91" s="1"/>
  <c r="J296" i="91" s="1"/>
  <c r="K296" i="91" s="1"/>
  <c r="M46" i="191"/>
  <c r="C54" i="191" s="1"/>
  <c r="E253" i="91"/>
  <c r="E269" i="91"/>
  <c r="E250" i="91"/>
  <c r="AA14" i="178"/>
  <c r="D8" i="178" s="1"/>
  <c r="K113" i="151"/>
  <c r="K93" i="190" s="1"/>
  <c r="E279" i="91"/>
  <c r="E286" i="91"/>
  <c r="G260" i="91"/>
  <c r="H260" i="91" s="1"/>
  <c r="I260" i="91" s="1"/>
  <c r="J260" i="91" s="1"/>
  <c r="K260" i="91" s="1"/>
  <c r="D24" i="162"/>
  <c r="E272" i="91"/>
  <c r="E294" i="91"/>
  <c r="E278" i="91"/>
  <c r="B56" i="190"/>
  <c r="I4" i="161"/>
  <c r="O4" i="161"/>
  <c r="F4" i="161"/>
  <c r="G271" i="91"/>
  <c r="H271" i="91" s="1"/>
  <c r="I271" i="91" s="1"/>
  <c r="J271" i="91" s="1"/>
  <c r="K271" i="91" s="1"/>
  <c r="E271" i="91"/>
  <c r="E252" i="91"/>
  <c r="G252" i="91"/>
  <c r="H252" i="91" s="1"/>
  <c r="I252" i="91" s="1"/>
  <c r="J252" i="91" s="1"/>
  <c r="K252" i="91" s="1"/>
  <c r="K110" i="151"/>
  <c r="K90" i="190" s="1"/>
  <c r="K2" i="187"/>
  <c r="F26" i="151"/>
  <c r="P4" i="161"/>
  <c r="W7" i="161"/>
  <c r="P6" i="161" s="1"/>
  <c r="S16" i="162"/>
  <c r="D15" i="162" s="1"/>
  <c r="G280" i="91"/>
  <c r="H280" i="91" s="1"/>
  <c r="I280" i="91" s="1"/>
  <c r="J280" i="91" s="1"/>
  <c r="K280" i="91" s="1"/>
  <c r="E280" i="91"/>
  <c r="G261" i="91"/>
  <c r="H261" i="91" s="1"/>
  <c r="I261" i="91" s="1"/>
  <c r="J261" i="91" s="1"/>
  <c r="K261" i="91" s="1"/>
  <c r="E261" i="91"/>
  <c r="E284" i="91"/>
  <c r="G284" i="91"/>
  <c r="H284" i="91" s="1"/>
  <c r="I284" i="91" s="1"/>
  <c r="J284" i="91" s="1"/>
  <c r="K284" i="91" s="1"/>
  <c r="G262" i="91"/>
  <c r="H262" i="91" s="1"/>
  <c r="I262" i="91" s="1"/>
  <c r="J262" i="91" s="1"/>
  <c r="K262" i="91" s="1"/>
  <c r="E262" i="91"/>
  <c r="E295" i="91"/>
  <c r="G295" i="91"/>
  <c r="H295" i="91" s="1"/>
  <c r="I295" i="91" s="1"/>
  <c r="J295" i="91" s="1"/>
  <c r="K295" i="91" s="1"/>
  <c r="J6" i="162"/>
  <c r="L4" i="161"/>
  <c r="K4" i="161" s="1"/>
  <c r="D4" i="161"/>
  <c r="T43" i="161"/>
  <c r="G42" i="161" s="1"/>
  <c r="M56" i="187"/>
  <c r="C64" i="187" s="1"/>
  <c r="G289" i="91"/>
  <c r="H289" i="91" s="1"/>
  <c r="I289" i="91" s="1"/>
  <c r="J289" i="91" s="1"/>
  <c r="K289" i="91" s="1"/>
  <c r="E289" i="91"/>
  <c r="G277" i="91"/>
  <c r="H277" i="91" s="1"/>
  <c r="I277" i="91" s="1"/>
  <c r="J277" i="91" s="1"/>
  <c r="K277" i="91" s="1"/>
  <c r="G268" i="91"/>
  <c r="H268" i="91" s="1"/>
  <c r="I268" i="91" s="1"/>
  <c r="J268" i="91" s="1"/>
  <c r="K268" i="91" s="1"/>
  <c r="G264" i="91"/>
  <c r="H264" i="91" s="1"/>
  <c r="I264" i="91" s="1"/>
  <c r="J264" i="91" s="1"/>
  <c r="K264" i="91" s="1"/>
  <c r="V27" i="162"/>
  <c r="D27" i="162" s="1"/>
  <c r="U16" i="161"/>
  <c r="J15" i="161" s="1"/>
  <c r="V27" i="161"/>
  <c r="D27" i="161" s="1"/>
  <c r="S16" i="161"/>
  <c r="D15" i="161" s="1"/>
  <c r="G282" i="134"/>
  <c r="H282" i="134" s="1"/>
  <c r="I282" i="134" s="1"/>
  <c r="J282" i="134" s="1"/>
  <c r="K282" i="134" s="1"/>
  <c r="E282" i="134"/>
  <c r="T47" i="161"/>
  <c r="G45" i="161" s="1"/>
  <c r="V36" i="161"/>
  <c r="D36" i="161" s="1"/>
  <c r="S27" i="162"/>
  <c r="D25" i="162" s="1"/>
  <c r="U25" i="162"/>
  <c r="J24" i="162" s="1"/>
  <c r="M9" i="162"/>
  <c r="AA22" i="178"/>
  <c r="AC23" i="178" s="1"/>
  <c r="AB23" i="178" s="1"/>
  <c r="E255" i="91"/>
  <c r="E287" i="91"/>
  <c r="G293" i="91"/>
  <c r="H293" i="91" s="1"/>
  <c r="I293" i="91" s="1"/>
  <c r="J293" i="91" s="1"/>
  <c r="K293" i="91" s="1"/>
  <c r="G283" i="91"/>
  <c r="H283" i="91" s="1"/>
  <c r="I283" i="91" s="1"/>
  <c r="J283" i="91" s="1"/>
  <c r="K283" i="91" s="1"/>
  <c r="E283" i="91"/>
  <c r="G275" i="91"/>
  <c r="H275" i="91" s="1"/>
  <c r="I275" i="91" s="1"/>
  <c r="J275" i="91" s="1"/>
  <c r="K275" i="91" s="1"/>
  <c r="E275" i="91"/>
  <c r="G267" i="91"/>
  <c r="H267" i="91" s="1"/>
  <c r="I267" i="91" s="1"/>
  <c r="J267" i="91" s="1"/>
  <c r="K267" i="91" s="1"/>
  <c r="E267" i="91"/>
  <c r="G259" i="91"/>
  <c r="H259" i="91" s="1"/>
  <c r="I259" i="91" s="1"/>
  <c r="J259" i="91" s="1"/>
  <c r="K259" i="91" s="1"/>
  <c r="E259" i="91"/>
  <c r="E251" i="91"/>
  <c r="E249" i="91"/>
  <c r="G249" i="91"/>
  <c r="H249" i="91" s="1"/>
  <c r="I249" i="91" s="1"/>
  <c r="J249" i="91" s="1"/>
  <c r="K249" i="91" s="1"/>
  <c r="E258" i="91"/>
  <c r="E266" i="91"/>
  <c r="E274" i="91"/>
  <c r="E282" i="91"/>
  <c r="E290" i="91"/>
  <c r="E73" i="179"/>
  <c r="F73" i="179" s="1"/>
  <c r="K1" i="186"/>
  <c r="K2" i="191"/>
  <c r="H3" i="179"/>
  <c r="E72" i="179"/>
  <c r="O5" i="150" a="1"/>
  <c r="O26" i="150" s="1"/>
  <c r="AC33" i="180" l="1"/>
  <c r="J34" i="161"/>
  <c r="M34" i="161"/>
  <c r="G34" i="161"/>
  <c r="C45" i="187"/>
  <c r="C46" i="187"/>
  <c r="D51" i="161"/>
  <c r="AD15" i="178"/>
  <c r="E21" i="178"/>
  <c r="A22" i="180"/>
  <c r="H22" i="180" s="1"/>
  <c r="K37" i="186"/>
  <c r="Q16" i="191"/>
  <c r="C37" i="191" s="1"/>
  <c r="E37" i="191" s="1"/>
  <c r="AR50" i="150"/>
  <c r="AR61" i="150" s="1"/>
  <c r="AR48" i="150"/>
  <c r="AR59" i="150" s="1"/>
  <c r="AR46" i="150"/>
  <c r="AR57" i="150" s="1"/>
  <c r="AR44" i="150"/>
  <c r="AR55" i="150" s="1"/>
  <c r="AR49" i="150"/>
  <c r="AR60" i="150" s="1"/>
  <c r="AR47" i="150"/>
  <c r="AR58" i="150" s="1"/>
  <c r="E70" i="150" s="1"/>
  <c r="AR45" i="150"/>
  <c r="AR56" i="150" s="1"/>
  <c r="AR43" i="150"/>
  <c r="AR54" i="150" s="1"/>
  <c r="R25" i="150" a="1"/>
  <c r="R29" i="150" s="1"/>
  <c r="E39" i="179" s="1"/>
  <c r="R20" i="150" a="1"/>
  <c r="R20" i="150" s="1"/>
  <c r="D22" i="186" s="1"/>
  <c r="M51" i="161"/>
  <c r="G18" i="162"/>
  <c r="J7" i="161"/>
  <c r="M7" i="161"/>
  <c r="P51" i="161"/>
  <c r="J51" i="161"/>
  <c r="R5" i="150" a="1"/>
  <c r="R5" i="150" s="1"/>
  <c r="R15" i="150" a="1"/>
  <c r="R18" i="150" s="1"/>
  <c r="D19" i="186" s="1"/>
  <c r="D63" i="150"/>
  <c r="R30" i="150" a="1"/>
  <c r="R34" i="150" s="1"/>
  <c r="R10" i="150" a="1"/>
  <c r="R13" i="150" s="1"/>
  <c r="D13" i="186" s="1"/>
  <c r="C6" i="191"/>
  <c r="E6" i="191" s="1"/>
  <c r="C26" i="187"/>
  <c r="I26" i="187" s="1"/>
  <c r="F71" i="179"/>
  <c r="E70" i="179"/>
  <c r="G70" i="179" s="1"/>
  <c r="F55" i="179"/>
  <c r="G71" i="179"/>
  <c r="P18" i="162"/>
  <c r="E51" i="179"/>
  <c r="F51" i="179" s="1"/>
  <c r="M18" i="162"/>
  <c r="G7" i="161"/>
  <c r="Q16" i="187"/>
  <c r="C37" i="187" s="1"/>
  <c r="P18" i="161"/>
  <c r="M18" i="161"/>
  <c r="D14" i="162"/>
  <c r="N4" i="161"/>
  <c r="E45" i="187"/>
  <c r="G47" i="187"/>
  <c r="C47" i="187"/>
  <c r="G46" i="187"/>
  <c r="E46" i="187"/>
  <c r="E47" i="187"/>
  <c r="J7" i="162"/>
  <c r="J14" i="162" s="1"/>
  <c r="B4" i="161"/>
  <c r="P7" i="162"/>
  <c r="P14" i="162" s="1"/>
  <c r="F58" i="161"/>
  <c r="F39" i="162" s="1"/>
  <c r="Y29" i="161"/>
  <c r="E4" i="161"/>
  <c r="H4" i="161"/>
  <c r="I46" i="187"/>
  <c r="G7" i="162"/>
  <c r="G14" i="162" s="1"/>
  <c r="K47" i="187"/>
  <c r="J18" i="161"/>
  <c r="G18" i="161"/>
  <c r="P28" i="131"/>
  <c r="P30" i="131" s="1"/>
  <c r="P32" i="131" s="1"/>
  <c r="P34" i="131" s="1"/>
  <c r="H75" i="179"/>
  <c r="F75" i="179"/>
  <c r="I47" i="187"/>
  <c r="K46" i="187"/>
  <c r="G25" i="161"/>
  <c r="P25" i="161"/>
  <c r="J25" i="161"/>
  <c r="M9" i="161"/>
  <c r="G9" i="161"/>
  <c r="J9" i="161"/>
  <c r="J14" i="161" s="1"/>
  <c r="P9" i="161"/>
  <c r="P14" i="161" s="1"/>
  <c r="D14" i="161"/>
  <c r="M14" i="162"/>
  <c r="D23" i="161"/>
  <c r="G51" i="161"/>
  <c r="D76" i="179"/>
  <c r="J27" i="161"/>
  <c r="M27" i="161"/>
  <c r="M32" i="161" s="1"/>
  <c r="G27" i="161"/>
  <c r="P27" i="161"/>
  <c r="D32" i="161"/>
  <c r="G16" i="161"/>
  <c r="P16" i="161"/>
  <c r="M16" i="161"/>
  <c r="J16" i="161"/>
  <c r="P25" i="162"/>
  <c r="G25" i="162"/>
  <c r="J25" i="162"/>
  <c r="M25" i="162"/>
  <c r="D32" i="162"/>
  <c r="G36" i="161"/>
  <c r="G41" i="161" s="1"/>
  <c r="M36" i="161"/>
  <c r="M41" i="161" s="1"/>
  <c r="J36" i="161"/>
  <c r="J41" i="161" s="1"/>
  <c r="P36" i="161"/>
  <c r="P41" i="161" s="1"/>
  <c r="D23" i="162"/>
  <c r="M16" i="162"/>
  <c r="P16" i="162"/>
  <c r="J16" i="162"/>
  <c r="J23" i="162" s="1"/>
  <c r="G16" i="162"/>
  <c r="D41" i="161"/>
  <c r="P27" i="162"/>
  <c r="G27" i="162"/>
  <c r="M27" i="162"/>
  <c r="J27" i="162"/>
  <c r="G73" i="179"/>
  <c r="H73" i="179"/>
  <c r="H72" i="179"/>
  <c r="G72" i="179"/>
  <c r="F72" i="179"/>
  <c r="O25" i="150"/>
  <c r="Q8" i="150"/>
  <c r="C7" i="186" s="1"/>
  <c r="O21" i="150"/>
  <c r="O13" i="150"/>
  <c r="P26" i="150"/>
  <c r="P27" i="150"/>
  <c r="Q32" i="150"/>
  <c r="P11" i="191" s="1"/>
  <c r="G35" i="191" s="1"/>
  <c r="O14" i="150"/>
  <c r="P8" i="150"/>
  <c r="Q16" i="150"/>
  <c r="C17" i="186" s="1"/>
  <c r="Q5" i="150"/>
  <c r="C4" i="186" s="1"/>
  <c r="P28" i="150"/>
  <c r="P16" i="150"/>
  <c r="O8" i="150"/>
  <c r="O29" i="150"/>
  <c r="Q33" i="150"/>
  <c r="P12" i="191" s="1"/>
  <c r="I35" i="191" s="1"/>
  <c r="Q22" i="150"/>
  <c r="C24" i="186" s="1"/>
  <c r="O33" i="150"/>
  <c r="Q14" i="150"/>
  <c r="D18" i="179" s="1"/>
  <c r="O32" i="150"/>
  <c r="P18" i="150"/>
  <c r="P11" i="150"/>
  <c r="Q21" i="150"/>
  <c r="D29" i="179" s="1"/>
  <c r="O34" i="150"/>
  <c r="P30" i="150"/>
  <c r="O9" i="191" s="1"/>
  <c r="Q15" i="150"/>
  <c r="C16" i="186" s="1"/>
  <c r="O23" i="150"/>
  <c r="O28" i="150"/>
  <c r="O6" i="150"/>
  <c r="Q7" i="150"/>
  <c r="C6" i="186" s="1"/>
  <c r="P34" i="150"/>
  <c r="O13" i="191" s="1"/>
  <c r="P15" i="150"/>
  <c r="P24" i="150"/>
  <c r="Q13" i="150"/>
  <c r="D17" i="179" s="1"/>
  <c r="Q27" i="150"/>
  <c r="C30" i="186" s="1"/>
  <c r="O9" i="150"/>
  <c r="O22" i="150"/>
  <c r="P13" i="150"/>
  <c r="P21" i="150"/>
  <c r="P10" i="150"/>
  <c r="O18" i="150"/>
  <c r="Q26" i="150"/>
  <c r="C29" i="186" s="1"/>
  <c r="P31" i="150"/>
  <c r="O10" i="191" s="1"/>
  <c r="Q12" i="150"/>
  <c r="D16" i="179" s="1"/>
  <c r="P9" i="150"/>
  <c r="Q10" i="150"/>
  <c r="C10" i="186" s="1"/>
  <c r="P22" i="150"/>
  <c r="P5" i="150"/>
  <c r="O17" i="150"/>
  <c r="O27" i="150"/>
  <c r="Q23" i="150"/>
  <c r="D31" i="179" s="1"/>
  <c r="P25" i="150"/>
  <c r="P19" i="150"/>
  <c r="O15" i="150"/>
  <c r="O5" i="150"/>
  <c r="Q20" i="150"/>
  <c r="D28" i="179" s="1"/>
  <c r="Q6" i="150"/>
  <c r="C5" i="186" s="1"/>
  <c r="O11" i="150"/>
  <c r="P29" i="150"/>
  <c r="O24" i="150"/>
  <c r="O12" i="150"/>
  <c r="Q9" i="150"/>
  <c r="C8" i="186" s="1"/>
  <c r="Q28" i="150"/>
  <c r="D38" i="179" s="1"/>
  <c r="P20" i="150"/>
  <c r="P23" i="150"/>
  <c r="Q30" i="150"/>
  <c r="Q25" i="150"/>
  <c r="C28" i="186" s="1"/>
  <c r="Q29" i="150"/>
  <c r="C32" i="186" s="1"/>
  <c r="Q34" i="150"/>
  <c r="P13" i="191" s="1"/>
  <c r="K35" i="191" s="1"/>
  <c r="Q24" i="150"/>
  <c r="C26" i="186" s="1"/>
  <c r="P17" i="150"/>
  <c r="O16" i="150"/>
  <c r="P12" i="150"/>
  <c r="O10" i="150"/>
  <c r="P32" i="150"/>
  <c r="O11" i="187" s="1"/>
  <c r="Q18" i="150"/>
  <c r="C19" i="186" s="1"/>
  <c r="P7" i="150"/>
  <c r="P6" i="150"/>
  <c r="P14" i="150"/>
  <c r="O7" i="150"/>
  <c r="Q11" i="150"/>
  <c r="D15" i="179" s="1"/>
  <c r="Q31" i="150"/>
  <c r="C35" i="186" s="1"/>
  <c r="Q19" i="150"/>
  <c r="D25" i="179" s="1"/>
  <c r="O19" i="150"/>
  <c r="Q17" i="150"/>
  <c r="C18" i="186" s="1"/>
  <c r="P33" i="150"/>
  <c r="O12" i="191" s="1"/>
  <c r="O31" i="150"/>
  <c r="O20" i="150"/>
  <c r="O30" i="150"/>
  <c r="AH76" i="180" l="1"/>
  <c r="AH112" i="180"/>
  <c r="AH112" i="178"/>
  <c r="AH76" i="178"/>
  <c r="AH184" i="180"/>
  <c r="AH148" i="180"/>
  <c r="AH184" i="178"/>
  <c r="AH148" i="178"/>
  <c r="AH40" i="178"/>
  <c r="K22" i="180"/>
  <c r="R32" i="150"/>
  <c r="E44" i="179" s="1"/>
  <c r="R25" i="150"/>
  <c r="E35" i="179" s="1"/>
  <c r="H35" i="179" s="1"/>
  <c r="E7" i="179"/>
  <c r="F7" i="179" s="1"/>
  <c r="D4" i="186"/>
  <c r="D42" i="179"/>
  <c r="P9" i="191"/>
  <c r="D69" i="179"/>
  <c r="J18" i="186"/>
  <c r="E22" i="180"/>
  <c r="O11" i="178"/>
  <c r="R31" i="150"/>
  <c r="Q10" i="187" s="1"/>
  <c r="K60" i="187"/>
  <c r="K25" i="186"/>
  <c r="K50" i="191"/>
  <c r="R27" i="150"/>
  <c r="D30" i="186" s="1"/>
  <c r="R6" i="150"/>
  <c r="D5" i="186" s="1"/>
  <c r="D32" i="186"/>
  <c r="R9" i="150"/>
  <c r="E11" i="179" s="1"/>
  <c r="G11" i="179" s="1"/>
  <c r="R17" i="150"/>
  <c r="E23" i="179" s="1"/>
  <c r="F23" i="179" s="1"/>
  <c r="R30" i="150"/>
  <c r="Q9" i="187" s="1"/>
  <c r="R26" i="150"/>
  <c r="D29" i="186" s="1"/>
  <c r="R28" i="150"/>
  <c r="D31" i="186" s="1"/>
  <c r="E24" i="179"/>
  <c r="F24" i="179" s="1"/>
  <c r="R16" i="150"/>
  <c r="D17" i="186" s="1"/>
  <c r="P23" i="162"/>
  <c r="H51" i="179"/>
  <c r="R33" i="150"/>
  <c r="D37" i="186" s="1"/>
  <c r="R15" i="150"/>
  <c r="E21" i="179" s="1"/>
  <c r="G21" i="179" s="1"/>
  <c r="R19" i="150"/>
  <c r="D20" i="186" s="1"/>
  <c r="E17" i="179"/>
  <c r="H17" i="179" s="1"/>
  <c r="R22" i="150"/>
  <c r="E30" i="179" s="1"/>
  <c r="H30" i="179" s="1"/>
  <c r="R23" i="150"/>
  <c r="E31" i="179" s="1"/>
  <c r="G31" i="179" s="1"/>
  <c r="E28" i="179"/>
  <c r="H28" i="179" s="1"/>
  <c r="R24" i="150"/>
  <c r="E32" i="179" s="1"/>
  <c r="F32" i="179" s="1"/>
  <c r="R12" i="150"/>
  <c r="E16" i="179" s="1"/>
  <c r="F16" i="179" s="1"/>
  <c r="R11" i="150"/>
  <c r="D11" i="186" s="1"/>
  <c r="R7" i="150"/>
  <c r="D6" i="186" s="1"/>
  <c r="R8" i="150"/>
  <c r="E10" i="179" s="1"/>
  <c r="G10" i="179" s="1"/>
  <c r="R14" i="150"/>
  <c r="E18" i="179" s="1"/>
  <c r="F18" i="179" s="1"/>
  <c r="R10" i="150"/>
  <c r="E14" i="179" s="1"/>
  <c r="F14" i="179" s="1"/>
  <c r="R21" i="150"/>
  <c r="E29" i="179" s="1"/>
  <c r="F29" i="179" s="1"/>
  <c r="G6" i="191"/>
  <c r="I6" i="191"/>
  <c r="C36" i="187"/>
  <c r="K36" i="187" s="1"/>
  <c r="C26" i="191"/>
  <c r="K26" i="191" s="1"/>
  <c r="K6" i="191"/>
  <c r="C16" i="191"/>
  <c r="I16" i="191" s="1"/>
  <c r="C17" i="191"/>
  <c r="I17" i="191" s="1"/>
  <c r="K37" i="191"/>
  <c r="E26" i="187"/>
  <c r="G23" i="162"/>
  <c r="G14" i="161"/>
  <c r="G55" i="179"/>
  <c r="G51" i="179"/>
  <c r="M23" i="162"/>
  <c r="M14" i="161"/>
  <c r="F70" i="179"/>
  <c r="C27" i="191"/>
  <c r="E27" i="191" s="1"/>
  <c r="H70" i="179"/>
  <c r="C7" i="191"/>
  <c r="G7" i="191" s="1"/>
  <c r="M23" i="161"/>
  <c r="H55" i="179"/>
  <c r="K26" i="187"/>
  <c r="C36" i="191"/>
  <c r="C6" i="187"/>
  <c r="G6" i="187" s="1"/>
  <c r="G26" i="187"/>
  <c r="C16" i="187"/>
  <c r="G16" i="187" s="1"/>
  <c r="E76" i="179"/>
  <c r="G76" i="179" s="1"/>
  <c r="C17" i="187"/>
  <c r="G17" i="187" s="1"/>
  <c r="I37" i="191"/>
  <c r="G37" i="191"/>
  <c r="P23" i="161"/>
  <c r="G37" i="187"/>
  <c r="I37" i="187"/>
  <c r="E37" i="187"/>
  <c r="K37" i="187"/>
  <c r="J23" i="161"/>
  <c r="C27" i="187"/>
  <c r="C7" i="187"/>
  <c r="G23" i="161"/>
  <c r="P32" i="161"/>
  <c r="J32" i="161"/>
  <c r="C34" i="186"/>
  <c r="P9" i="187"/>
  <c r="P36" i="131"/>
  <c r="P38" i="131" s="1"/>
  <c r="O46" i="131" s="1"/>
  <c r="C37" i="186"/>
  <c r="D35" i="179"/>
  <c r="C31" i="186"/>
  <c r="D45" i="179"/>
  <c r="C12" i="186"/>
  <c r="C22" i="186"/>
  <c r="C20" i="186"/>
  <c r="P12" i="187"/>
  <c r="T12" i="187" s="1"/>
  <c r="U12" i="187" s="1"/>
  <c r="O11" i="191"/>
  <c r="G32" i="161"/>
  <c r="D8" i="179"/>
  <c r="J32" i="162"/>
  <c r="M32" i="162"/>
  <c r="G32" i="162"/>
  <c r="P32" i="162"/>
  <c r="O12" i="187"/>
  <c r="C36" i="186"/>
  <c r="O10" i="187"/>
  <c r="O9" i="187"/>
  <c r="D24" i="179"/>
  <c r="O13" i="187"/>
  <c r="D14" i="179"/>
  <c r="D37" i="179"/>
  <c r="D23" i="179"/>
  <c r="D43" i="179"/>
  <c r="C11" i="186"/>
  <c r="D10" i="179"/>
  <c r="D21" i="179"/>
  <c r="P13" i="187"/>
  <c r="T13" i="187" s="1"/>
  <c r="U13" i="187" s="1"/>
  <c r="D22" i="179"/>
  <c r="C38" i="186"/>
  <c r="D39" i="179"/>
  <c r="D30" i="179"/>
  <c r="D11" i="179"/>
  <c r="D7" i="179"/>
  <c r="P11" i="187"/>
  <c r="T11" i="187" s="1"/>
  <c r="U11" i="187" s="1"/>
  <c r="P10" i="191"/>
  <c r="E35" i="191" s="1"/>
  <c r="D44" i="179"/>
  <c r="C14" i="186"/>
  <c r="C25" i="186"/>
  <c r="D36" i="179"/>
  <c r="C13" i="186"/>
  <c r="D9" i="179"/>
  <c r="C23" i="186"/>
  <c r="P10" i="187"/>
  <c r="T10" i="187" s="1"/>
  <c r="U10" i="187" s="1"/>
  <c r="D32" i="179"/>
  <c r="D46" i="179"/>
  <c r="E37" i="179"/>
  <c r="R13" i="191"/>
  <c r="O41" i="191" s="1"/>
  <c r="K5" i="191"/>
  <c r="K25" i="191"/>
  <c r="K15" i="191"/>
  <c r="G25" i="191"/>
  <c r="G5" i="191"/>
  <c r="R11" i="191"/>
  <c r="O39" i="191" s="1"/>
  <c r="G15" i="191"/>
  <c r="D36" i="186"/>
  <c r="Q11" i="187"/>
  <c r="Q11" i="191"/>
  <c r="G39" i="179"/>
  <c r="H39" i="179"/>
  <c r="F39" i="179"/>
  <c r="E46" i="179"/>
  <c r="D38" i="186"/>
  <c r="Q13" i="187"/>
  <c r="Q13" i="191"/>
  <c r="I25" i="191"/>
  <c r="R12" i="191"/>
  <c r="O40" i="191" s="1"/>
  <c r="I5" i="191"/>
  <c r="I15" i="191"/>
  <c r="E9" i="179" l="1"/>
  <c r="G9" i="179" s="1"/>
  <c r="E25" i="179"/>
  <c r="H25" i="179" s="1"/>
  <c r="D35" i="186"/>
  <c r="Q10" i="191"/>
  <c r="E43" i="179"/>
  <c r="H43" i="179" s="1"/>
  <c r="R9" i="187"/>
  <c r="O37" i="187" s="1"/>
  <c r="P37" i="187" s="1"/>
  <c r="T9" i="187"/>
  <c r="U9" i="187" s="1"/>
  <c r="C5" i="187"/>
  <c r="E25" i="187"/>
  <c r="R10" i="187"/>
  <c r="O38" i="187" s="1"/>
  <c r="P38" i="187" s="1"/>
  <c r="D28" i="186"/>
  <c r="I15" i="187"/>
  <c r="R12" i="187"/>
  <c r="O40" i="187" s="1"/>
  <c r="D8" i="186"/>
  <c r="E38" i="179"/>
  <c r="G38" i="179" s="1"/>
  <c r="K35" i="187"/>
  <c r="K39" i="187" s="1"/>
  <c r="R13" i="187"/>
  <c r="O41" i="187" s="1"/>
  <c r="R11" i="187"/>
  <c r="O39" i="187" s="1"/>
  <c r="G48" i="187"/>
  <c r="F35" i="179"/>
  <c r="H7" i="179"/>
  <c r="G35" i="179"/>
  <c r="G7" i="179"/>
  <c r="E8" i="179"/>
  <c r="H8" i="179" s="1"/>
  <c r="C35" i="187"/>
  <c r="A26" i="180"/>
  <c r="J26" i="180" s="1"/>
  <c r="A30" i="180" s="1"/>
  <c r="I30" i="180" s="1"/>
  <c r="O29" i="180" s="1"/>
  <c r="A44" i="180" s="1"/>
  <c r="O44" i="180" s="1"/>
  <c r="E36" i="179"/>
  <c r="F36" i="179" s="1"/>
  <c r="E22" i="179"/>
  <c r="F22" i="179" s="1"/>
  <c r="D10" i="186"/>
  <c r="D14" i="186"/>
  <c r="Q12" i="187"/>
  <c r="F11" i="179"/>
  <c r="H29" i="179"/>
  <c r="H11" i="179"/>
  <c r="G23" i="179"/>
  <c r="G14" i="179"/>
  <c r="D34" i="186"/>
  <c r="K17" i="191"/>
  <c r="D16" i="186"/>
  <c r="D12" i="186"/>
  <c r="E42" i="179"/>
  <c r="H42" i="179" s="1"/>
  <c r="R9" i="191"/>
  <c r="C5" i="191"/>
  <c r="C14" i="191" s="1"/>
  <c r="C35" i="191"/>
  <c r="C44" i="191" s="1"/>
  <c r="Q9" i="191"/>
  <c r="E17" i="191"/>
  <c r="T11" i="178"/>
  <c r="E7" i="191"/>
  <c r="I36" i="187"/>
  <c r="H24" i="179"/>
  <c r="E45" i="179"/>
  <c r="G45" i="179" s="1"/>
  <c r="Q12" i="191"/>
  <c r="D24" i="186"/>
  <c r="H23" i="179"/>
  <c r="G24" i="179"/>
  <c r="D18" i="186"/>
  <c r="F21" i="179"/>
  <c r="G18" i="179"/>
  <c r="E16" i="191"/>
  <c r="G36" i="191"/>
  <c r="G44" i="191" s="1"/>
  <c r="G28" i="179"/>
  <c r="F28" i="179"/>
  <c r="G29" i="179"/>
  <c r="G17" i="179"/>
  <c r="F17" i="179"/>
  <c r="E36" i="187"/>
  <c r="G17" i="191"/>
  <c r="H18" i="179"/>
  <c r="G16" i="179"/>
  <c r="H16" i="179"/>
  <c r="H21" i="179"/>
  <c r="H32" i="179"/>
  <c r="H31" i="179"/>
  <c r="H10" i="179"/>
  <c r="F30" i="179"/>
  <c r="G30" i="179"/>
  <c r="K16" i="191"/>
  <c r="G16" i="191"/>
  <c r="I25" i="187"/>
  <c r="F31" i="179"/>
  <c r="H14" i="179"/>
  <c r="E15" i="179"/>
  <c r="F15" i="179" s="1"/>
  <c r="D25" i="186"/>
  <c r="F10" i="179"/>
  <c r="G32" i="179"/>
  <c r="D7" i="186"/>
  <c r="D26" i="186"/>
  <c r="D23" i="186"/>
  <c r="E26" i="191"/>
  <c r="G26" i="191"/>
  <c r="G36" i="187"/>
  <c r="I26" i="191"/>
  <c r="E36" i="191"/>
  <c r="E44" i="191" s="1"/>
  <c r="K36" i="191"/>
  <c r="K44" i="191" s="1"/>
  <c r="E6" i="187"/>
  <c r="K16" i="187"/>
  <c r="G27" i="191"/>
  <c r="I5" i="187"/>
  <c r="I36" i="191"/>
  <c r="I44" i="191" s="1"/>
  <c r="I7" i="191"/>
  <c r="I14" i="191" s="1"/>
  <c r="K7" i="191"/>
  <c r="K14" i="191" s="1"/>
  <c r="I35" i="187"/>
  <c r="C25" i="187"/>
  <c r="H76" i="179"/>
  <c r="K27" i="191"/>
  <c r="K34" i="191" s="1"/>
  <c r="I27" i="191"/>
  <c r="G14" i="191"/>
  <c r="K6" i="187"/>
  <c r="I6" i="187"/>
  <c r="K17" i="187"/>
  <c r="E16" i="187"/>
  <c r="I16" i="187"/>
  <c r="F76" i="179"/>
  <c r="E17" i="187"/>
  <c r="I17" i="187"/>
  <c r="I19" i="187" s="1"/>
  <c r="G27" i="187"/>
  <c r="I27" i="187"/>
  <c r="K27" i="187"/>
  <c r="E27" i="187"/>
  <c r="E7" i="187"/>
  <c r="I7" i="187"/>
  <c r="K7" i="187"/>
  <c r="G7" i="187"/>
  <c r="G25" i="179"/>
  <c r="I24" i="191"/>
  <c r="F25" i="179"/>
  <c r="G5" i="187"/>
  <c r="G9" i="187" s="1"/>
  <c r="F9" i="179"/>
  <c r="E15" i="187"/>
  <c r="K15" i="187"/>
  <c r="K19" i="187" s="1"/>
  <c r="G25" i="187"/>
  <c r="G29" i="187" s="1"/>
  <c r="E5" i="187"/>
  <c r="G35" i="187"/>
  <c r="G39" i="187" s="1"/>
  <c r="E35" i="187"/>
  <c r="E39" i="187" s="1"/>
  <c r="G15" i="187"/>
  <c r="E25" i="191"/>
  <c r="C25" i="191"/>
  <c r="C34" i="191" s="1"/>
  <c r="C15" i="191"/>
  <c r="C24" i="191" s="1"/>
  <c r="K25" i="187"/>
  <c r="K29" i="187" s="1"/>
  <c r="K5" i="187"/>
  <c r="K9" i="187" s="1"/>
  <c r="C15" i="187"/>
  <c r="E15" i="191"/>
  <c r="R10" i="191"/>
  <c r="E5" i="191"/>
  <c r="H9" i="179"/>
  <c r="F37" i="179"/>
  <c r="G37" i="179"/>
  <c r="H37" i="179"/>
  <c r="G36" i="179"/>
  <c r="H46" i="179"/>
  <c r="G46" i="179"/>
  <c r="F46" i="179"/>
  <c r="H44" i="179"/>
  <c r="G44" i="179"/>
  <c r="F44" i="179"/>
  <c r="H22" i="179" l="1"/>
  <c r="G43" i="179"/>
  <c r="F8" i="179"/>
  <c r="F43" i="179"/>
  <c r="G8" i="179"/>
  <c r="F38" i="179"/>
  <c r="H38" i="179"/>
  <c r="I45" i="187"/>
  <c r="O38" i="191"/>
  <c r="P38" i="191" s="1"/>
  <c r="O37" i="191"/>
  <c r="P37" i="191" s="1"/>
  <c r="K44" i="187"/>
  <c r="G45" i="187"/>
  <c r="G54" i="187" s="1"/>
  <c r="C9" i="187"/>
  <c r="C14" i="187" s="1"/>
  <c r="C39" i="187"/>
  <c r="C44" i="187" s="1"/>
  <c r="G19" i="187"/>
  <c r="G24" i="187" s="1"/>
  <c r="E9" i="187"/>
  <c r="E14" i="187" s="1"/>
  <c r="E19" i="187"/>
  <c r="E24" i="187" s="1"/>
  <c r="C29" i="187"/>
  <c r="C34" i="187" s="1"/>
  <c r="I29" i="187"/>
  <c r="I34" i="187" s="1"/>
  <c r="C19" i="187"/>
  <c r="C24" i="187" s="1"/>
  <c r="I39" i="187"/>
  <c r="I44" i="187" s="1"/>
  <c r="I9" i="187"/>
  <c r="I14" i="187" s="1"/>
  <c r="I48" i="187"/>
  <c r="E29" i="187"/>
  <c r="E34" i="187" s="1"/>
  <c r="G42" i="179"/>
  <c r="G22" i="179"/>
  <c r="H36" i="179"/>
  <c r="E14" i="191"/>
  <c r="K24" i="191"/>
  <c r="F45" i="179"/>
  <c r="H45" i="179"/>
  <c r="F42" i="179"/>
  <c r="AG6" i="178"/>
  <c r="T18" i="178"/>
  <c r="AG7" i="178"/>
  <c r="E24" i="191"/>
  <c r="E44" i="187"/>
  <c r="G44" i="187"/>
  <c r="G34" i="191"/>
  <c r="G24" i="191"/>
  <c r="K14" i="187"/>
  <c r="H77" i="179"/>
  <c r="F77" i="179"/>
  <c r="G77" i="179"/>
  <c r="E34" i="191"/>
  <c r="G15" i="179"/>
  <c r="H15" i="179"/>
  <c r="I34" i="191"/>
  <c r="G34" i="187"/>
  <c r="K24" i="187"/>
  <c r="I24" i="187"/>
  <c r="G14" i="187"/>
  <c r="K34" i="187"/>
  <c r="K45" i="187"/>
  <c r="N22" i="178" l="1"/>
  <c r="I54" i="187"/>
  <c r="K48" i="187"/>
  <c r="K54" i="187" s="1"/>
  <c r="E49" i="187"/>
  <c r="E54" i="187" s="1"/>
  <c r="E48" i="187"/>
  <c r="C49" i="187"/>
  <c r="C54" i="187" s="1"/>
  <c r="AC33" i="178"/>
  <c r="C48" i="187" l="1"/>
  <c r="M44" i="187" s="1"/>
  <c r="A26" i="178" l="1"/>
  <c r="J26" i="178" s="1"/>
  <c r="A30" i="178" s="1"/>
  <c r="I30" i="178" l="1"/>
  <c r="N29" i="178"/>
  <c r="A41" i="178" l="1"/>
  <c r="O41" i="1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田村恵</author>
    <author>管理者</author>
    <author>JCG0017</author>
  </authors>
  <commentList>
    <comment ref="C18" authorId="0" shapeId="0" xr:uid="{59833760-9DD1-2944-9E7B-2354506F5DF2}">
      <text>
        <r>
          <rPr>
            <b/>
            <sz val="9"/>
            <color indexed="81"/>
            <rFont val="ＭＳ Ｐゴシック"/>
            <family val="3"/>
            <charset val="128"/>
          </rPr>
          <t xml:space="preserve">「東京都指定居宅サービス等の事業の人員、設備及び運営の基準に関する条例」（平成24年10月11日条例第111号）
</t>
        </r>
        <r>
          <rPr>
            <sz val="9"/>
            <color indexed="81"/>
            <rFont val="ＭＳ Ｐゴシック"/>
            <family val="3"/>
            <charset val="128"/>
          </rPr>
          <t>の形で記載</t>
        </r>
      </text>
    </comment>
    <comment ref="I25" authorId="0" shapeId="0" xr:uid="{38F9EEFA-87C8-D74D-96A7-D1D756CB9CBC}">
      <text>
        <r>
          <rPr>
            <b/>
            <sz val="9"/>
            <color rgb="FF000000"/>
            <rFont val="ＭＳ Ｐゴシック"/>
            <family val="2"/>
            <charset val="128"/>
          </rPr>
          <t>姓と名の間は全角でスペースを空ける</t>
        </r>
      </text>
    </comment>
    <comment ref="D39" authorId="0" shapeId="0" xr:uid="{00000000-0006-0000-0100-000001000000}">
      <text>
        <r>
          <rPr>
            <b/>
            <sz val="9"/>
            <color indexed="81"/>
            <rFont val="ＭＳ Ｐゴシック"/>
            <family val="3"/>
            <charset val="128"/>
          </rPr>
          <t>プルダウンから選択</t>
        </r>
      </text>
    </comment>
    <comment ref="D73" authorId="1" shapeId="0" xr:uid="{00000000-0006-0000-0100-000002000000}">
      <text>
        <r>
          <rPr>
            <b/>
            <sz val="9"/>
            <color rgb="FF000000"/>
            <rFont val="ＭＳ Ｐゴシック"/>
            <family val="2"/>
            <charset val="128"/>
          </rPr>
          <t>左３文字が参照されている</t>
        </r>
      </text>
    </comment>
    <comment ref="D74" authorId="1" shapeId="0" xr:uid="{00000000-0006-0000-0100-000003000000}">
      <text>
        <r>
          <rPr>
            <b/>
            <sz val="9"/>
            <color rgb="FF000000"/>
            <rFont val="ＭＳ Ｐゴシック"/>
            <family val="2"/>
            <charset val="128"/>
          </rPr>
          <t>左３文字が参照されている</t>
        </r>
      </text>
    </comment>
    <comment ref="D75" authorId="1" shapeId="0" xr:uid="{00000000-0006-0000-0100-000004000000}">
      <text>
        <r>
          <rPr>
            <b/>
            <sz val="9"/>
            <color indexed="81"/>
            <rFont val="ＭＳ Ｐゴシック"/>
            <family val="3"/>
            <charset val="128"/>
          </rPr>
          <t>左３文字が参照されている</t>
        </r>
      </text>
    </comment>
    <comment ref="D77" authorId="1" shapeId="0" xr:uid="{00000000-0006-0000-0100-000005000000}">
      <text>
        <r>
          <rPr>
            <b/>
            <sz val="9"/>
            <color rgb="FF000000"/>
            <rFont val="ＭＳ Ｐゴシック"/>
            <family val="2"/>
            <charset val="128"/>
          </rPr>
          <t>左３文字が参照されている</t>
        </r>
      </text>
    </comment>
    <comment ref="D78" authorId="1" shapeId="0" xr:uid="{00000000-0006-0000-0100-000006000000}">
      <text>
        <r>
          <rPr>
            <b/>
            <sz val="9"/>
            <color indexed="81"/>
            <rFont val="ＭＳ Ｐゴシック"/>
            <family val="3"/>
            <charset val="128"/>
          </rPr>
          <t>左３文字が参照されている</t>
        </r>
      </text>
    </comment>
    <comment ref="D79" authorId="1" shapeId="0" xr:uid="{00000000-0006-0000-0100-000007000000}">
      <text>
        <r>
          <rPr>
            <b/>
            <sz val="9"/>
            <color rgb="FF000000"/>
            <rFont val="ＭＳ Ｐゴシック"/>
            <family val="2"/>
            <charset val="128"/>
          </rPr>
          <t>左３文字が参照されている</t>
        </r>
      </text>
    </comment>
    <comment ref="A87" authorId="2" shapeId="0" xr:uid="{00000000-0006-0000-0100-000009000000}">
      <text>
        <r>
          <rPr>
            <b/>
            <sz val="9"/>
            <color indexed="81"/>
            <rFont val="ＭＳ Ｐゴシック"/>
            <family val="3"/>
            <charset val="128"/>
          </rPr>
          <t>担当窓口を記載すること</t>
        </r>
      </text>
    </comment>
    <comment ref="A89" authorId="2" shapeId="0" xr:uid="{00000000-0006-0000-0100-00000A000000}">
      <text>
        <r>
          <rPr>
            <b/>
            <sz val="9"/>
            <color indexed="81"/>
            <rFont val="ＭＳ Ｐゴシック"/>
            <family val="3"/>
            <charset val="128"/>
          </rPr>
          <t>担当窓口を記載すること</t>
        </r>
      </text>
    </comment>
    <comment ref="A91" authorId="2" shapeId="0" xr:uid="{00000000-0006-0000-0100-00000B000000}">
      <text>
        <r>
          <rPr>
            <b/>
            <sz val="9"/>
            <color indexed="81"/>
            <rFont val="ＭＳ Ｐゴシック"/>
            <family val="3"/>
            <charset val="128"/>
          </rPr>
          <t>担当窓口を記載すること</t>
        </r>
      </text>
    </comment>
    <comment ref="A93" authorId="2" shapeId="0" xr:uid="{00000000-0006-0000-0100-00000C000000}">
      <text>
        <r>
          <rPr>
            <b/>
            <sz val="9"/>
            <color rgb="FF000000"/>
            <rFont val="ＭＳ Ｐゴシック"/>
            <family val="2"/>
            <charset val="128"/>
          </rPr>
          <t>担当窓口を記載すること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tamuraman</author>
  </authors>
  <commentList>
    <comment ref="Q8" authorId="0" shapeId="0" xr:uid="{00000000-0006-0000-1400-000001000000}">
      <text>
        <r>
          <rPr>
            <b/>
            <sz val="9"/>
            <color indexed="81"/>
            <rFont val="ＭＳ Ｐゴシック"/>
            <family val="3"/>
            <charset val="128"/>
          </rPr>
          <t>ここを変更すれば、単位数が変わります。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JCG0064</author>
  </authors>
  <commentList>
    <comment ref="J2" authorId="0" shapeId="0" xr:uid="{00000000-0006-0000-1600-000001000000}">
      <text>
        <r>
          <rPr>
            <b/>
            <sz val="9"/>
            <color indexed="81"/>
            <rFont val="ＭＳ Ｐゴシック"/>
            <family val="3"/>
            <charset val="128"/>
          </rPr>
          <t>プルダウンから選択してください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JCG0064</author>
  </authors>
  <commentList>
    <comment ref="J2" authorId="0" shapeId="0" xr:uid="{00000000-0006-0000-1700-000001000000}">
      <text>
        <r>
          <rPr>
            <b/>
            <sz val="9"/>
            <color indexed="81"/>
            <rFont val="ＭＳ Ｐゴシック"/>
            <family val="3"/>
            <charset val="128"/>
          </rPr>
          <t>プルダウンから選択してください</t>
        </r>
      </text>
    </comment>
  </commentList>
</comments>
</file>

<file path=xl/sharedStrings.xml><?xml version="1.0" encoding="utf-8"?>
<sst xmlns="http://schemas.openxmlformats.org/spreadsheetml/2006/main" count="6339" uniqueCount="2162">
  <si>
    <t>茶話本舗事業所使用帳票一覧</t>
    <rPh sb="0" eb="2">
      <t>サワ</t>
    </rPh>
    <rPh sb="2" eb="4">
      <t>ホンポ</t>
    </rPh>
    <rPh sb="4" eb="7">
      <t>ジギョウショ</t>
    </rPh>
    <rPh sb="7" eb="9">
      <t>シヨウ</t>
    </rPh>
    <rPh sb="9" eb="11">
      <t>チョウヒョウ</t>
    </rPh>
    <rPh sb="11" eb="13">
      <t>イチラン</t>
    </rPh>
    <phoneticPr fontId="17"/>
  </si>
  <si>
    <t>分類</t>
    <rPh sb="0" eb="2">
      <t>ブンルイ</t>
    </rPh>
    <phoneticPr fontId="10"/>
  </si>
  <si>
    <t>帳票名称</t>
    <rPh sb="0" eb="2">
      <t>チョウヒョウ</t>
    </rPh>
    <rPh sb="2" eb="4">
      <t>メイショウ</t>
    </rPh>
    <phoneticPr fontId="10"/>
  </si>
  <si>
    <t>マスター</t>
    <phoneticPr fontId="17"/>
  </si>
  <si>
    <t>帳票一覧</t>
    <rPh sb="0" eb="2">
      <t>チョウヒョウ</t>
    </rPh>
    <rPh sb="2" eb="4">
      <t>イチラン</t>
    </rPh>
    <phoneticPr fontId="17"/>
  </si>
  <si>
    <t>ケアのサイクル</t>
    <phoneticPr fontId="17"/>
  </si>
  <si>
    <t>通所介護　基本情報①</t>
    <rPh sb="0" eb="4">
      <t>ツウショカイゴ</t>
    </rPh>
    <rPh sb="5" eb="7">
      <t>キホン</t>
    </rPh>
    <rPh sb="7" eb="9">
      <t>ジョウホウ</t>
    </rPh>
    <phoneticPr fontId="17"/>
  </si>
  <si>
    <t>【マスター】見本</t>
    <rPh sb="6" eb="8">
      <t>ミホン</t>
    </rPh>
    <phoneticPr fontId="17"/>
  </si>
  <si>
    <t>通所介護　基本情報②</t>
    <rPh sb="0" eb="4">
      <t>ツウショカイゴ</t>
    </rPh>
    <rPh sb="5" eb="7">
      <t>キホン</t>
    </rPh>
    <rPh sb="7" eb="9">
      <t>ジョウホウ</t>
    </rPh>
    <phoneticPr fontId="17"/>
  </si>
  <si>
    <t>【マスター】</t>
    <phoneticPr fontId="17"/>
  </si>
  <si>
    <t>通所介護　アセスメント表①</t>
    <rPh sb="0" eb="4">
      <t>ツウショカイゴ</t>
    </rPh>
    <rPh sb="11" eb="12">
      <t>ヒョウ</t>
    </rPh>
    <phoneticPr fontId="17"/>
  </si>
  <si>
    <t>契約関係</t>
    <rPh sb="0" eb="2">
      <t>ケイヤク</t>
    </rPh>
    <rPh sb="2" eb="4">
      <t>カンケイ</t>
    </rPh>
    <phoneticPr fontId="10"/>
  </si>
  <si>
    <t>通所介護重要事項説明書</t>
    <rPh sb="0" eb="2">
      <t>ツウショ</t>
    </rPh>
    <rPh sb="2" eb="4">
      <t>カイゴ</t>
    </rPh>
    <rPh sb="4" eb="6">
      <t>ジュウヨウ</t>
    </rPh>
    <rPh sb="6" eb="8">
      <t>ジコウ</t>
    </rPh>
    <rPh sb="8" eb="11">
      <t>セツメイショ</t>
    </rPh>
    <phoneticPr fontId="10"/>
  </si>
  <si>
    <t>通所介護　アセスメント表②</t>
    <rPh sb="0" eb="4">
      <t>ツウショカイゴ</t>
    </rPh>
    <rPh sb="11" eb="12">
      <t>ヒョウ</t>
    </rPh>
    <phoneticPr fontId="17"/>
  </si>
  <si>
    <t>通所介護契約書</t>
    <rPh sb="0" eb="2">
      <t>ツウショ</t>
    </rPh>
    <rPh sb="2" eb="4">
      <t>カイゴ</t>
    </rPh>
    <rPh sb="4" eb="7">
      <t>ケイヤクショ</t>
    </rPh>
    <phoneticPr fontId="10"/>
  </si>
  <si>
    <t>通所介護計画書①</t>
    <rPh sb="0" eb="4">
      <t>ツウショカイゴ</t>
    </rPh>
    <rPh sb="4" eb="7">
      <t>ケイカクショ</t>
    </rPh>
    <phoneticPr fontId="17"/>
  </si>
  <si>
    <t>内容説明書（通所介護利用料金目安表）</t>
    <rPh sb="0" eb="2">
      <t>ナイヨウ</t>
    </rPh>
    <rPh sb="2" eb="5">
      <t>セツメイショ</t>
    </rPh>
    <rPh sb="6" eb="8">
      <t>ツウショ</t>
    </rPh>
    <rPh sb="8" eb="10">
      <t>カイゴ</t>
    </rPh>
    <rPh sb="10" eb="12">
      <t>リヨウ</t>
    </rPh>
    <rPh sb="12" eb="14">
      <t>リョウキン</t>
    </rPh>
    <rPh sb="14" eb="16">
      <t>メヤス</t>
    </rPh>
    <rPh sb="16" eb="17">
      <t>ヒョウ</t>
    </rPh>
    <phoneticPr fontId="10"/>
  </si>
  <si>
    <t>通所介護計画書②</t>
    <rPh sb="0" eb="4">
      <t>ツウショカイゴ</t>
    </rPh>
    <rPh sb="4" eb="7">
      <t>ケイカクショ</t>
    </rPh>
    <phoneticPr fontId="17"/>
  </si>
  <si>
    <t>内容説明書（通所介護利用料金目安表）※手書き</t>
    <rPh sb="19" eb="21">
      <t>テガ</t>
    </rPh>
    <phoneticPr fontId="10"/>
  </si>
  <si>
    <t>通所介護計画書③</t>
    <rPh sb="0" eb="4">
      <t>ツウショカイゴ</t>
    </rPh>
    <rPh sb="4" eb="7">
      <t>ケイカクショ</t>
    </rPh>
    <phoneticPr fontId="17"/>
  </si>
  <si>
    <t>介護サポートサービス重要事項説明書</t>
    <rPh sb="0" eb="2">
      <t>カイゴ</t>
    </rPh>
    <rPh sb="10" eb="12">
      <t>ジュウヨウ</t>
    </rPh>
    <rPh sb="12" eb="14">
      <t>ジコウ</t>
    </rPh>
    <rPh sb="14" eb="17">
      <t>セツメイショ</t>
    </rPh>
    <phoneticPr fontId="10"/>
  </si>
  <si>
    <t>通所介護モニタリング評価表</t>
    <rPh sb="0" eb="4">
      <t>ツウショカイゴ</t>
    </rPh>
    <rPh sb="10" eb="12">
      <t>ヒョウカ</t>
    </rPh>
    <rPh sb="12" eb="13">
      <t>ヒョウ</t>
    </rPh>
    <phoneticPr fontId="17"/>
  </si>
  <si>
    <t>介護サポートサービス契約書</t>
    <rPh sb="0" eb="2">
      <t>カイゴ</t>
    </rPh>
    <rPh sb="10" eb="13">
      <t>ケイヤクショ</t>
    </rPh>
    <phoneticPr fontId="10"/>
  </si>
  <si>
    <t>介護サポートサービス計画書①</t>
    <rPh sb="0" eb="2">
      <t>カイゴ</t>
    </rPh>
    <rPh sb="10" eb="13">
      <t>ケイカクショ</t>
    </rPh>
    <phoneticPr fontId="17"/>
  </si>
  <si>
    <t>個人情報等の使用に係る同意書</t>
    <rPh sb="0" eb="2">
      <t>コジン</t>
    </rPh>
    <rPh sb="2" eb="4">
      <t>ジョウホウ</t>
    </rPh>
    <rPh sb="4" eb="5">
      <t>トウ</t>
    </rPh>
    <rPh sb="6" eb="8">
      <t>シヨウ</t>
    </rPh>
    <rPh sb="9" eb="10">
      <t>カカ</t>
    </rPh>
    <rPh sb="11" eb="14">
      <t>ドウイショ</t>
    </rPh>
    <phoneticPr fontId="10"/>
  </si>
  <si>
    <t>介護サポートサービス計画書②</t>
    <rPh sb="0" eb="2">
      <t>カイゴ</t>
    </rPh>
    <rPh sb="10" eb="13">
      <t>ケイカクショ</t>
    </rPh>
    <phoneticPr fontId="17"/>
  </si>
  <si>
    <t>委任状</t>
    <rPh sb="0" eb="3">
      <t>イニンジョウ</t>
    </rPh>
    <phoneticPr fontId="10"/>
  </si>
  <si>
    <t>介護サポートサービスモニタリング評価表</t>
    <rPh sb="0" eb="2">
      <t>カイゴ</t>
    </rPh>
    <rPh sb="16" eb="18">
      <t>ヒョウカ</t>
    </rPh>
    <rPh sb="18" eb="19">
      <t>ヒョウ</t>
    </rPh>
    <phoneticPr fontId="17"/>
  </si>
  <si>
    <t>緊急時連絡カード</t>
    <rPh sb="0" eb="3">
      <t>キンキュウジ</t>
    </rPh>
    <rPh sb="3" eb="5">
      <t>レンラク</t>
    </rPh>
    <phoneticPr fontId="17"/>
  </si>
  <si>
    <t>通所介護計画の交付書兼受領書</t>
    <phoneticPr fontId="17"/>
  </si>
  <si>
    <t>掲示物</t>
    <rPh sb="0" eb="3">
      <t>ケイジブツ</t>
    </rPh>
    <phoneticPr fontId="10"/>
  </si>
  <si>
    <t>通所介護重要事項説明書（掲示用）</t>
    <rPh sb="0" eb="4">
      <t>ツウショカイゴ</t>
    </rPh>
    <rPh sb="4" eb="6">
      <t>ジュウヨウ</t>
    </rPh>
    <rPh sb="6" eb="8">
      <t>ジコウ</t>
    </rPh>
    <rPh sb="8" eb="11">
      <t>セツメイショ</t>
    </rPh>
    <rPh sb="12" eb="15">
      <t>ケイジヨウ</t>
    </rPh>
    <phoneticPr fontId="10"/>
  </si>
  <si>
    <t>個別機能訓練関係</t>
    <rPh sb="0" eb="2">
      <t>コベツ</t>
    </rPh>
    <rPh sb="2" eb="4">
      <t>キノウ</t>
    </rPh>
    <rPh sb="4" eb="6">
      <t>クンレン</t>
    </rPh>
    <rPh sb="6" eb="8">
      <t>カンケイ</t>
    </rPh>
    <phoneticPr fontId="17"/>
  </si>
  <si>
    <t>興味・関心チェックシート</t>
    <phoneticPr fontId="17"/>
  </si>
  <si>
    <t>通所介護　運営規程</t>
    <rPh sb="0" eb="2">
      <t>ツウショ</t>
    </rPh>
    <rPh sb="2" eb="4">
      <t>カイゴ</t>
    </rPh>
    <rPh sb="5" eb="7">
      <t>ウンエイ</t>
    </rPh>
    <rPh sb="7" eb="9">
      <t>キテイ</t>
    </rPh>
    <phoneticPr fontId="10"/>
  </si>
  <si>
    <t>居宅訪問チェックシート</t>
    <phoneticPr fontId="17"/>
  </si>
  <si>
    <t>介護サポートサービス重要事項説明書（掲示用）</t>
    <rPh sb="0" eb="2">
      <t>カイゴ</t>
    </rPh>
    <rPh sb="10" eb="12">
      <t>ジュウヨウ</t>
    </rPh>
    <rPh sb="12" eb="14">
      <t>ジコウ</t>
    </rPh>
    <rPh sb="14" eb="17">
      <t>セツメイショ</t>
    </rPh>
    <phoneticPr fontId="10"/>
  </si>
  <si>
    <t>【個別機能訓練計画書】加算Ⅰ・Ⅱ</t>
    <phoneticPr fontId="17"/>
  </si>
  <si>
    <t>介護サポートサービス　運営規程</t>
    <rPh sb="0" eb="2">
      <t>カイゴ</t>
    </rPh>
    <rPh sb="11" eb="13">
      <t>ウンエイ</t>
    </rPh>
    <rPh sb="13" eb="15">
      <t>キテイ</t>
    </rPh>
    <phoneticPr fontId="10"/>
  </si>
  <si>
    <t>【個別機能訓練実施記録】加算Ⅰ・Ⅱ</t>
    <phoneticPr fontId="17"/>
  </si>
  <si>
    <t>個人情報に関する基本方針</t>
    <rPh sb="0" eb="2">
      <t>コジン</t>
    </rPh>
    <rPh sb="2" eb="4">
      <t>ジョウホウ</t>
    </rPh>
    <rPh sb="5" eb="6">
      <t>カン</t>
    </rPh>
    <rPh sb="8" eb="10">
      <t>キホン</t>
    </rPh>
    <rPh sb="10" eb="12">
      <t>ホウシン</t>
    </rPh>
    <phoneticPr fontId="10"/>
  </si>
  <si>
    <t>【個別機能訓練計画書】加算Ⅰ</t>
    <phoneticPr fontId="17"/>
  </si>
  <si>
    <t>営業ツール</t>
    <rPh sb="0" eb="2">
      <t>エイギョウ</t>
    </rPh>
    <phoneticPr fontId="10"/>
  </si>
  <si>
    <t>15の取り組み</t>
    <rPh sb="3" eb="4">
      <t>ト</t>
    </rPh>
    <rPh sb="5" eb="6">
      <t>ク</t>
    </rPh>
    <phoneticPr fontId="17"/>
  </si>
  <si>
    <t>【個別機能訓練実施記録】加算Ⅰ</t>
    <phoneticPr fontId="17"/>
  </si>
  <si>
    <t>利用相談受付票</t>
    <rPh sb="0" eb="2">
      <t>リヨウ</t>
    </rPh>
    <rPh sb="2" eb="4">
      <t>ソウダン</t>
    </rPh>
    <rPh sb="4" eb="6">
      <t>ウケツケ</t>
    </rPh>
    <rPh sb="6" eb="7">
      <t>ヒョウ</t>
    </rPh>
    <phoneticPr fontId="10"/>
  </si>
  <si>
    <t>【個別機能訓練計画書】加算Ⅱ</t>
    <phoneticPr fontId="17"/>
  </si>
  <si>
    <t>現場帳票（利用者）</t>
    <rPh sb="0" eb="2">
      <t>ゲンバ</t>
    </rPh>
    <rPh sb="2" eb="4">
      <t>チョウヒョウ</t>
    </rPh>
    <rPh sb="5" eb="7">
      <t>リヨウ</t>
    </rPh>
    <rPh sb="7" eb="8">
      <t>シャ</t>
    </rPh>
    <phoneticPr fontId="11"/>
  </si>
  <si>
    <t>サービス担当者会議記録用紙</t>
    <rPh sb="4" eb="7">
      <t>タントウシャ</t>
    </rPh>
    <rPh sb="7" eb="9">
      <t>カイギ</t>
    </rPh>
    <rPh sb="9" eb="11">
      <t>キロク</t>
    </rPh>
    <rPh sb="11" eb="13">
      <t>ヨウシ</t>
    </rPh>
    <phoneticPr fontId="10"/>
  </si>
  <si>
    <t>【個別機能訓練実施記録】加算Ⅱ</t>
    <phoneticPr fontId="17"/>
  </si>
  <si>
    <t>ケアカンファレンス記録用紙</t>
    <rPh sb="9" eb="11">
      <t>キロク</t>
    </rPh>
    <rPh sb="11" eb="13">
      <t>ヨウシ</t>
    </rPh>
    <phoneticPr fontId="10"/>
  </si>
  <si>
    <t>受入報告書</t>
    <rPh sb="0" eb="1">
      <t>ウ</t>
    </rPh>
    <rPh sb="1" eb="2">
      <t>イ</t>
    </rPh>
    <rPh sb="2" eb="5">
      <t>ホウコクショ</t>
    </rPh>
    <phoneticPr fontId="10"/>
  </si>
  <si>
    <t>介護経過表</t>
    <rPh sb="0" eb="2">
      <t>カイゴ</t>
    </rPh>
    <rPh sb="2" eb="4">
      <t>ケイカ</t>
    </rPh>
    <rPh sb="4" eb="5">
      <t>ヒョウ</t>
    </rPh>
    <phoneticPr fontId="10"/>
  </si>
  <si>
    <t>介護経過表（サポート）</t>
    <rPh sb="0" eb="2">
      <t>カイゴ</t>
    </rPh>
    <rPh sb="2" eb="4">
      <t>ケイカ</t>
    </rPh>
    <rPh sb="4" eb="5">
      <t>ヒョウ</t>
    </rPh>
    <phoneticPr fontId="10"/>
  </si>
  <si>
    <t>連絡帳</t>
    <rPh sb="0" eb="3">
      <t>レンラクチョウ</t>
    </rPh>
    <phoneticPr fontId="10"/>
  </si>
  <si>
    <t>ヒヤリハット報告書</t>
    <rPh sb="6" eb="9">
      <t>ホウコクショ</t>
    </rPh>
    <phoneticPr fontId="10"/>
  </si>
  <si>
    <t>事故報告書</t>
    <rPh sb="0" eb="2">
      <t>ジコ</t>
    </rPh>
    <rPh sb="2" eb="5">
      <t>ホウコクショ</t>
    </rPh>
    <phoneticPr fontId="10"/>
  </si>
  <si>
    <t>苦情相談報告書</t>
    <rPh sb="0" eb="2">
      <t>クジョウ</t>
    </rPh>
    <rPh sb="2" eb="4">
      <t>ソウダン</t>
    </rPh>
    <rPh sb="4" eb="7">
      <t>ホウコクショ</t>
    </rPh>
    <phoneticPr fontId="10"/>
  </si>
  <si>
    <t>現場帳票（職員）</t>
    <rPh sb="0" eb="2">
      <t>ゲンバ</t>
    </rPh>
    <rPh sb="2" eb="4">
      <t>チョウヒョウ</t>
    </rPh>
    <rPh sb="5" eb="7">
      <t>ショクイン</t>
    </rPh>
    <phoneticPr fontId="11"/>
  </si>
  <si>
    <t>職員会議議事録</t>
  </si>
  <si>
    <t>研修議事録</t>
    <rPh sb="0" eb="2">
      <t>ケンシュウ</t>
    </rPh>
    <rPh sb="2" eb="5">
      <t>ギジロク</t>
    </rPh>
    <phoneticPr fontId="10"/>
  </si>
  <si>
    <t>研修報告書</t>
    <rPh sb="0" eb="2">
      <t>ケンシュウ</t>
    </rPh>
    <rPh sb="2" eb="5">
      <t>ホウコクショ</t>
    </rPh>
    <phoneticPr fontId="10"/>
  </si>
  <si>
    <t>行事実施計画書</t>
    <rPh sb="0" eb="2">
      <t>ギョウジ</t>
    </rPh>
    <rPh sb="2" eb="4">
      <t>ジッシ</t>
    </rPh>
    <rPh sb="4" eb="7">
      <t>ケイカクショ</t>
    </rPh>
    <phoneticPr fontId="10"/>
  </si>
  <si>
    <t>行事実施記録書</t>
    <rPh sb="0" eb="2">
      <t>ギョウジ</t>
    </rPh>
    <rPh sb="2" eb="4">
      <t>ジッシ</t>
    </rPh>
    <rPh sb="4" eb="6">
      <t>キロク</t>
    </rPh>
    <rPh sb="6" eb="7">
      <t>ショ</t>
    </rPh>
    <phoneticPr fontId="10"/>
  </si>
  <si>
    <t>太枠内の入力・選択をしてください。</t>
    <rPh sb="0" eb="2">
      <t>フトワク</t>
    </rPh>
    <rPh sb="2" eb="3">
      <t>ナイ</t>
    </rPh>
    <rPh sb="4" eb="6">
      <t>ニュウリョク</t>
    </rPh>
    <rPh sb="7" eb="9">
      <t>センタク</t>
    </rPh>
    <phoneticPr fontId="17"/>
  </si>
  <si>
    <t>重要事項説明書　日付</t>
    <rPh sb="0" eb="2">
      <t>ジュウヨウ</t>
    </rPh>
    <rPh sb="2" eb="4">
      <t>ジコウ</t>
    </rPh>
    <rPh sb="4" eb="7">
      <t>セツメイショ</t>
    </rPh>
    <rPh sb="8" eb="10">
      <t>ヒヅケ</t>
    </rPh>
    <phoneticPr fontId="17"/>
  </si>
  <si>
    <t>西暦</t>
    <rPh sb="0" eb="2">
      <t>セイレキ</t>
    </rPh>
    <phoneticPr fontId="17"/>
  </si>
  <si>
    <t>年</t>
    <rPh sb="0" eb="1">
      <t>ネン</t>
    </rPh>
    <phoneticPr fontId="17"/>
  </si>
  <si>
    <t>月</t>
    <rPh sb="0" eb="1">
      <t>ガツ</t>
    </rPh>
    <phoneticPr fontId="17"/>
  </si>
  <si>
    <t>日現在</t>
    <rPh sb="0" eb="1">
      <t>ニチ</t>
    </rPh>
    <rPh sb="1" eb="3">
      <t>ゲンザイ</t>
    </rPh>
    <phoneticPr fontId="17"/>
  </si>
  <si>
    <t>年号（和暦）</t>
    <rPh sb="0" eb="2">
      <t>ネンゴウ</t>
    </rPh>
    <rPh sb="3" eb="5">
      <t>ワレキ</t>
    </rPh>
    <phoneticPr fontId="17"/>
  </si>
  <si>
    <t>＜重要事項説明書用＞</t>
    <rPh sb="1" eb="3">
      <t>ジュウヨウ</t>
    </rPh>
    <rPh sb="3" eb="5">
      <t>ジコウ</t>
    </rPh>
    <rPh sb="5" eb="8">
      <t>セツメイショ</t>
    </rPh>
    <rPh sb="8" eb="9">
      <t>ヨウ</t>
    </rPh>
    <phoneticPr fontId="17"/>
  </si>
  <si>
    <t>昭和</t>
    <rPh sb="0" eb="2">
      <t>ショウワ</t>
    </rPh>
    <phoneticPr fontId="17"/>
  </si>
  <si>
    <t>事業所名（フリガナ）</t>
    <rPh sb="0" eb="3">
      <t>ジギョウショ</t>
    </rPh>
    <rPh sb="3" eb="4">
      <t>メイ</t>
    </rPh>
    <phoneticPr fontId="17"/>
  </si>
  <si>
    <t>平成</t>
    <rPh sb="0" eb="2">
      <t>ヘイセイ</t>
    </rPh>
    <phoneticPr fontId="17"/>
  </si>
  <si>
    <t>○</t>
    <phoneticPr fontId="17"/>
  </si>
  <si>
    <t>有</t>
    <rPh sb="0" eb="1">
      <t>ア</t>
    </rPh>
    <phoneticPr fontId="17"/>
  </si>
  <si>
    <t>月曜日～日曜日（祝日を含む）</t>
    <rPh sb="0" eb="3">
      <t>ゲツヨウビ</t>
    </rPh>
    <rPh sb="4" eb="7">
      <t>ニチヨウビ</t>
    </rPh>
    <rPh sb="8" eb="10">
      <t>シュクジツ</t>
    </rPh>
    <rPh sb="11" eb="12">
      <t>フク</t>
    </rPh>
    <phoneticPr fontId="17"/>
  </si>
  <si>
    <t>事業所名</t>
    <rPh sb="0" eb="3">
      <t>ジギョウショ</t>
    </rPh>
    <rPh sb="3" eb="4">
      <t>メイ</t>
    </rPh>
    <phoneticPr fontId="17"/>
  </si>
  <si>
    <t>令和</t>
    <rPh sb="0" eb="2">
      <t>レイワ</t>
    </rPh>
    <phoneticPr fontId="17"/>
  </si>
  <si>
    <t>無</t>
    <rPh sb="0" eb="1">
      <t>ナシ</t>
    </rPh>
    <phoneticPr fontId="17"/>
  </si>
  <si>
    <t>月曜日～土曜日</t>
    <rPh sb="0" eb="3">
      <t>ゲツヨウビ</t>
    </rPh>
    <rPh sb="4" eb="7">
      <t>ドヨウビ</t>
    </rPh>
    <phoneticPr fontId="17"/>
  </si>
  <si>
    <t>事業所住所</t>
    <rPh sb="0" eb="3">
      <t>ジギョウショ</t>
    </rPh>
    <rPh sb="3" eb="5">
      <t>ジュウショ</t>
    </rPh>
    <phoneticPr fontId="17"/>
  </si>
  <si>
    <t>-</t>
    <phoneticPr fontId="17"/>
  </si>
  <si>
    <t>月曜日～金曜日</t>
    <rPh sb="0" eb="3">
      <t>ゲツヨウビ</t>
    </rPh>
    <rPh sb="4" eb="7">
      <t>キンヨウビ</t>
    </rPh>
    <phoneticPr fontId="17"/>
  </si>
  <si>
    <t>364 417</t>
    <phoneticPr fontId="17"/>
  </si>
  <si>
    <t>事業所電話番号</t>
    <rPh sb="0" eb="2">
      <t>ジギョウ</t>
    </rPh>
    <rPh sb="2" eb="3">
      <t>ショ</t>
    </rPh>
    <rPh sb="3" eb="5">
      <t>デンワ</t>
    </rPh>
    <rPh sb="5" eb="7">
      <t>バンゴウ</t>
    </rPh>
    <phoneticPr fontId="17"/>
  </si>
  <si>
    <t>事業所FAX</t>
    <rPh sb="0" eb="2">
      <t>ジギョウ</t>
    </rPh>
    <rPh sb="2" eb="3">
      <t>ショ</t>
    </rPh>
    <phoneticPr fontId="17"/>
  </si>
  <si>
    <t>月曜日～金曜日（祝日を含む）</t>
    <rPh sb="0" eb="3">
      <t>ゲツヨウビ</t>
    </rPh>
    <rPh sb="4" eb="7">
      <t>キンヨウビ</t>
    </rPh>
    <rPh sb="8" eb="10">
      <t>シュクジツ</t>
    </rPh>
    <rPh sb="11" eb="12">
      <t>フク</t>
    </rPh>
    <phoneticPr fontId="17"/>
  </si>
  <si>
    <t>事業所番号</t>
    <rPh sb="0" eb="3">
      <t>ジギョウショ</t>
    </rPh>
    <rPh sb="3" eb="5">
      <t>バンゴウ</t>
    </rPh>
    <phoneticPr fontId="17"/>
  </si>
  <si>
    <t>平日（土・日・祝以外）</t>
    <rPh sb="0" eb="2">
      <t>ヘイジツ</t>
    </rPh>
    <rPh sb="3" eb="4">
      <t>ド</t>
    </rPh>
    <rPh sb="5" eb="6">
      <t>ニチ</t>
    </rPh>
    <rPh sb="7" eb="8">
      <t>シュク</t>
    </rPh>
    <rPh sb="8" eb="10">
      <t>イガイ</t>
    </rPh>
    <phoneticPr fontId="17"/>
  </si>
  <si>
    <t>事業所開設年月日</t>
    <rPh sb="0" eb="3">
      <t>ジギョウショ</t>
    </rPh>
    <rPh sb="3" eb="5">
      <t>カイセツ</t>
    </rPh>
    <rPh sb="5" eb="8">
      <t>ネンガッピ</t>
    </rPh>
    <phoneticPr fontId="17"/>
  </si>
  <si>
    <t>日</t>
    <rPh sb="0" eb="1">
      <t>ニチ</t>
    </rPh>
    <phoneticPr fontId="17"/>
  </si>
  <si>
    <t>事業所営業時間</t>
    <rPh sb="0" eb="2">
      <t>ジギョウ</t>
    </rPh>
    <rPh sb="2" eb="3">
      <t>ショ</t>
    </rPh>
    <rPh sb="3" eb="5">
      <t>エイギョウ</t>
    </rPh>
    <rPh sb="5" eb="7">
      <t>ジカン</t>
    </rPh>
    <phoneticPr fontId="17"/>
  </si>
  <si>
    <t>～</t>
    <phoneticPr fontId="17"/>
  </si>
  <si>
    <t>サービス提供時間</t>
    <rPh sb="4" eb="6">
      <t>テイキョウ</t>
    </rPh>
    <rPh sb="6" eb="8">
      <t>ジカン</t>
    </rPh>
    <phoneticPr fontId="17"/>
  </si>
  <si>
    <t>送迎対応時間</t>
    <rPh sb="0" eb="2">
      <t>ソウゲイ</t>
    </rPh>
    <rPh sb="2" eb="4">
      <t>タイオウ</t>
    </rPh>
    <rPh sb="4" eb="6">
      <t>ジカン</t>
    </rPh>
    <phoneticPr fontId="17"/>
  </si>
  <si>
    <t>7:00</t>
    <phoneticPr fontId="17"/>
  </si>
  <si>
    <t>21:00</t>
    <phoneticPr fontId="17"/>
  </si>
  <si>
    <t>夜間サポートサービス提供時間</t>
    <rPh sb="0" eb="2">
      <t>ヤカン</t>
    </rPh>
    <rPh sb="10" eb="12">
      <t>テイキョウ</t>
    </rPh>
    <rPh sb="12" eb="14">
      <t>ジカン</t>
    </rPh>
    <phoneticPr fontId="17"/>
  </si>
  <si>
    <t>事業所営業日</t>
    <rPh sb="0" eb="2">
      <t>ジギョウ</t>
    </rPh>
    <rPh sb="2" eb="3">
      <t>ショ</t>
    </rPh>
    <rPh sb="3" eb="6">
      <t>エイギョウビ</t>
    </rPh>
    <phoneticPr fontId="17"/>
  </si>
  <si>
    <t>月</t>
    <rPh sb="0" eb="1">
      <t>ゲツ</t>
    </rPh>
    <phoneticPr fontId="17"/>
  </si>
  <si>
    <t>火</t>
    <rPh sb="0" eb="1">
      <t>カ</t>
    </rPh>
    <phoneticPr fontId="17"/>
  </si>
  <si>
    <t>水</t>
    <rPh sb="0" eb="1">
      <t>スイ</t>
    </rPh>
    <phoneticPr fontId="17"/>
  </si>
  <si>
    <t>木</t>
    <rPh sb="0" eb="1">
      <t>モク</t>
    </rPh>
    <phoneticPr fontId="17"/>
  </si>
  <si>
    <t>金</t>
    <rPh sb="0" eb="1">
      <t>キン</t>
    </rPh>
    <phoneticPr fontId="17"/>
  </si>
  <si>
    <t>土</t>
    <rPh sb="0" eb="1">
      <t>ド</t>
    </rPh>
    <phoneticPr fontId="17"/>
  </si>
  <si>
    <t>祝</t>
    <rPh sb="0" eb="1">
      <t>シュク</t>
    </rPh>
    <phoneticPr fontId="17"/>
  </si>
  <si>
    <t>営業日</t>
    <rPh sb="0" eb="3">
      <t>エイギョウビ</t>
    </rPh>
    <phoneticPr fontId="17"/>
  </si>
  <si>
    <t>事業所　実施地域</t>
    <rPh sb="0" eb="2">
      <t>ジギョウ</t>
    </rPh>
    <rPh sb="2" eb="3">
      <t>ショ</t>
    </rPh>
    <rPh sb="4" eb="6">
      <t>ジッシ</t>
    </rPh>
    <rPh sb="6" eb="8">
      <t>チイキ</t>
    </rPh>
    <phoneticPr fontId="17"/>
  </si>
  <si>
    <t>3時間以上4時間未満</t>
    <rPh sb="1" eb="5">
      <t>ジカンイジョウ</t>
    </rPh>
    <rPh sb="6" eb="8">
      <t>ジカン</t>
    </rPh>
    <rPh sb="8" eb="10">
      <t>ミマン</t>
    </rPh>
    <phoneticPr fontId="17"/>
  </si>
  <si>
    <t>4時間以上5時間未満</t>
    <rPh sb="1" eb="5">
      <t>ジカンイジョウ</t>
    </rPh>
    <rPh sb="6" eb="8">
      <t>ジカン</t>
    </rPh>
    <rPh sb="8" eb="10">
      <t>ミマン</t>
    </rPh>
    <phoneticPr fontId="17"/>
  </si>
  <si>
    <t>5時間以上6時間未満</t>
    <rPh sb="1" eb="5">
      <t>ジカンイジョウ</t>
    </rPh>
    <rPh sb="6" eb="8">
      <t>ジカン</t>
    </rPh>
    <rPh sb="8" eb="10">
      <t>ミマン</t>
    </rPh>
    <phoneticPr fontId="17"/>
  </si>
  <si>
    <t>6時間以上7時間未満</t>
    <rPh sb="1" eb="5">
      <t>ジカンイジョウ</t>
    </rPh>
    <rPh sb="6" eb="8">
      <t>ジカン</t>
    </rPh>
    <rPh sb="8" eb="10">
      <t>ミマン</t>
    </rPh>
    <phoneticPr fontId="17"/>
  </si>
  <si>
    <t>7時間以上8時間未満</t>
    <rPh sb="1" eb="5">
      <t>ジカンイジョウ</t>
    </rPh>
    <rPh sb="6" eb="8">
      <t>ジカン</t>
    </rPh>
    <rPh sb="8" eb="10">
      <t>ミマン</t>
    </rPh>
    <phoneticPr fontId="17"/>
  </si>
  <si>
    <t>8時間以上9時間未満</t>
    <rPh sb="1" eb="5">
      <t>ジカンイジョウ</t>
    </rPh>
    <rPh sb="6" eb="8">
      <t>ジカン</t>
    </rPh>
    <rPh sb="8" eb="10">
      <t>ミマン</t>
    </rPh>
    <phoneticPr fontId="17"/>
  </si>
  <si>
    <t>事業所利用定員</t>
    <rPh sb="0" eb="2">
      <t>ジギョウ</t>
    </rPh>
    <rPh sb="2" eb="3">
      <t>ショ</t>
    </rPh>
    <rPh sb="3" eb="5">
      <t>リヨウ</t>
    </rPh>
    <rPh sb="5" eb="7">
      <t>テイイン</t>
    </rPh>
    <phoneticPr fontId="17"/>
  </si>
  <si>
    <t>名</t>
    <rPh sb="0" eb="1">
      <t>メイ</t>
    </rPh>
    <phoneticPr fontId="17"/>
  </si>
  <si>
    <t>夜間帯利用定員</t>
    <rPh sb="0" eb="2">
      <t>ヤカン</t>
    </rPh>
    <rPh sb="2" eb="3">
      <t>タイ</t>
    </rPh>
    <rPh sb="3" eb="5">
      <t>リヨウ</t>
    </rPh>
    <rPh sb="5" eb="7">
      <t>テイイン</t>
    </rPh>
    <phoneticPr fontId="17"/>
  </si>
  <si>
    <t>要介護1</t>
  </si>
  <si>
    <t>要介護2</t>
  </si>
  <si>
    <t>要介護3</t>
  </si>
  <si>
    <t>要介護4</t>
  </si>
  <si>
    <t>要介護5</t>
  </si>
  <si>
    <t>指定権者運営基準名</t>
    <rPh sb="0" eb="2">
      <t>シテイ</t>
    </rPh>
    <rPh sb="2" eb="3">
      <t>ケン</t>
    </rPh>
    <rPh sb="3" eb="4">
      <t>シャ</t>
    </rPh>
    <rPh sb="4" eb="6">
      <t>ウンエイ</t>
    </rPh>
    <rPh sb="6" eb="8">
      <t>キジュン</t>
    </rPh>
    <rPh sb="8" eb="9">
      <t>メイ</t>
    </rPh>
    <phoneticPr fontId="17"/>
  </si>
  <si>
    <t>指定権者宿泊デイ基準名</t>
    <rPh sb="0" eb="2">
      <t>シテイ</t>
    </rPh>
    <rPh sb="2" eb="3">
      <t>ケン</t>
    </rPh>
    <rPh sb="3" eb="4">
      <t>シャ</t>
    </rPh>
    <rPh sb="4" eb="6">
      <t>シュクハク</t>
    </rPh>
    <rPh sb="8" eb="10">
      <t>キジュン</t>
    </rPh>
    <rPh sb="10" eb="11">
      <t>メイ</t>
    </rPh>
    <phoneticPr fontId="17"/>
  </si>
  <si>
    <t>1級地</t>
    <rPh sb="1" eb="2">
      <t>キュウ</t>
    </rPh>
    <rPh sb="2" eb="3">
      <t>チ</t>
    </rPh>
    <phoneticPr fontId="17"/>
  </si>
  <si>
    <t>管理者名</t>
    <rPh sb="0" eb="2">
      <t>カンリ</t>
    </rPh>
    <rPh sb="2" eb="3">
      <t>シャ</t>
    </rPh>
    <rPh sb="3" eb="4">
      <t>メイ</t>
    </rPh>
    <phoneticPr fontId="17"/>
  </si>
  <si>
    <t>2級地</t>
    <rPh sb="1" eb="2">
      <t>キュウ</t>
    </rPh>
    <rPh sb="2" eb="3">
      <t>チ</t>
    </rPh>
    <phoneticPr fontId="17"/>
  </si>
  <si>
    <t>法人名</t>
    <rPh sb="0" eb="2">
      <t>ホウジン</t>
    </rPh>
    <rPh sb="2" eb="3">
      <t>メイ</t>
    </rPh>
    <phoneticPr fontId="17"/>
  </si>
  <si>
    <t>3級地</t>
    <rPh sb="1" eb="2">
      <t>キュウ</t>
    </rPh>
    <rPh sb="2" eb="3">
      <t>チ</t>
    </rPh>
    <phoneticPr fontId="17"/>
  </si>
  <si>
    <t>4級地</t>
    <rPh sb="1" eb="2">
      <t>キュウ</t>
    </rPh>
    <rPh sb="2" eb="3">
      <t>チ</t>
    </rPh>
    <phoneticPr fontId="17"/>
  </si>
  <si>
    <t>5級地</t>
    <rPh sb="1" eb="2">
      <t>キュウ</t>
    </rPh>
    <rPh sb="2" eb="3">
      <t>チ</t>
    </rPh>
    <phoneticPr fontId="17"/>
  </si>
  <si>
    <t>法人電話番号</t>
    <rPh sb="0" eb="2">
      <t>ホウジン</t>
    </rPh>
    <rPh sb="2" eb="4">
      <t>デンワ</t>
    </rPh>
    <rPh sb="4" eb="6">
      <t>バンゴウ</t>
    </rPh>
    <phoneticPr fontId="17"/>
  </si>
  <si>
    <t>法人FAX</t>
    <rPh sb="0" eb="2">
      <t>ホウジン</t>
    </rPh>
    <phoneticPr fontId="17"/>
  </si>
  <si>
    <t>6級地</t>
    <rPh sb="1" eb="2">
      <t>キュウ</t>
    </rPh>
    <rPh sb="2" eb="3">
      <t>チ</t>
    </rPh>
    <phoneticPr fontId="17"/>
  </si>
  <si>
    <t>法人代表者　役職</t>
    <rPh sb="0" eb="2">
      <t>ホウジン</t>
    </rPh>
    <rPh sb="2" eb="5">
      <t>ダイヒョウシャ</t>
    </rPh>
    <rPh sb="6" eb="8">
      <t>ヤクショク</t>
    </rPh>
    <phoneticPr fontId="17"/>
  </si>
  <si>
    <t>氏名</t>
    <rPh sb="0" eb="2">
      <t>シメイ</t>
    </rPh>
    <phoneticPr fontId="17"/>
  </si>
  <si>
    <t>7級地</t>
    <rPh sb="1" eb="2">
      <t>キュウ</t>
    </rPh>
    <rPh sb="2" eb="3">
      <t>チ</t>
    </rPh>
    <phoneticPr fontId="17"/>
  </si>
  <si>
    <t>第三者評価の実施</t>
    <phoneticPr fontId="17"/>
  </si>
  <si>
    <t>評価機関名</t>
    <rPh sb="0" eb="2">
      <t>ヒョウカ</t>
    </rPh>
    <rPh sb="2" eb="4">
      <t>キカン</t>
    </rPh>
    <rPh sb="4" eb="5">
      <t>メイ</t>
    </rPh>
    <phoneticPr fontId="17"/>
  </si>
  <si>
    <t>その他</t>
    <rPh sb="2" eb="3">
      <t>タ</t>
    </rPh>
    <phoneticPr fontId="17"/>
  </si>
  <si>
    <t>評価実施年月日</t>
    <rPh sb="0" eb="2">
      <t>ヒョウカ</t>
    </rPh>
    <rPh sb="2" eb="4">
      <t>ジッシ</t>
    </rPh>
    <rPh sb="4" eb="7">
      <t>ネンガッピ</t>
    </rPh>
    <phoneticPr fontId="17"/>
  </si>
  <si>
    <t>評価結果の開示</t>
    <rPh sb="0" eb="2">
      <t>ヒョウカ</t>
    </rPh>
    <rPh sb="2" eb="4">
      <t>ケッカ</t>
    </rPh>
    <rPh sb="5" eb="7">
      <t>カイジ</t>
    </rPh>
    <phoneticPr fontId="17"/>
  </si>
  <si>
    <t>開示方法</t>
    <rPh sb="0" eb="2">
      <t>カイジ</t>
    </rPh>
    <rPh sb="2" eb="4">
      <t>ホウホウ</t>
    </rPh>
    <phoneticPr fontId="17"/>
  </si>
  <si>
    <t>従業者の職種</t>
  </si>
  <si>
    <t>人数</t>
  </si>
  <si>
    <t>区分※延べ人数</t>
    <rPh sb="0" eb="2">
      <t>クブン</t>
    </rPh>
    <rPh sb="3" eb="4">
      <t>ノ</t>
    </rPh>
    <rPh sb="5" eb="7">
      <t>ニンズウ</t>
    </rPh>
    <phoneticPr fontId="17"/>
  </si>
  <si>
    <t>（人）</t>
  </si>
  <si>
    <t>常勤専従(人)</t>
    <rPh sb="2" eb="4">
      <t>センジュウ</t>
    </rPh>
    <phoneticPr fontId="12"/>
  </si>
  <si>
    <t>常勤兼務(人)</t>
    <rPh sb="2" eb="4">
      <t>ケンム</t>
    </rPh>
    <phoneticPr fontId="12"/>
  </si>
  <si>
    <t>非常勤専従(人)</t>
    <rPh sb="0" eb="3">
      <t>ヒジョウキン</t>
    </rPh>
    <rPh sb="3" eb="5">
      <t>センジュウ</t>
    </rPh>
    <phoneticPr fontId="12"/>
  </si>
  <si>
    <t>非常勤兼務(人)</t>
    <rPh sb="3" eb="5">
      <t>ケンム</t>
    </rPh>
    <phoneticPr fontId="12"/>
  </si>
  <si>
    <t>管理者</t>
  </si>
  <si>
    <t>生活相談員</t>
  </si>
  <si>
    <t>介護職員</t>
  </si>
  <si>
    <t>機能訓練指導員</t>
  </si>
  <si>
    <t>看護職員</t>
    <rPh sb="0" eb="2">
      <t>カンゴ</t>
    </rPh>
    <rPh sb="2" eb="4">
      <t>ショクイン</t>
    </rPh>
    <phoneticPr fontId="17"/>
  </si>
  <si>
    <t>管理者の兼務状況</t>
    <rPh sb="0" eb="3">
      <t>カンリシャ</t>
    </rPh>
    <rPh sb="4" eb="6">
      <t>ケンム</t>
    </rPh>
    <rPh sb="6" eb="8">
      <t>ジョウキョウ</t>
    </rPh>
    <phoneticPr fontId="12"/>
  </si>
  <si>
    <t>兼務用職種</t>
    <rPh sb="0" eb="2">
      <t>ケンム</t>
    </rPh>
    <rPh sb="2" eb="3">
      <t>ヨウ</t>
    </rPh>
    <rPh sb="3" eb="5">
      <t>ショクシュ</t>
    </rPh>
    <phoneticPr fontId="17"/>
  </si>
  <si>
    <t>管理者</t>
    <rPh sb="0" eb="2">
      <t>カンリ</t>
    </rPh>
    <rPh sb="2" eb="3">
      <t>シャ</t>
    </rPh>
    <phoneticPr fontId="17"/>
  </si>
  <si>
    <t>生活相談員</t>
    <rPh sb="0" eb="2">
      <t>セイカツ</t>
    </rPh>
    <rPh sb="2" eb="5">
      <t>ソウダンイン</t>
    </rPh>
    <phoneticPr fontId="17"/>
  </si>
  <si>
    <t>地域</t>
    <rPh sb="0" eb="2">
      <t>チイキ</t>
    </rPh>
    <phoneticPr fontId="12"/>
  </si>
  <si>
    <t>地域区分</t>
    <rPh sb="0" eb="2">
      <t>チイキ</t>
    </rPh>
    <rPh sb="2" eb="4">
      <t>クブン</t>
    </rPh>
    <phoneticPr fontId="12"/>
  </si>
  <si>
    <t>介護職員</t>
    <rPh sb="0" eb="2">
      <t>カイゴ</t>
    </rPh>
    <rPh sb="2" eb="4">
      <t>ショクイン</t>
    </rPh>
    <phoneticPr fontId="17"/>
  </si>
  <si>
    <t>VLOOKUP用→</t>
    <rPh sb="7" eb="8">
      <t>ヨウ</t>
    </rPh>
    <phoneticPr fontId="17"/>
  </si>
  <si>
    <t>介護度</t>
    <rPh sb="0" eb="2">
      <t>カイゴ</t>
    </rPh>
    <rPh sb="2" eb="3">
      <t>ド</t>
    </rPh>
    <phoneticPr fontId="12"/>
  </si>
  <si>
    <t>機能訓練指導員</t>
    <rPh sb="0" eb="2">
      <t>キノウ</t>
    </rPh>
    <rPh sb="2" eb="4">
      <t>クンレン</t>
    </rPh>
    <rPh sb="4" eb="7">
      <t>シドウイン</t>
    </rPh>
    <phoneticPr fontId="17"/>
  </si>
  <si>
    <t>3時間以上4時間未満</t>
    <phoneticPr fontId="12"/>
  </si>
  <si>
    <t>夜間</t>
    <rPh sb="0" eb="2">
      <t>ヤカン</t>
    </rPh>
    <phoneticPr fontId="17"/>
  </si>
  <si>
    <t>種　　　類</t>
  </si>
  <si>
    <t>送迎減算</t>
  </si>
  <si>
    <t>認知症加算</t>
    <rPh sb="0" eb="1">
      <t>シノブ</t>
    </rPh>
    <rPh sb="1" eb="2">
      <t>チ</t>
    </rPh>
    <rPh sb="2" eb="3">
      <t>ショウ</t>
    </rPh>
    <rPh sb="3" eb="4">
      <t>カ</t>
    </rPh>
    <rPh sb="4" eb="5">
      <t>サン</t>
    </rPh>
    <phoneticPr fontId="17"/>
  </si>
  <si>
    <t>若年性認知症利用者受入加算</t>
    <phoneticPr fontId="12"/>
  </si>
  <si>
    <t>中重度者ケア体制加算</t>
    <rPh sb="0" eb="1">
      <t>チュウ</t>
    </rPh>
    <rPh sb="1" eb="3">
      <t>ジュウド</t>
    </rPh>
    <rPh sb="3" eb="4">
      <t>シャ</t>
    </rPh>
    <rPh sb="6" eb="7">
      <t>カラダ</t>
    </rPh>
    <rPh sb="7" eb="8">
      <t>セイ</t>
    </rPh>
    <rPh sb="8" eb="9">
      <t>カ</t>
    </rPh>
    <rPh sb="9" eb="10">
      <t>サン</t>
    </rPh>
    <phoneticPr fontId="17"/>
  </si>
  <si>
    <t>個別機能訓練加算（Ⅰ）</t>
    <rPh sb="0" eb="1">
      <t>コ</t>
    </rPh>
    <rPh sb="1" eb="2">
      <t>ベツ</t>
    </rPh>
    <rPh sb="2" eb="3">
      <t>キ</t>
    </rPh>
    <rPh sb="3" eb="4">
      <t>ノウ</t>
    </rPh>
    <rPh sb="4" eb="5">
      <t>クン</t>
    </rPh>
    <rPh sb="5" eb="6">
      <t>ネリ</t>
    </rPh>
    <rPh sb="6" eb="7">
      <t>カ</t>
    </rPh>
    <rPh sb="7" eb="8">
      <t>カゾ</t>
    </rPh>
    <phoneticPr fontId="12"/>
  </si>
  <si>
    <t>個別機能訓練加算（Ⅱ）</t>
    <rPh sb="0" eb="1">
      <t>コ</t>
    </rPh>
    <rPh sb="1" eb="2">
      <t>ベツ</t>
    </rPh>
    <rPh sb="2" eb="3">
      <t>キ</t>
    </rPh>
    <rPh sb="3" eb="4">
      <t>ノウ</t>
    </rPh>
    <rPh sb="4" eb="5">
      <t>クン</t>
    </rPh>
    <rPh sb="5" eb="6">
      <t>ネリ</t>
    </rPh>
    <rPh sb="6" eb="7">
      <t>カ</t>
    </rPh>
    <rPh sb="7" eb="8">
      <t>カゾ</t>
    </rPh>
    <phoneticPr fontId="12"/>
  </si>
  <si>
    <t>サービス提供体制強化加算（Ⅰ）イ</t>
    <phoneticPr fontId="17"/>
  </si>
  <si>
    <t>サービス提供体制強化加算（Ⅰ）ロ</t>
    <phoneticPr fontId="17"/>
  </si>
  <si>
    <t>サービス提供体制強化加算（Ⅱ）</t>
    <phoneticPr fontId="17"/>
  </si>
  <si>
    <t>栄養改善加算</t>
    <rPh sb="0" eb="1">
      <t>エイ</t>
    </rPh>
    <rPh sb="1" eb="2">
      <t>マモル</t>
    </rPh>
    <rPh sb="2" eb="3">
      <t>カイ</t>
    </rPh>
    <rPh sb="3" eb="4">
      <t>ゼン</t>
    </rPh>
    <rPh sb="4" eb="5">
      <t>カ</t>
    </rPh>
    <rPh sb="5" eb="6">
      <t>サン</t>
    </rPh>
    <phoneticPr fontId="12"/>
  </si>
  <si>
    <t>ＡＤＬ維持等加算（Ⅰ）</t>
    <phoneticPr fontId="17"/>
  </si>
  <si>
    <t>ＡＤＬ維持等加算（Ⅱ）</t>
    <phoneticPr fontId="17"/>
  </si>
  <si>
    <t>生活機能向上連携加算</t>
    <rPh sb="0" eb="2">
      <t>セイカツ</t>
    </rPh>
    <rPh sb="2" eb="4">
      <t>キノウ</t>
    </rPh>
    <rPh sb="4" eb="6">
      <t>コウジョウ</t>
    </rPh>
    <rPh sb="6" eb="8">
      <t>レンケイ</t>
    </rPh>
    <rPh sb="8" eb="10">
      <t>カサン</t>
    </rPh>
    <phoneticPr fontId="17"/>
  </si>
  <si>
    <t>延長加算</t>
    <rPh sb="0" eb="1">
      <t>ノベ</t>
    </rPh>
    <rPh sb="1" eb="2">
      <t>ナガ</t>
    </rPh>
    <rPh sb="2" eb="3">
      <t>カ</t>
    </rPh>
    <rPh sb="3" eb="4">
      <t>サン</t>
    </rPh>
    <phoneticPr fontId="17"/>
  </si>
  <si>
    <t>4時間以上5時間未満</t>
    <phoneticPr fontId="17"/>
  </si>
  <si>
    <t>時間外</t>
    <rPh sb="0" eb="3">
      <t>ジカンガイ</t>
    </rPh>
    <phoneticPr fontId="17"/>
  </si>
  <si>
    <t>5時間以上6時間未満</t>
    <rPh sb="1" eb="3">
      <t>ジカン</t>
    </rPh>
    <rPh sb="3" eb="5">
      <t>イジョウ</t>
    </rPh>
    <rPh sb="6" eb="8">
      <t>ジカン</t>
    </rPh>
    <rPh sb="8" eb="10">
      <t>ミマン</t>
    </rPh>
    <phoneticPr fontId="12"/>
  </si>
  <si>
    <t>朝食</t>
    <rPh sb="0" eb="2">
      <t>チョウショク</t>
    </rPh>
    <phoneticPr fontId="17"/>
  </si>
  <si>
    <t>6時間以上7時間未満</t>
    <rPh sb="1" eb="3">
      <t>ジカン</t>
    </rPh>
    <rPh sb="3" eb="5">
      <t>イジョウ</t>
    </rPh>
    <rPh sb="6" eb="8">
      <t>ジカン</t>
    </rPh>
    <rPh sb="8" eb="10">
      <t>ミマン</t>
    </rPh>
    <phoneticPr fontId="12"/>
  </si>
  <si>
    <t>保険外昼食</t>
    <rPh sb="0" eb="2">
      <t>ホケン</t>
    </rPh>
    <rPh sb="2" eb="3">
      <t>ガイ</t>
    </rPh>
    <rPh sb="3" eb="5">
      <t>チュウショク</t>
    </rPh>
    <phoneticPr fontId="17"/>
  </si>
  <si>
    <t>7時間以上8時間未満</t>
    <rPh sb="1" eb="3">
      <t>ジカン</t>
    </rPh>
    <rPh sb="3" eb="5">
      <t>イジョウ</t>
    </rPh>
    <rPh sb="6" eb="8">
      <t>ジカン</t>
    </rPh>
    <rPh sb="8" eb="10">
      <t>ミマン</t>
    </rPh>
    <phoneticPr fontId="12"/>
  </si>
  <si>
    <t>夕食</t>
    <rPh sb="0" eb="2">
      <t>ユウショク</t>
    </rPh>
    <phoneticPr fontId="17"/>
  </si>
  <si>
    <t>8時間以上9時間未満</t>
    <rPh sb="1" eb="3">
      <t>ジカン</t>
    </rPh>
    <rPh sb="3" eb="5">
      <t>イジョウ</t>
    </rPh>
    <rPh sb="6" eb="8">
      <t>ジカン</t>
    </rPh>
    <rPh sb="8" eb="10">
      <t>ミマン</t>
    </rPh>
    <phoneticPr fontId="12"/>
  </si>
  <si>
    <t>加算体制</t>
    <rPh sb="0" eb="2">
      <t>カサン</t>
    </rPh>
    <rPh sb="2" eb="4">
      <t>タイセイ</t>
    </rPh>
    <phoneticPr fontId="15"/>
  </si>
  <si>
    <t>単位数</t>
    <rPh sb="0" eb="3">
      <t>タンイスウ</t>
    </rPh>
    <phoneticPr fontId="15"/>
  </si>
  <si>
    <t>利用料</t>
    <rPh sb="0" eb="3">
      <t>リヨウリョウ</t>
    </rPh>
    <phoneticPr fontId="15"/>
  </si>
  <si>
    <t>付き添い</t>
    <rPh sb="0" eb="1">
      <t>ツ</t>
    </rPh>
    <rPh sb="2" eb="3">
      <t>ソ</t>
    </rPh>
    <phoneticPr fontId="17"/>
  </si>
  <si>
    <t>入浴介助加算</t>
  </si>
  <si>
    <t>若年性認知症利用者受入加算</t>
  </si>
  <si>
    <t>送迎減算</t>
    <rPh sb="0" eb="2">
      <t>ソウゲイ</t>
    </rPh>
    <rPh sb="2" eb="4">
      <t>ゲンサン</t>
    </rPh>
    <phoneticPr fontId="17"/>
  </si>
  <si>
    <t>ここで個別機能訓練加算を取得しているか判定（生活機能向上連携加算が200単位なのか100単位なのかを算出）</t>
    <rPh sb="3" eb="11">
      <t>コベツキノウクンレンカサン</t>
    </rPh>
    <rPh sb="12" eb="14">
      <t>シュトク</t>
    </rPh>
    <rPh sb="19" eb="21">
      <t>ハンテイ</t>
    </rPh>
    <rPh sb="36" eb="38">
      <t>タンイ</t>
    </rPh>
    <rPh sb="44" eb="46">
      <t>タンイ</t>
    </rPh>
    <rPh sb="50" eb="52">
      <t>サンシュツ</t>
    </rPh>
    <phoneticPr fontId="17"/>
  </si>
  <si>
    <t>↓</t>
    <phoneticPr fontId="17"/>
  </si>
  <si>
    <t>（Ⅰ）</t>
    <phoneticPr fontId="17"/>
  </si>
  <si>
    <t>機能訓練指導員が個別機能訓練計画に基づき、計画的に行った個別機能訓練について算定することができます。
利用者が選択した項目ごとにグループに分かれて活動することで、心身の状況に応じた機能訓練が適切に提供されることが要件となります。</t>
    <phoneticPr fontId="17"/>
  </si>
  <si>
    <t>サービス提供体制強化加算（Ⅰ）イ</t>
  </si>
  <si>
    <t>サービス提供体制強化加算（Ⅰ）ロ</t>
  </si>
  <si>
    <t>サービス提供体制強化加算（Ⅱ）</t>
  </si>
  <si>
    <t>ＡＤＬ維持等加算（Ⅰ）</t>
  </si>
  <si>
    <t>ＡＤＬ維持等加算（Ⅱ）</t>
  </si>
  <si>
    <t>（Ⅱ）</t>
    <phoneticPr fontId="17"/>
  </si>
  <si>
    <t>機能訓練指導員が個別機能訓練計画に基づき、計画的に行った個別機能訓練について算定することができます。
ただし、機能訓練指導員から直接訓練の提供を受けた利用者のみが当該加算の算定対象となります。</t>
    <phoneticPr fontId="17"/>
  </si>
  <si>
    <t>（Ⅰ）イ</t>
    <phoneticPr fontId="17"/>
  </si>
  <si>
    <t>介護職員の総数のうち、介護福祉士の占める割合が１００分の５０以上である場合に加算の対象となります。</t>
    <rPh sb="35" eb="37">
      <t>バアイ</t>
    </rPh>
    <rPh sb="38" eb="40">
      <t>カサン</t>
    </rPh>
    <rPh sb="41" eb="43">
      <t>タイショウ</t>
    </rPh>
    <phoneticPr fontId="17"/>
  </si>
  <si>
    <t>（Ⅰ）ロ</t>
    <phoneticPr fontId="17"/>
  </si>
  <si>
    <t>介護職員の総数のうち、介護福祉士の占める割合が１００分の４０以上である場合に加算の対象となります。</t>
    <phoneticPr fontId="17"/>
  </si>
  <si>
    <t>職員の総数のうち、勤続年数３年以上の者の占める割合が１００分の３０以上である場合に加算の対象となります。</t>
    <rPh sb="9" eb="11">
      <t>キンゾク</t>
    </rPh>
    <rPh sb="11" eb="13">
      <t>ネンスウ</t>
    </rPh>
    <rPh sb="14" eb="17">
      <t>ネンイジョウ</t>
    </rPh>
    <rPh sb="18" eb="19">
      <t>モノ</t>
    </rPh>
    <phoneticPr fontId="17"/>
  </si>
  <si>
    <t>生活保護</t>
    <rPh sb="0" eb="2">
      <t>セイカツ</t>
    </rPh>
    <rPh sb="2" eb="4">
      <t>ホゴ</t>
    </rPh>
    <phoneticPr fontId="12"/>
  </si>
  <si>
    <t>1割負担</t>
    <rPh sb="1" eb="2">
      <t>ワリ</t>
    </rPh>
    <rPh sb="2" eb="4">
      <t>フタン</t>
    </rPh>
    <phoneticPr fontId="12"/>
  </si>
  <si>
    <t>2割負担</t>
    <rPh sb="1" eb="2">
      <t>ワリ</t>
    </rPh>
    <rPh sb="2" eb="4">
      <t>フタン</t>
    </rPh>
    <phoneticPr fontId="12"/>
  </si>
  <si>
    <t>処遇改善加算Ⅰ</t>
    <rPh sb="0" eb="2">
      <t>ショグウ</t>
    </rPh>
    <rPh sb="2" eb="4">
      <t>カイゼン</t>
    </rPh>
    <rPh sb="4" eb="6">
      <t>カサン</t>
    </rPh>
    <phoneticPr fontId="12"/>
  </si>
  <si>
    <t>昼食</t>
    <rPh sb="0" eb="2">
      <t>チュウショク</t>
    </rPh>
    <phoneticPr fontId="17"/>
  </si>
  <si>
    <t>保険外1・2</t>
    <rPh sb="0" eb="2">
      <t>ホケン</t>
    </rPh>
    <rPh sb="2" eb="3">
      <t>ガイ</t>
    </rPh>
    <phoneticPr fontId="17"/>
  </si>
  <si>
    <t>保険外3・4・5</t>
    <rPh sb="0" eb="2">
      <t>ホケン</t>
    </rPh>
    <rPh sb="2" eb="3">
      <t>ガイ</t>
    </rPh>
    <phoneticPr fontId="17"/>
  </si>
  <si>
    <t>処遇改善加算Ⅱ</t>
    <rPh sb="0" eb="2">
      <t>ショグウ</t>
    </rPh>
    <rPh sb="2" eb="4">
      <t>カイゼン</t>
    </rPh>
    <rPh sb="4" eb="6">
      <t>カサン</t>
    </rPh>
    <phoneticPr fontId="12"/>
  </si>
  <si>
    <t>1,200</t>
    <phoneticPr fontId="17"/>
  </si>
  <si>
    <t>2,750</t>
    <phoneticPr fontId="17"/>
  </si>
  <si>
    <t>3,250</t>
    <phoneticPr fontId="17"/>
  </si>
  <si>
    <t>1,300</t>
    <phoneticPr fontId="17"/>
  </si>
  <si>
    <t>1,250</t>
    <phoneticPr fontId="17"/>
  </si>
  <si>
    <t>2,850</t>
    <phoneticPr fontId="17"/>
  </si>
  <si>
    <t>3,350</t>
    <phoneticPr fontId="17"/>
  </si>
  <si>
    <t>1,350</t>
    <phoneticPr fontId="17"/>
  </si>
  <si>
    <t>2,900</t>
    <phoneticPr fontId="17"/>
  </si>
  <si>
    <t>3,400</t>
    <phoneticPr fontId="17"/>
  </si>
  <si>
    <t>1,400</t>
    <phoneticPr fontId="17"/>
  </si>
  <si>
    <t>処遇改善加算Ⅲ</t>
    <rPh sb="0" eb="2">
      <t>ショグウ</t>
    </rPh>
    <rPh sb="2" eb="4">
      <t>カイゼン</t>
    </rPh>
    <rPh sb="4" eb="6">
      <t>カサン</t>
    </rPh>
    <phoneticPr fontId="12"/>
  </si>
  <si>
    <t>1,150</t>
    <phoneticPr fontId="17"/>
  </si>
  <si>
    <t>2,700</t>
    <phoneticPr fontId="17"/>
  </si>
  <si>
    <t>3,200</t>
    <phoneticPr fontId="17"/>
  </si>
  <si>
    <t>2,800</t>
    <phoneticPr fontId="17"/>
  </si>
  <si>
    <t>3,300</t>
    <phoneticPr fontId="17"/>
  </si>
  <si>
    <t>1,100</t>
    <phoneticPr fontId="17"/>
  </si>
  <si>
    <t>2,650</t>
    <phoneticPr fontId="17"/>
  </si>
  <si>
    <t>3,150</t>
    <phoneticPr fontId="17"/>
  </si>
  <si>
    <t>中山間地域等に居住する者へのサービス提供加算</t>
    <phoneticPr fontId="17"/>
  </si>
  <si>
    <t>基本単位数×５／１００</t>
    <rPh sb="0" eb="2">
      <t>キホン</t>
    </rPh>
    <rPh sb="2" eb="5">
      <t>タンイスウ</t>
    </rPh>
    <phoneticPr fontId="17"/>
  </si>
  <si>
    <t>1,050</t>
    <phoneticPr fontId="17"/>
  </si>
  <si>
    <t>2,600</t>
    <phoneticPr fontId="17"/>
  </si>
  <si>
    <t>3,100</t>
    <phoneticPr fontId="17"/>
  </si>
  <si>
    <t>1,000</t>
    <phoneticPr fontId="17"/>
  </si>
  <si>
    <t>2,550</t>
    <phoneticPr fontId="17"/>
  </si>
  <si>
    <t>3,050</t>
    <phoneticPr fontId="17"/>
  </si>
  <si>
    <t>2,500</t>
    <phoneticPr fontId="17"/>
  </si>
  <si>
    <t>3,000</t>
    <phoneticPr fontId="17"/>
  </si>
  <si>
    <t>意見箱設置場所</t>
    <rPh sb="0" eb="2">
      <t>イケン</t>
    </rPh>
    <rPh sb="2" eb="3">
      <t>バコ</t>
    </rPh>
    <rPh sb="3" eb="5">
      <t>セッチ</t>
    </rPh>
    <rPh sb="5" eb="7">
      <t>バショ</t>
    </rPh>
    <phoneticPr fontId="17"/>
  </si>
  <si>
    <t>玄関</t>
    <rPh sb="0" eb="2">
      <t>ゲンカン</t>
    </rPh>
    <phoneticPr fontId="17"/>
  </si>
  <si>
    <t>原則、玄関としてください</t>
    <rPh sb="0" eb="2">
      <t>ゲンソク</t>
    </rPh>
    <rPh sb="3" eb="5">
      <t>ゲンカン</t>
    </rPh>
    <phoneticPr fontId="17"/>
  </si>
  <si>
    <t>D75のプルダウン用リスト</t>
    <rPh sb="9" eb="10">
      <t>ヨウ</t>
    </rPh>
    <phoneticPr fontId="17"/>
  </si>
  <si>
    <t>2,400</t>
    <phoneticPr fontId="17"/>
  </si>
  <si>
    <t>利用料等のお支払方法</t>
    <phoneticPr fontId="17"/>
  </si>
  <si>
    <t>口座振替・振込・現金支払</t>
  </si>
  <si>
    <t>※利用者が選択できるよう設定すること</t>
    <rPh sb="5" eb="7">
      <t>センタク</t>
    </rPh>
    <rPh sb="12" eb="14">
      <t>セッテイ</t>
    </rPh>
    <phoneticPr fontId="17"/>
  </si>
  <si>
    <t>口座振替</t>
    <phoneticPr fontId="17"/>
  </si>
  <si>
    <t>振込</t>
    <rPh sb="0" eb="2">
      <t>フリコミ</t>
    </rPh>
    <phoneticPr fontId="17"/>
  </si>
  <si>
    <t>おむつ</t>
  </si>
  <si>
    <t>パット</t>
    <phoneticPr fontId="17"/>
  </si>
  <si>
    <t>住所</t>
    <rPh sb="0" eb="2">
      <t>ジュウショ</t>
    </rPh>
    <phoneticPr fontId="17"/>
  </si>
  <si>
    <t>現金支払</t>
    <rPh sb="0" eb="2">
      <t>ゲンキン</t>
    </rPh>
    <rPh sb="2" eb="4">
      <t>シハライ</t>
    </rPh>
    <phoneticPr fontId="17"/>
  </si>
  <si>
    <t>電話</t>
    <rPh sb="0" eb="2">
      <t>デンワ</t>
    </rPh>
    <phoneticPr fontId="17"/>
  </si>
  <si>
    <t>相談窓口受付時間</t>
    <rPh sb="0" eb="2">
      <t>ソウダン</t>
    </rPh>
    <rPh sb="2" eb="4">
      <t>マドグチ</t>
    </rPh>
    <rPh sb="4" eb="6">
      <t>ウケツケ</t>
    </rPh>
    <rPh sb="6" eb="8">
      <t>ジカン</t>
    </rPh>
    <phoneticPr fontId="17"/>
  </si>
  <si>
    <t>口座振替・振込</t>
    <rPh sb="5" eb="7">
      <t>フリコミ</t>
    </rPh>
    <phoneticPr fontId="17"/>
  </si>
  <si>
    <t>口座振替・現金支払</t>
    <rPh sb="5" eb="7">
      <t>ゲンキン</t>
    </rPh>
    <rPh sb="7" eb="9">
      <t>シハライ</t>
    </rPh>
    <phoneticPr fontId="17"/>
  </si>
  <si>
    <t>口座振替・振込・現金支払</t>
    <rPh sb="5" eb="7">
      <t>フリコミ</t>
    </rPh>
    <rPh sb="8" eb="10">
      <t>ゲンキン</t>
    </rPh>
    <rPh sb="10" eb="12">
      <t>シハライ</t>
    </rPh>
    <phoneticPr fontId="17"/>
  </si>
  <si>
    <t>国保連相談窓口</t>
    <rPh sb="0" eb="3">
      <t>コクホレン</t>
    </rPh>
    <rPh sb="3" eb="5">
      <t>ソウダン</t>
    </rPh>
    <rPh sb="5" eb="7">
      <t>マドグチ</t>
    </rPh>
    <phoneticPr fontId="17"/>
  </si>
  <si>
    <t>設備名称</t>
  </si>
  <si>
    <t>個数等</t>
  </si>
  <si>
    <t>スプリンクラー</t>
  </si>
  <si>
    <t>防火扉・ｼｬｯﾀｰ</t>
    <phoneticPr fontId="12"/>
  </si>
  <si>
    <t>避難階段</t>
  </si>
  <si>
    <t>屋内消火器</t>
  </si>
  <si>
    <t>自動火災報知機</t>
  </si>
  <si>
    <t>ガス漏れ探知機</t>
  </si>
  <si>
    <t>誘導灯</t>
  </si>
  <si>
    <t>加入損害保険会社名</t>
    <phoneticPr fontId="17"/>
  </si>
  <si>
    <t>加入損害保険名</t>
    <phoneticPr fontId="17"/>
  </si>
  <si>
    <t>附則</t>
    <rPh sb="0" eb="2">
      <t>フソク</t>
    </rPh>
    <phoneticPr fontId="17"/>
  </si>
  <si>
    <t>開設日（施行日）</t>
    <rPh sb="0" eb="3">
      <t>カイセツビ</t>
    </rPh>
    <rPh sb="4" eb="6">
      <t>セコウ</t>
    </rPh>
    <rPh sb="6" eb="7">
      <t>ビ</t>
    </rPh>
    <phoneticPr fontId="17"/>
  </si>
  <si>
    <t>※過去に運営規程を変更した日付を履歴として記載してください。（下が新しい日付になる）</t>
    <rPh sb="1" eb="3">
      <t>カコ</t>
    </rPh>
    <rPh sb="4" eb="6">
      <t>ウンエイ</t>
    </rPh>
    <rPh sb="6" eb="8">
      <t>キテイ</t>
    </rPh>
    <rPh sb="9" eb="11">
      <t>ヘンコウ</t>
    </rPh>
    <rPh sb="13" eb="15">
      <t>ヒヅケ</t>
    </rPh>
    <rPh sb="16" eb="18">
      <t>リレキ</t>
    </rPh>
    <rPh sb="21" eb="23">
      <t>キサイ</t>
    </rPh>
    <rPh sb="31" eb="32">
      <t>シタ</t>
    </rPh>
    <rPh sb="33" eb="34">
      <t>アタラ</t>
    </rPh>
    <rPh sb="36" eb="38">
      <t>ヒヅケ</t>
    </rPh>
    <phoneticPr fontId="17"/>
  </si>
  <si>
    <t>改訂日</t>
    <rPh sb="0" eb="2">
      <t>カイテイ</t>
    </rPh>
    <rPh sb="2" eb="3">
      <t>ビ</t>
    </rPh>
    <phoneticPr fontId="17"/>
  </si>
  <si>
    <t>★事前に把握されている場合ご利用ください★</t>
    <rPh sb="1" eb="3">
      <t>ジゼン</t>
    </rPh>
    <rPh sb="4" eb="6">
      <t>ハアク</t>
    </rPh>
    <rPh sb="11" eb="13">
      <t>バアイ</t>
    </rPh>
    <rPh sb="14" eb="16">
      <t>リヨウ</t>
    </rPh>
    <phoneticPr fontId="17"/>
  </si>
  <si>
    <t>利用者氏名</t>
    <rPh sb="3" eb="5">
      <t>シメイ</t>
    </rPh>
    <phoneticPr fontId="17"/>
  </si>
  <si>
    <t>利用者住所</t>
    <rPh sb="3" eb="5">
      <t>ジュウショ</t>
    </rPh>
    <phoneticPr fontId="17"/>
  </si>
  <si>
    <t>長い場合は必ず２段に分けてください</t>
    <rPh sb="0" eb="1">
      <t>ナガ</t>
    </rPh>
    <rPh sb="2" eb="4">
      <t>バアイ</t>
    </rPh>
    <rPh sb="5" eb="6">
      <t>カナラ</t>
    </rPh>
    <rPh sb="8" eb="9">
      <t>ダン</t>
    </rPh>
    <rPh sb="10" eb="11">
      <t>ワ</t>
    </rPh>
    <phoneticPr fontId="17"/>
  </si>
  <si>
    <t>代理人住所</t>
    <rPh sb="0" eb="3">
      <t>ダイリニン</t>
    </rPh>
    <rPh sb="3" eb="5">
      <t>ジュウショ</t>
    </rPh>
    <phoneticPr fontId="17"/>
  </si>
  <si>
    <t>身元引受人住所</t>
    <rPh sb="0" eb="2">
      <t>ミモト</t>
    </rPh>
    <rPh sb="2" eb="4">
      <t>ヒキウケ</t>
    </rPh>
    <rPh sb="4" eb="5">
      <t>ニン</t>
    </rPh>
    <rPh sb="5" eb="7">
      <t>ジュウショ</t>
    </rPh>
    <phoneticPr fontId="17"/>
  </si>
  <si>
    <t>重 要 事 項 説 明 書</t>
    <phoneticPr fontId="17"/>
  </si>
  <si>
    <t>（通常規模型通所介護）</t>
    <rPh sb="1" eb="3">
      <t>ツウジョウ</t>
    </rPh>
    <rPh sb="3" eb="5">
      <t>キボ</t>
    </rPh>
    <rPh sb="5" eb="6">
      <t>ガタ</t>
    </rPh>
    <phoneticPr fontId="17"/>
  </si>
  <si>
    <t>通所介護重要事項説明書</t>
    <phoneticPr fontId="17"/>
  </si>
  <si>
    <t>１　通所介護事業者（法人）の概要</t>
  </si>
  <si>
    <t>名称・法人種別</t>
    <rPh sb="0" eb="2">
      <t>メイショウ</t>
    </rPh>
    <rPh sb="3" eb="5">
      <t>ホウジン</t>
    </rPh>
    <rPh sb="5" eb="7">
      <t>シュベツ</t>
    </rPh>
    <phoneticPr fontId="17"/>
  </si>
  <si>
    <t>・営利法人</t>
    <rPh sb="1" eb="3">
      <t>エイリ</t>
    </rPh>
    <rPh sb="3" eb="5">
      <t>ホウジン</t>
    </rPh>
    <phoneticPr fontId="17"/>
  </si>
  <si>
    <t>代 表 者 名</t>
    <rPh sb="0" eb="1">
      <t>ダイ</t>
    </rPh>
    <rPh sb="2" eb="3">
      <t>ヒョウ</t>
    </rPh>
    <rPh sb="4" eb="5">
      <t>シャ</t>
    </rPh>
    <rPh sb="6" eb="7">
      <t>メイ</t>
    </rPh>
    <phoneticPr fontId="17"/>
  </si>
  <si>
    <t>所在地・連絡先</t>
    <rPh sb="0" eb="3">
      <t>ショザイチ</t>
    </rPh>
    <rPh sb="4" eb="7">
      <t>レンラクサキ</t>
    </rPh>
    <phoneticPr fontId="17"/>
  </si>
  <si>
    <t>（住  所）</t>
    <rPh sb="1" eb="2">
      <t>ジュウ</t>
    </rPh>
    <rPh sb="4" eb="5">
      <t>ショ</t>
    </rPh>
    <phoneticPr fontId="17"/>
  </si>
  <si>
    <t>（電  話）</t>
    <rPh sb="1" eb="2">
      <t>デン</t>
    </rPh>
    <rPh sb="4" eb="5">
      <t>ハナシ</t>
    </rPh>
    <phoneticPr fontId="17"/>
  </si>
  <si>
    <t>（ＦＡＸ）</t>
    <phoneticPr fontId="17"/>
  </si>
  <si>
    <t>２　事業所の概要</t>
    <phoneticPr fontId="17"/>
  </si>
  <si>
    <t>　（１）　</t>
    <phoneticPr fontId="17"/>
  </si>
  <si>
    <t>事業所名称及び事業所番号</t>
    <phoneticPr fontId="17"/>
  </si>
  <si>
    <t>管理者の氏名</t>
    <rPh sb="0" eb="2">
      <t>カンリ</t>
    </rPh>
    <rPh sb="2" eb="3">
      <t>シャ</t>
    </rPh>
    <rPh sb="4" eb="6">
      <t>シメイ</t>
    </rPh>
    <phoneticPr fontId="17"/>
  </si>
  <si>
    <t>利用定員</t>
    <rPh sb="0" eb="2">
      <t>リヨウ</t>
    </rPh>
    <rPh sb="2" eb="4">
      <t>テイイン</t>
    </rPh>
    <phoneticPr fontId="17"/>
  </si>
  <si>
    <t>通 常 規 模 型 通 所 介 護（</t>
    <rPh sb="0" eb="1">
      <t>ツウ</t>
    </rPh>
    <rPh sb="2" eb="3">
      <t>ツネ</t>
    </rPh>
    <rPh sb="4" eb="5">
      <t>タダシ</t>
    </rPh>
    <rPh sb="6" eb="7">
      <t>モ</t>
    </rPh>
    <rPh sb="8" eb="9">
      <t>ガタ</t>
    </rPh>
    <rPh sb="10" eb="11">
      <t>ツウ</t>
    </rPh>
    <rPh sb="12" eb="13">
      <t>ショ</t>
    </rPh>
    <rPh sb="14" eb="15">
      <t>カイ</t>
    </rPh>
    <rPh sb="16" eb="17">
      <t>マモル</t>
    </rPh>
    <phoneticPr fontId="17"/>
  </si>
  <si>
    <t>名　）</t>
    <rPh sb="0" eb="1">
      <t>メイ</t>
    </rPh>
    <phoneticPr fontId="17"/>
  </si>
  <si>
    <t>　（２）　</t>
    <phoneticPr fontId="17"/>
  </si>
  <si>
    <t>事業所の職員体制</t>
    <phoneticPr fontId="17"/>
  </si>
  <si>
    <t>区分</t>
    <rPh sb="0" eb="2">
      <t>クブン</t>
    </rPh>
    <phoneticPr fontId="17"/>
  </si>
  <si>
    <t>職務の内容</t>
    <rPh sb="0" eb="2">
      <t>ショクム</t>
    </rPh>
    <rPh sb="3" eb="5">
      <t>ナイヨウ</t>
    </rPh>
    <phoneticPr fontId="17"/>
  </si>
  <si>
    <t>常勤専従</t>
    <rPh sb="0" eb="2">
      <t>ジョウキン</t>
    </rPh>
    <rPh sb="2" eb="4">
      <t>センジュウ</t>
    </rPh>
    <phoneticPr fontId="17"/>
  </si>
  <si>
    <t>常勤兼務</t>
    <rPh sb="0" eb="2">
      <t>ジョウキン</t>
    </rPh>
    <rPh sb="2" eb="4">
      <t>ケンム</t>
    </rPh>
    <phoneticPr fontId="17"/>
  </si>
  <si>
    <t>非常勤専従</t>
    <rPh sb="0" eb="1">
      <t>ヒ</t>
    </rPh>
    <rPh sb="1" eb="3">
      <t>ジョウキン</t>
    </rPh>
    <rPh sb="3" eb="5">
      <t>センジュウ</t>
    </rPh>
    <phoneticPr fontId="17"/>
  </si>
  <si>
    <t>非常勤兼務</t>
    <rPh sb="0" eb="1">
      <t>ヒ</t>
    </rPh>
    <rPh sb="1" eb="3">
      <t>ジョウキン</t>
    </rPh>
    <rPh sb="3" eb="5">
      <t>ケンム</t>
    </rPh>
    <phoneticPr fontId="17"/>
  </si>
  <si>
    <t>管　理　者</t>
    <phoneticPr fontId="17"/>
  </si>
  <si>
    <t>事業所の管理</t>
    <rPh sb="0" eb="2">
      <t>ジギョウ</t>
    </rPh>
    <rPh sb="2" eb="3">
      <t>ショ</t>
    </rPh>
    <rPh sb="4" eb="6">
      <t>カンリ</t>
    </rPh>
    <phoneticPr fontId="17"/>
  </si>
  <si>
    <t>相談・生活指導等</t>
    <rPh sb="0" eb="2">
      <t>ソウダン</t>
    </rPh>
    <rPh sb="3" eb="5">
      <t>セイカツ</t>
    </rPh>
    <rPh sb="5" eb="7">
      <t>シドウ</t>
    </rPh>
    <rPh sb="7" eb="8">
      <t>トウ</t>
    </rPh>
    <phoneticPr fontId="17"/>
  </si>
  <si>
    <t>介 護 職 員</t>
    <phoneticPr fontId="17"/>
  </si>
  <si>
    <t>介護全般</t>
    <rPh sb="0" eb="2">
      <t>カイゴ</t>
    </rPh>
    <rPh sb="2" eb="4">
      <t>ゼンパン</t>
    </rPh>
    <phoneticPr fontId="17"/>
  </si>
  <si>
    <t>機能回復訓練等</t>
    <rPh sb="0" eb="2">
      <t>キノウ</t>
    </rPh>
    <rPh sb="2" eb="4">
      <t>カイフク</t>
    </rPh>
    <rPh sb="4" eb="6">
      <t>クンレン</t>
    </rPh>
    <rPh sb="6" eb="7">
      <t>トウ</t>
    </rPh>
    <phoneticPr fontId="17"/>
  </si>
  <si>
    <t>健康管理、その他介護業務等</t>
    <rPh sb="0" eb="2">
      <t>ケンコウ</t>
    </rPh>
    <rPh sb="2" eb="4">
      <t>カンリ</t>
    </rPh>
    <rPh sb="7" eb="8">
      <t>タ</t>
    </rPh>
    <rPh sb="8" eb="10">
      <t>カイゴ</t>
    </rPh>
    <rPh sb="10" eb="12">
      <t>ギョウム</t>
    </rPh>
    <rPh sb="12" eb="13">
      <t>トウ</t>
    </rPh>
    <phoneticPr fontId="17"/>
  </si>
  <si>
    <t>　（３）　</t>
    <phoneticPr fontId="17"/>
  </si>
  <si>
    <t>職員の勤務体制</t>
    <phoneticPr fontId="17"/>
  </si>
  <si>
    <t>従業者の職種</t>
    <rPh sb="0" eb="3">
      <t>ジュウギョウシャ</t>
    </rPh>
    <rPh sb="4" eb="6">
      <t>ショクシュ</t>
    </rPh>
    <phoneticPr fontId="17"/>
  </si>
  <si>
    <t>勤　務　体　制</t>
    <rPh sb="0" eb="1">
      <t>キン</t>
    </rPh>
    <rPh sb="2" eb="3">
      <t>ツトム</t>
    </rPh>
    <rPh sb="4" eb="5">
      <t>カラダ</t>
    </rPh>
    <rPh sb="6" eb="7">
      <t>セイ</t>
    </rPh>
    <phoneticPr fontId="17"/>
  </si>
  <si>
    <t>休　暇</t>
    <rPh sb="0" eb="1">
      <t>キュウ</t>
    </rPh>
    <rPh sb="2" eb="3">
      <t>ヒマ</t>
    </rPh>
    <phoneticPr fontId="17"/>
  </si>
  <si>
    <t>サービス提供時間内に常勤で勤務</t>
    <rPh sb="4" eb="6">
      <t>テイキョウ</t>
    </rPh>
    <rPh sb="6" eb="8">
      <t>ジカン</t>
    </rPh>
    <rPh sb="8" eb="9">
      <t>ナイ</t>
    </rPh>
    <rPh sb="10" eb="12">
      <t>ジョウキン</t>
    </rPh>
    <rPh sb="13" eb="15">
      <t>キンム</t>
    </rPh>
    <phoneticPr fontId="17"/>
  </si>
  <si>
    <t>ローテーション
による</t>
    <phoneticPr fontId="17"/>
  </si>
  <si>
    <t>サービス提供時間と同時間数勤務</t>
    <rPh sb="4" eb="6">
      <t>テイキョウ</t>
    </rPh>
    <rPh sb="6" eb="8">
      <t>ジカン</t>
    </rPh>
    <rPh sb="9" eb="10">
      <t>ドウ</t>
    </rPh>
    <rPh sb="10" eb="12">
      <t>ジカン</t>
    </rPh>
    <rPh sb="12" eb="13">
      <t>スウ</t>
    </rPh>
    <rPh sb="13" eb="15">
      <t>キンム</t>
    </rPh>
    <phoneticPr fontId="17"/>
  </si>
  <si>
    <t>2014.10.23　「常勤で」削除</t>
    <rPh sb="12" eb="14">
      <t>ジョウキン</t>
    </rPh>
    <rPh sb="16" eb="18">
      <t>サクジョ</t>
    </rPh>
    <phoneticPr fontId="17"/>
  </si>
  <si>
    <t>サービス提供時間内に勤務</t>
    <rPh sb="4" eb="6">
      <t>テイキョウ</t>
    </rPh>
    <rPh sb="6" eb="8">
      <t>ジカン</t>
    </rPh>
    <rPh sb="8" eb="9">
      <t>ナイ</t>
    </rPh>
    <rPh sb="10" eb="12">
      <t>キンム</t>
    </rPh>
    <phoneticPr fontId="17"/>
  </si>
  <si>
    <t>　（４）　</t>
    <phoneticPr fontId="17"/>
  </si>
  <si>
    <t>事業の実施地域</t>
    <phoneticPr fontId="17"/>
  </si>
  <si>
    <t>事業の実施地域</t>
    <rPh sb="0" eb="2">
      <t>ジギョウ</t>
    </rPh>
    <rPh sb="3" eb="5">
      <t>ジッシ</t>
    </rPh>
    <rPh sb="5" eb="7">
      <t>チイキ</t>
    </rPh>
    <phoneticPr fontId="17"/>
  </si>
  <si>
    <t>　（５）　</t>
    <phoneticPr fontId="17"/>
  </si>
  <si>
    <t>営業日</t>
    <phoneticPr fontId="17"/>
  </si>
  <si>
    <t>営　業　日</t>
    <rPh sb="0" eb="1">
      <t>エイ</t>
    </rPh>
    <rPh sb="2" eb="3">
      <t>ギョウ</t>
    </rPh>
    <rPh sb="4" eb="5">
      <t>ニチ</t>
    </rPh>
    <phoneticPr fontId="17"/>
  </si>
  <si>
    <t>営 業 時 間</t>
    <rPh sb="0" eb="1">
      <t>エイ</t>
    </rPh>
    <rPh sb="2" eb="3">
      <t>ギョウ</t>
    </rPh>
    <rPh sb="4" eb="5">
      <t>ジ</t>
    </rPh>
    <rPh sb="6" eb="7">
      <t>アイダ</t>
    </rPh>
    <phoneticPr fontId="17"/>
  </si>
  <si>
    <t>３　サービスの内容及び費用</t>
    <phoneticPr fontId="17"/>
  </si>
  <si>
    <t>介護保険給付対象サービス</t>
    <phoneticPr fontId="17"/>
  </si>
  <si>
    <t>ア　サービス内容</t>
    <phoneticPr fontId="17"/>
  </si>
  <si>
    <t>種　類</t>
    <rPh sb="0" eb="1">
      <t>シュ</t>
    </rPh>
    <rPh sb="2" eb="3">
      <t>ルイ</t>
    </rPh>
    <phoneticPr fontId="17"/>
  </si>
  <si>
    <t>内　　　　　容</t>
    <rPh sb="0" eb="1">
      <t>ウチ</t>
    </rPh>
    <rPh sb="6" eb="7">
      <t>カタチ</t>
    </rPh>
    <phoneticPr fontId="17"/>
  </si>
  <si>
    <t>延長加算算定時</t>
    <rPh sb="0" eb="2">
      <t>エンチョウ</t>
    </rPh>
    <rPh sb="2" eb="4">
      <t>カサン</t>
    </rPh>
    <rPh sb="4" eb="6">
      <t>サンテイ</t>
    </rPh>
    <rPh sb="6" eb="7">
      <t>ジ</t>
    </rPh>
    <phoneticPr fontId="17"/>
  </si>
  <si>
    <t>食事（昼食及び延長加算算定時の朝食、夕食）を提供します。</t>
    <phoneticPr fontId="17"/>
  </si>
  <si>
    <t>食事</t>
    <rPh sb="0" eb="2">
      <t>ショクジ</t>
    </rPh>
    <phoneticPr fontId="17"/>
  </si>
  <si>
    <t>延長加算未算定時</t>
    <rPh sb="0" eb="2">
      <t>エンチョウ</t>
    </rPh>
    <rPh sb="2" eb="4">
      <t>カサン</t>
    </rPh>
    <rPh sb="4" eb="5">
      <t>ミ</t>
    </rPh>
    <rPh sb="5" eb="7">
      <t>サンテイ</t>
    </rPh>
    <rPh sb="7" eb="8">
      <t>ジ</t>
    </rPh>
    <phoneticPr fontId="17"/>
  </si>
  <si>
    <t>食事（昼食）を提供します。</t>
    <phoneticPr fontId="17"/>
  </si>
  <si>
    <t>入浴</t>
    <rPh sb="0" eb="2">
      <t>ニュウヨク</t>
    </rPh>
    <phoneticPr fontId="17"/>
  </si>
  <si>
    <t>個人浴槽です。</t>
    <phoneticPr fontId="17"/>
  </si>
  <si>
    <t>介助が必要な方には職員が個別対応します。</t>
    <rPh sb="12" eb="14">
      <t>コベツ</t>
    </rPh>
    <phoneticPr fontId="17"/>
  </si>
  <si>
    <t>排泄</t>
    <rPh sb="0" eb="2">
      <t>ハイセツ</t>
    </rPh>
    <phoneticPr fontId="17"/>
  </si>
  <si>
    <t>利用者の状況に応じて適切な排泄介助を行うと共に、排泄の自立についても適切な援助を行います。</t>
    <phoneticPr fontId="17"/>
  </si>
  <si>
    <t>機能訓練</t>
    <rPh sb="0" eb="2">
      <t>キノウ</t>
    </rPh>
    <rPh sb="2" eb="4">
      <t>クンレン</t>
    </rPh>
    <phoneticPr fontId="17"/>
  </si>
  <si>
    <t>利用者の状況に適した機能訓練を行い、身体機能の低下を防止するよう努めます。</t>
    <phoneticPr fontId="17"/>
  </si>
  <si>
    <t>生活指導</t>
    <rPh sb="0" eb="2">
      <t>セイカツ</t>
    </rPh>
    <rPh sb="2" eb="4">
      <t>シドウ</t>
    </rPh>
    <phoneticPr fontId="17"/>
  </si>
  <si>
    <t>利用者の生活面での指導・援助を行います。</t>
    <phoneticPr fontId="17"/>
  </si>
  <si>
    <t>各種レクリエーションや健康体操等を実施します。</t>
    <phoneticPr fontId="17"/>
  </si>
  <si>
    <t>健康チェック</t>
    <rPh sb="0" eb="2">
      <t>ケンコウ</t>
    </rPh>
    <phoneticPr fontId="17"/>
  </si>
  <si>
    <t>血圧測定等利用者の全身状態の把握を行います。</t>
    <phoneticPr fontId="17"/>
  </si>
  <si>
    <t>相談及び援助</t>
    <rPh sb="0" eb="2">
      <t>ソウダン</t>
    </rPh>
    <rPh sb="2" eb="3">
      <t>オヨ</t>
    </rPh>
    <rPh sb="4" eb="6">
      <t>エンジョ</t>
    </rPh>
    <phoneticPr fontId="17"/>
  </si>
  <si>
    <t>利用者及び家族からの各種ご相談について問題解決に向けて援助いたします。</t>
    <phoneticPr fontId="17"/>
  </si>
  <si>
    <t>送迎</t>
    <rPh sb="0" eb="2">
      <t>ソウゲイ</t>
    </rPh>
    <phoneticPr fontId="17"/>
  </si>
  <si>
    <t>自宅から施設内までの送迎を行います。但し、ご希望があれば、利用者家族が行なうことも可能です。</t>
    <phoneticPr fontId="17"/>
  </si>
  <si>
    <t>　（２）　利用料等のお支払方法</t>
    <phoneticPr fontId="17"/>
  </si>
  <si>
    <t>　利用料等のお支払い方法については</t>
    <phoneticPr fontId="17"/>
  </si>
  <si>
    <t>となります。</t>
    <phoneticPr fontId="17"/>
  </si>
  <si>
    <t>　その他のお支払い方法についてはご相談ください。</t>
    <phoneticPr fontId="17"/>
  </si>
  <si>
    <t>４　事業所の特色等</t>
    <phoneticPr fontId="17"/>
  </si>
  <si>
    <t>事業の目的</t>
    <phoneticPr fontId="17"/>
  </si>
  <si>
    <t>笑顔を絶やさず、地域とのかかわりに感謝し、失敗を恐れず、挑む心を忘れず、ともに働く仲間と助け合い、ご利用者・ご家族の人生の一部になる重みを感じ、行動は自信を持って、個々の感情を大切にし、あきらめることなく関わり続ける。
私たちは住み慣れた地域に絆を創造していきます。</t>
    <phoneticPr fontId="17"/>
  </si>
  <si>
    <t>運営方針</t>
    <phoneticPr fontId="17"/>
  </si>
  <si>
    <t>①</t>
    <phoneticPr fontId="17"/>
  </si>
  <si>
    <t>　わたしたちは、ご利用者を尊敬し、その命を守り、責任を持って介護を行ないます。</t>
    <phoneticPr fontId="17"/>
  </si>
  <si>
    <t>②</t>
    <phoneticPr fontId="17"/>
  </si>
  <si>
    <t>　わたしたちは、一人ひとりに「目配り・気配り・心配り」ができる個別ケアに真正面から取り組んでいます。</t>
    <phoneticPr fontId="17"/>
  </si>
  <si>
    <t>③</t>
    <phoneticPr fontId="17"/>
  </si>
  <si>
    <t>　わたしたちは、住み慣れた地域社会の中で、尊厳を保ちながら「自分が自分らしくありのまま」に生活できるようにお手伝いします。</t>
    <phoneticPr fontId="17"/>
  </si>
  <si>
    <t>④</t>
    <phoneticPr fontId="17"/>
  </si>
  <si>
    <t>　わたしたち職員全員が「介護職人」だと自負し、より質と満足度が高いケアを目指して取り組んでいます。</t>
    <phoneticPr fontId="17"/>
  </si>
  <si>
    <t>⑤</t>
    <phoneticPr fontId="17"/>
  </si>
  <si>
    <t>　わたしたちは、「必要な時」に「必要な量」の介護サービスを「必要な地域」で提供し、在宅生活をサポートします。</t>
    <phoneticPr fontId="17"/>
  </si>
  <si>
    <t>⑥</t>
    <phoneticPr fontId="17"/>
  </si>
  <si>
    <t>　わたしたちは、誰もが安心して生活できる地域社会づくりに、草の根から貢献します。</t>
    <phoneticPr fontId="17"/>
  </si>
  <si>
    <t>　（３）</t>
    <phoneticPr fontId="17"/>
  </si>
  <si>
    <t>その他</t>
    <phoneticPr fontId="17"/>
  </si>
  <si>
    <t>事　　項</t>
    <rPh sb="0" eb="1">
      <t>コト</t>
    </rPh>
    <rPh sb="3" eb="4">
      <t>コウ</t>
    </rPh>
    <phoneticPr fontId="17"/>
  </si>
  <si>
    <t>通所介護計画の
作成及び事後評価</t>
    <rPh sb="4" eb="6">
      <t>ケイカク</t>
    </rPh>
    <rPh sb="8" eb="10">
      <t>サクセイ</t>
    </rPh>
    <rPh sb="10" eb="11">
      <t>オヨ</t>
    </rPh>
    <rPh sb="12" eb="14">
      <t>ジゴ</t>
    </rPh>
    <rPh sb="14" eb="16">
      <t>ヒョウカ</t>
    </rPh>
    <phoneticPr fontId="17"/>
  </si>
  <si>
    <t>当事業所の管理者が、利用者の直面している課題等を評価し、利用者の希望を踏まえて、通所介護計画を作成します。
また、サービス提供の目標の達成状況等を評価し、その結果を書面（通所介護モニタリング表）に記載して、利用者に説明の上、交付します。</t>
    <rPh sb="95" eb="96">
      <t>ヒョウ</t>
    </rPh>
    <phoneticPr fontId="17"/>
  </si>
  <si>
    <t>記録の整備及び保管</t>
    <rPh sb="0" eb="2">
      <t>キロク</t>
    </rPh>
    <rPh sb="3" eb="5">
      <t>セイビ</t>
    </rPh>
    <rPh sb="5" eb="6">
      <t>オヨ</t>
    </rPh>
    <rPh sb="7" eb="9">
      <t>ホカン</t>
    </rPh>
    <phoneticPr fontId="17"/>
  </si>
  <si>
    <t>　事業者は、利用者に対する通所介護サービスの実施状況等に関する記録を整備し、その完結の日から５年間保存しなければなりません。</t>
    <rPh sb="1" eb="3">
      <t>ジギョウ</t>
    </rPh>
    <rPh sb="3" eb="4">
      <t>モノ</t>
    </rPh>
    <rPh sb="6" eb="8">
      <t>リヨウ</t>
    </rPh>
    <rPh sb="8" eb="9">
      <t>シャ</t>
    </rPh>
    <phoneticPr fontId="17"/>
  </si>
  <si>
    <t>従業員研修</t>
    <rPh sb="0" eb="3">
      <t>ジュウギョウイン</t>
    </rPh>
    <rPh sb="3" eb="5">
      <t>ケンシュウ</t>
    </rPh>
    <phoneticPr fontId="17"/>
  </si>
  <si>
    <t>採用時研修</t>
    <rPh sb="0" eb="3">
      <t>サイヨウジ</t>
    </rPh>
    <rPh sb="3" eb="5">
      <t>ケンシュウ</t>
    </rPh>
    <phoneticPr fontId="17"/>
  </si>
  <si>
    <t>採用後１ヶ月以内</t>
    <rPh sb="0" eb="3">
      <t>サイヨウゴ</t>
    </rPh>
    <rPh sb="5" eb="6">
      <t>ゲツ</t>
    </rPh>
    <rPh sb="6" eb="8">
      <t>イナイ</t>
    </rPh>
    <phoneticPr fontId="17"/>
  </si>
  <si>
    <t>全体研修</t>
    <rPh sb="0" eb="2">
      <t>ゼンタイ</t>
    </rPh>
    <rPh sb="2" eb="4">
      <t>ケンシュウ</t>
    </rPh>
    <phoneticPr fontId="17"/>
  </si>
  <si>
    <t>年２回以上</t>
    <rPh sb="0" eb="1">
      <t>ネン</t>
    </rPh>
    <rPh sb="2" eb="3">
      <t>カイ</t>
    </rPh>
    <rPh sb="3" eb="5">
      <t>イジョウ</t>
    </rPh>
    <phoneticPr fontId="17"/>
  </si>
  <si>
    <t>事業所内研修</t>
    <rPh sb="0" eb="3">
      <t>ジギョウショ</t>
    </rPh>
    <rPh sb="3" eb="4">
      <t>ナイ</t>
    </rPh>
    <rPh sb="4" eb="6">
      <t>ケンシュウ</t>
    </rPh>
    <phoneticPr fontId="17"/>
  </si>
  <si>
    <t>年１２回</t>
    <rPh sb="0" eb="1">
      <t>ネン</t>
    </rPh>
    <rPh sb="3" eb="4">
      <t>カイ</t>
    </rPh>
    <phoneticPr fontId="17"/>
  </si>
  <si>
    <t>５　サービス内容に関する苦情等相談窓口</t>
    <phoneticPr fontId="17"/>
  </si>
  <si>
    <t>☑</t>
    <phoneticPr fontId="17"/>
  </si>
  <si>
    <t>当事業所
お 客 様
相談窓口</t>
    <rPh sb="0" eb="1">
      <t>トウ</t>
    </rPh>
    <rPh sb="1" eb="4">
      <t>ジギョウショ</t>
    </rPh>
    <rPh sb="7" eb="8">
      <t>キャク</t>
    </rPh>
    <rPh sb="9" eb="10">
      <t>サマ</t>
    </rPh>
    <rPh sb="11" eb="13">
      <t>ソウダン</t>
    </rPh>
    <rPh sb="13" eb="15">
      <t>マドグチ</t>
    </rPh>
    <phoneticPr fontId="17"/>
  </si>
  <si>
    <t>窓 口 責 任 者</t>
    <phoneticPr fontId="12"/>
  </si>
  <si>
    <t>ご 利 用 時 間</t>
    <phoneticPr fontId="12"/>
  </si>
  <si>
    <t>ご利用方法・</t>
    <phoneticPr fontId="12"/>
  </si>
  <si>
    <t>面接</t>
    <rPh sb="0" eb="2">
      <t>メンセツ</t>
    </rPh>
    <phoneticPr fontId="17"/>
  </si>
  <si>
    <t>（当事業所相談室）</t>
    <phoneticPr fontId="17"/>
  </si>
  <si>
    <t>意見箱</t>
    <rPh sb="0" eb="2">
      <t>イケン</t>
    </rPh>
    <rPh sb="2" eb="3">
      <t>バコ</t>
    </rPh>
    <phoneticPr fontId="17"/>
  </si>
  <si>
    <t>□</t>
    <phoneticPr fontId="17"/>
  </si>
  <si>
    <t>住　　所</t>
    <rPh sb="0" eb="1">
      <t>ジュウ</t>
    </rPh>
    <rPh sb="3" eb="4">
      <t>ショ</t>
    </rPh>
    <phoneticPr fontId="17"/>
  </si>
  <si>
    <t>該当箇所にチェックを入れてください</t>
    <rPh sb="0" eb="2">
      <t>ガイトウ</t>
    </rPh>
    <rPh sb="2" eb="4">
      <t>カショ</t>
    </rPh>
    <rPh sb="10" eb="11">
      <t>イ</t>
    </rPh>
    <phoneticPr fontId="17"/>
  </si>
  <si>
    <t>電　　話</t>
    <rPh sb="0" eb="1">
      <t>デン</t>
    </rPh>
    <rPh sb="3" eb="4">
      <t>ハナシ</t>
    </rPh>
    <phoneticPr fontId="17"/>
  </si>
  <si>
    <t>相談窓口</t>
    <rPh sb="0" eb="2">
      <t>ソウダン</t>
    </rPh>
    <rPh sb="2" eb="4">
      <t>マドグチ</t>
    </rPh>
    <phoneticPr fontId="17"/>
  </si>
  <si>
    <t>国 保 連
相談窓口</t>
    <rPh sb="0" eb="1">
      <t>クニ</t>
    </rPh>
    <rPh sb="2" eb="3">
      <t>タモツ</t>
    </rPh>
    <rPh sb="4" eb="5">
      <t>レン</t>
    </rPh>
    <rPh sb="6" eb="8">
      <t>ソウダン</t>
    </rPh>
    <rPh sb="8" eb="9">
      <t>マド</t>
    </rPh>
    <rPh sb="9" eb="10">
      <t>クチ</t>
    </rPh>
    <phoneticPr fontId="17"/>
  </si>
  <si>
    <t>６　事故発生時における対応方法</t>
    <phoneticPr fontId="17"/>
  </si>
  <si>
    <t>　事業者は、通所介護サービスの提供にあたって、事故が発生した場合には、速やかに利用者家族に連絡を行うとともに、利用者に対して応急措置、医療機関への搬送等必要な措置を講じます。発生した事故は記録に残し、内容によっては基準に基づき、指定権者、居宅介護支援事業所への報告を行います。</t>
    <phoneticPr fontId="17"/>
  </si>
  <si>
    <t>　また、賠償すべき事故が発生した場合に備え、損害保険に加入し速やかにその対応を行います。但し、事業者に故意、過失がない場合はこの限りではありません。当該事故発生につき利用者に重過失がある場合は、損害賠償の額を減額することができます。</t>
  </si>
  <si>
    <t>・加入損害保険会社名：</t>
    <phoneticPr fontId="12"/>
  </si>
  <si>
    <t>・加入損害保険名　　：</t>
    <phoneticPr fontId="12"/>
  </si>
  <si>
    <t>７　緊急時等における対応方法</t>
    <phoneticPr fontId="17"/>
  </si>
  <si>
    <t>　サービス提供中に病状の急変などがあった場合は、救急隊及び契約後に記入いただく「緊急事態に対応するための連絡カード」に記載のある利用者の主治医、緊急事態連絡先、介護支援専門員等へ連絡をします。</t>
    <phoneticPr fontId="17"/>
  </si>
  <si>
    <t>８　非常災害時の対策</t>
    <phoneticPr fontId="17"/>
  </si>
  <si>
    <t>非常時の対応</t>
    <rPh sb="0" eb="2">
      <t>ヒジョウ</t>
    </rPh>
    <rPh sb="2" eb="3">
      <t>ジ</t>
    </rPh>
    <rPh sb="4" eb="6">
      <t>タイオウ</t>
    </rPh>
    <phoneticPr fontId="17"/>
  </si>
  <si>
    <t>別途定める災害非常時マニュアルに則り対応を行います。</t>
    <rPh sb="16" eb="17">
      <t>ノット</t>
    </rPh>
    <phoneticPr fontId="17"/>
  </si>
  <si>
    <t>防 災 訓 練
及　　び
防 災 設 備</t>
    <rPh sb="0" eb="1">
      <t>ボウ</t>
    </rPh>
    <rPh sb="2" eb="3">
      <t>サイ</t>
    </rPh>
    <rPh sb="4" eb="5">
      <t>クン</t>
    </rPh>
    <rPh sb="6" eb="7">
      <t>レン</t>
    </rPh>
    <rPh sb="8" eb="9">
      <t>オヨ</t>
    </rPh>
    <rPh sb="13" eb="14">
      <t>ボウ</t>
    </rPh>
    <rPh sb="15" eb="16">
      <t>サイ</t>
    </rPh>
    <rPh sb="17" eb="18">
      <t>セツ</t>
    </rPh>
    <rPh sb="19" eb="20">
      <t>ビ</t>
    </rPh>
    <phoneticPr fontId="17"/>
  </si>
  <si>
    <t>別途定める消防計画に則り、年２回総合訓練を行います。</t>
    <rPh sb="10" eb="11">
      <t>ノット</t>
    </rPh>
    <phoneticPr fontId="17"/>
  </si>
  <si>
    <t>防火扉・シャッター</t>
    <phoneticPr fontId="12"/>
  </si>
  <si>
    <t>自動火災報知設備</t>
    <rPh sb="6" eb="8">
      <t>セツビ</t>
    </rPh>
    <phoneticPr fontId="17"/>
  </si>
  <si>
    <t>カーテン、布団等は防炎性能のあるものを使用しています。</t>
    <phoneticPr fontId="12"/>
  </si>
  <si>
    <t>９　高齢者虐待防止について</t>
    <phoneticPr fontId="17"/>
  </si>
  <si>
    <t>　事業者は、利用者等の人権の擁護・虐待の防止のために、次に掲げるとおり必要な措置を講じます。</t>
    <phoneticPr fontId="17"/>
  </si>
  <si>
    <t>　（１）</t>
    <phoneticPr fontId="17"/>
  </si>
  <si>
    <t>　（２）</t>
    <phoneticPr fontId="17"/>
  </si>
  <si>
    <t>従業者が支援にあたっての悩みや苦労を相談できる体制を整えるほか、従業者が利用者等の権利擁護に取り組める環境の整備に努めます。</t>
    <phoneticPr fontId="17"/>
  </si>
  <si>
    <t>事業者は、サービス提供にあたり身体的拘束等その他利用者の行動を制限する行為を行いません。但し、利用者又は他の利用者等の生命又は身体を保護するため緊急やむを得ない場合は、この限りではありません。</t>
    <rPh sb="20" eb="21">
      <t>ナド</t>
    </rPh>
    <phoneticPr fontId="17"/>
  </si>
  <si>
    <t>１１　サービス利用に当たっての留意事項</t>
    <phoneticPr fontId="17"/>
  </si>
  <si>
    <t>サービス利用の際には、介護保険被保険者証を提示してください。</t>
    <phoneticPr fontId="17"/>
  </si>
  <si>
    <t>施設内の設備や器具は、本来の用法に従ってご利用ください。これに反したご利用により破損等が生じた場合、弁償していただく場合があります。</t>
    <phoneticPr fontId="17"/>
  </si>
  <si>
    <t>決められた場所以外での喫煙はご遠慮ください。</t>
    <phoneticPr fontId="17"/>
  </si>
  <si>
    <t>他の利用者の迷惑になる行為はご遠慮ください。</t>
    <phoneticPr fontId="17"/>
  </si>
  <si>
    <t>金品の持ち込みは、ご遠慮ください。</t>
    <phoneticPr fontId="17"/>
  </si>
  <si>
    <t>所持金品は、自己の責任で管理してください。</t>
    <phoneticPr fontId="17"/>
  </si>
  <si>
    <t>施設内での他の利用者に対する執拗な宗教活動及び政治活動はご遠慮ください。</t>
    <phoneticPr fontId="17"/>
  </si>
  <si>
    <t>指定居宅介護支援事業者と居宅サービス計画の作成又は変更に関し、サービスを利用させることの対償として、金品その他の財産上の利益を収受しません。</t>
    <phoneticPr fontId="17"/>
  </si>
  <si>
    <t>１２　秘密保持等の体制及び個人情報に関する基本方針</t>
    <phoneticPr fontId="17"/>
  </si>
  <si>
    <t>秘密保持等の体制</t>
    <phoneticPr fontId="17"/>
  </si>
  <si>
    <t>事業者及びその従業者は、正当な理由なく、その業務上知り得た利用者又は、利用者の家族の秘密を漏らしません。</t>
    <phoneticPr fontId="17"/>
  </si>
  <si>
    <t>事業者は、従業者であった者が、正当な理由なく、業務上知り得た利用者、又は利用者の家族の秘密を漏らすことがないよう、必要な措置を講じます。</t>
    <phoneticPr fontId="17"/>
  </si>
  <si>
    <t>事業者は、指定居宅介護支援事業者等との連携において、利用者の個人の情報を用いる場合は利用者の同意を、利用者の家族の個人情報を用いる場合は当該家族の同意をあらかじめ文書により得ることとします。</t>
    <phoneticPr fontId="17"/>
  </si>
  <si>
    <t>個人情報に関する基本方針</t>
    <phoneticPr fontId="17"/>
  </si>
  <si>
    <t>　事業者は、保有する利用者等の個人情報に関し、適正かつ適切な取扱いをするとともに、広く社会からの信頼を得る為に以下のルール及び体制を確立し、個人情報に関連する法令、その他関係法令及び厚生労働省のガイダンス（以下、「個人情報に関連する法令等」という。）を遵守し、個人情報の保護を図ります。</t>
    <rPh sb="103" eb="105">
      <t>イカ</t>
    </rPh>
    <rPh sb="116" eb="118">
      <t>ホウレイ</t>
    </rPh>
    <rPh sb="118" eb="119">
      <t>トウ</t>
    </rPh>
    <phoneticPr fontId="17"/>
  </si>
  <si>
    <t>個人情報の適切な取得・管理・利用・開示・委託</t>
    <phoneticPr fontId="17"/>
  </si>
  <si>
    <t>　個人情報の取得にあたり、利用目的を明示した上で、必要な範囲の情報を取得し、利用目的を通知または公表し、その範囲内で利用することとします。</t>
    <phoneticPr fontId="17"/>
  </si>
  <si>
    <t>　個人情報の取得・利用・第三者提供にあたり、本人の同意を得ることとします。</t>
    <phoneticPr fontId="17"/>
  </si>
  <si>
    <t>　事業者が委託をする医療・介護関係事業者は、業務の委託にあたり、個人情報に関連する法令等の趣旨を理解し、それに沿った対応を行う事業者を選定し、かつ個人情報に関わる契約を締結した上で情報提供し、委託先への適切な監督をすることとします。</t>
    <phoneticPr fontId="17"/>
  </si>
  <si>
    <t>　（４）</t>
    <phoneticPr fontId="17"/>
  </si>
  <si>
    <t>個人情報の安全性確保の措置</t>
    <phoneticPr fontId="17"/>
  </si>
  <si>
    <t>　事業者は、個人情報保護の取組みを全役職員等に周知徹底させるために、個人情報に関する規則類を整備し、必要な教育を継続的に行うこと。</t>
    <phoneticPr fontId="17"/>
  </si>
  <si>
    <t>　個人情報への不正アクセス、個人情報の漏洩、滅失、または棄損の予防及び訂正のため、事業所内において規則類を整備し安全対策に努めることとします。</t>
    <phoneticPr fontId="17"/>
  </si>
  <si>
    <t>　（５）</t>
    <phoneticPr fontId="17"/>
  </si>
  <si>
    <t>個人情報の開示・訂正・更新・利用停止・削除・第三者提供の停止等への対応</t>
    <phoneticPr fontId="17"/>
  </si>
  <si>
    <t>　事業者は、本人が自己の個人情報について、開示・訂正・更新・利用停止・削除・第三者提供の停止等の申し出がある場合には、速やかに対応することとします。</t>
    <phoneticPr fontId="17"/>
  </si>
  <si>
    <t>　（６）</t>
    <phoneticPr fontId="17"/>
  </si>
  <si>
    <t>苦情の対応</t>
    <phoneticPr fontId="17"/>
  </si>
  <si>
    <t>　事業者は、個人情報取扱に関する苦情に対し、適切かつ迅速に対応することとします。</t>
    <phoneticPr fontId="17"/>
  </si>
  <si>
    <t>　（７）</t>
    <phoneticPr fontId="17"/>
  </si>
  <si>
    <t>個人情報の利用目的</t>
    <phoneticPr fontId="17"/>
  </si>
  <si>
    <t>　事業者が利用者及び、利用者の家族の個人情報を利用する目的は以下の通りとします。</t>
  </si>
  <si>
    <t>通所介護計画作成にあたり、ケアカンファレンス、職員会議等の実施のため</t>
    <phoneticPr fontId="17"/>
  </si>
  <si>
    <t>指定居宅介護支援事業者、医療機関、介護サービス事業者、福祉事業者等との連携（サービス担当者会議）、照会への回答のため</t>
  </si>
  <si>
    <t>利用の有無、利用時の様子に関する利用者の家族等への心身状況説明のため</t>
  </si>
  <si>
    <t>介護事故、緊急時等の対応及び報告のため</t>
  </si>
  <si>
    <t>介護保険事務（請求処理、会計処理等）</t>
  </si>
  <si>
    <t>損害賠償保険等に関わる保険会社等への相談または届出等</t>
  </si>
  <si>
    <t>⑦</t>
    <phoneticPr fontId="17"/>
  </si>
  <si>
    <t>行政等外部監査機関、評価機関等への情報提供</t>
    <phoneticPr fontId="17"/>
  </si>
  <si>
    <t>⑧</t>
    <phoneticPr fontId="17"/>
  </si>
  <si>
    <t>上記各号に関わらず、緊急を要する時の連絡等の場合</t>
  </si>
  <si>
    <t>事業を運営する当該法人の役員及び指定通所介護事業所の管理者その他の従業者は、反社会的勢力ではありません。</t>
    <phoneticPr fontId="17"/>
  </si>
  <si>
    <t>事業所は、その運営について、反社会的勢力員の支配を受けません。</t>
    <phoneticPr fontId="17"/>
  </si>
  <si>
    <t>（以下、余白。）</t>
    <rPh sb="1" eb="3">
      <t>イカ</t>
    </rPh>
    <rPh sb="4" eb="6">
      <t>ヨハク</t>
    </rPh>
    <phoneticPr fontId="17"/>
  </si>
  <si>
    <t>年　　　月　　　日</t>
    <phoneticPr fontId="17"/>
  </si>
  <si>
    <t>事業者　</t>
    <phoneticPr fontId="17"/>
  </si>
  <si>
    <t>住　　所</t>
    <rPh sb="0" eb="1">
      <t>ジュウ</t>
    </rPh>
    <rPh sb="3" eb="4">
      <t>ショ</t>
    </rPh>
    <phoneticPr fontId="12"/>
  </si>
  <si>
    <t>事業者名</t>
    <rPh sb="0" eb="3">
      <t>ジギョウシャ</t>
    </rPh>
    <rPh sb="3" eb="4">
      <t>メイ</t>
    </rPh>
    <phoneticPr fontId="12"/>
  </si>
  <si>
    <t>代表者名</t>
    <rPh sb="0" eb="3">
      <t>ダイヒョウシャ</t>
    </rPh>
    <rPh sb="3" eb="4">
      <t>メイ</t>
    </rPh>
    <phoneticPr fontId="12"/>
  </si>
  <si>
    <t>㊞</t>
    <phoneticPr fontId="17"/>
  </si>
  <si>
    <t>説明者</t>
    <rPh sb="0" eb="3">
      <t>セツメイシャ</t>
    </rPh>
    <phoneticPr fontId="17"/>
  </si>
  <si>
    <t>説明者名</t>
    <rPh sb="0" eb="3">
      <t>セツメイシャ</t>
    </rPh>
    <rPh sb="3" eb="4">
      <t>メイ</t>
    </rPh>
    <phoneticPr fontId="17"/>
  </si>
  <si>
    <t>利用者　</t>
  </si>
  <si>
    <t>氏　　名</t>
    <rPh sb="0" eb="1">
      <t>シ</t>
    </rPh>
    <rPh sb="3" eb="4">
      <t>メイ</t>
    </rPh>
    <phoneticPr fontId="17"/>
  </si>
  <si>
    <t>代理人</t>
    <phoneticPr fontId="17"/>
  </si>
  <si>
    <t>（又は、家族代表）</t>
  </si>
  <si>
    <t>（続柄：</t>
    <rPh sb="1" eb="3">
      <t>ツヅキガラ</t>
    </rPh>
    <phoneticPr fontId="17"/>
  </si>
  <si>
    <t>）</t>
    <phoneticPr fontId="17"/>
  </si>
  <si>
    <t>（別紙）【料金表】</t>
    <rPh sb="1" eb="3">
      <t>ベッシ</t>
    </rPh>
    <phoneticPr fontId="17"/>
  </si>
  <si>
    <t>※下記の金額表記は、右記地域単価を乗じたものである。</t>
    <phoneticPr fontId="17"/>
  </si>
  <si>
    <t>地域単価</t>
    <rPh sb="0" eb="2">
      <t>チイキ</t>
    </rPh>
    <rPh sb="2" eb="4">
      <t>タンカ</t>
    </rPh>
    <phoneticPr fontId="12"/>
  </si>
  <si>
    <t>（通所介護）</t>
    <phoneticPr fontId="17"/>
  </si>
  <si>
    <t>３時間以上４時間未満</t>
    <rPh sb="1" eb="3">
      <t>ジカン</t>
    </rPh>
    <rPh sb="3" eb="5">
      <t>イジョウ</t>
    </rPh>
    <rPh sb="6" eb="8">
      <t>ジカン</t>
    </rPh>
    <rPh sb="8" eb="10">
      <t>ミマン</t>
    </rPh>
    <phoneticPr fontId="17"/>
  </si>
  <si>
    <t>単位数</t>
    <rPh sb="0" eb="3">
      <t>タンイスウ</t>
    </rPh>
    <phoneticPr fontId="17"/>
  </si>
  <si>
    <t>利用料金</t>
    <rPh sb="0" eb="2">
      <t>リヨウ</t>
    </rPh>
    <rPh sb="2" eb="4">
      <t>リョウキン</t>
    </rPh>
    <phoneticPr fontId="17"/>
  </si>
  <si>
    <t>１割</t>
    <rPh sb="1" eb="2">
      <t>ワ</t>
    </rPh>
    <phoneticPr fontId="17"/>
  </si>
  <si>
    <t>２割</t>
    <rPh sb="1" eb="2">
      <t>ワリ</t>
    </rPh>
    <phoneticPr fontId="17"/>
  </si>
  <si>
    <t>３割</t>
    <rPh sb="1" eb="2">
      <t>ワリ</t>
    </rPh>
    <phoneticPr fontId="17"/>
  </si>
  <si>
    <t>要介護１</t>
    <rPh sb="0" eb="1">
      <t>ヨウ</t>
    </rPh>
    <rPh sb="1" eb="3">
      <t>カイゴ</t>
    </rPh>
    <phoneticPr fontId="17"/>
  </si>
  <si>
    <t>要介護２</t>
    <rPh sb="0" eb="1">
      <t>ヨウ</t>
    </rPh>
    <rPh sb="1" eb="3">
      <t>カイゴ</t>
    </rPh>
    <phoneticPr fontId="17"/>
  </si>
  <si>
    <t>要介護３</t>
    <rPh sb="0" eb="1">
      <t>ヨウ</t>
    </rPh>
    <rPh sb="1" eb="3">
      <t>カイゴ</t>
    </rPh>
    <phoneticPr fontId="17"/>
  </si>
  <si>
    <t>要介護４</t>
    <rPh sb="0" eb="1">
      <t>ヨウ</t>
    </rPh>
    <rPh sb="1" eb="3">
      <t>カイゴ</t>
    </rPh>
    <phoneticPr fontId="17"/>
  </si>
  <si>
    <t>要介護５</t>
    <rPh sb="0" eb="1">
      <t>ヨウ</t>
    </rPh>
    <rPh sb="1" eb="3">
      <t>カイゴ</t>
    </rPh>
    <phoneticPr fontId="17"/>
  </si>
  <si>
    <t>４時間以上５時間未満</t>
    <rPh sb="1" eb="3">
      <t>ジカン</t>
    </rPh>
    <rPh sb="3" eb="5">
      <t>イジョウ</t>
    </rPh>
    <rPh sb="6" eb="8">
      <t>ジカン</t>
    </rPh>
    <rPh sb="8" eb="10">
      <t>ミマン</t>
    </rPh>
    <phoneticPr fontId="17"/>
  </si>
  <si>
    <t>５時間以上６時間未満</t>
    <rPh sb="1" eb="3">
      <t>ジカン</t>
    </rPh>
    <rPh sb="3" eb="5">
      <t>イジョウ</t>
    </rPh>
    <rPh sb="6" eb="8">
      <t>ジカン</t>
    </rPh>
    <rPh sb="8" eb="10">
      <t>ミマン</t>
    </rPh>
    <phoneticPr fontId="17"/>
  </si>
  <si>
    <t>６時間以上７時間未満</t>
    <rPh sb="1" eb="3">
      <t>ジカン</t>
    </rPh>
    <rPh sb="3" eb="5">
      <t>イジョウ</t>
    </rPh>
    <rPh sb="6" eb="8">
      <t>ジカン</t>
    </rPh>
    <rPh sb="8" eb="10">
      <t>ミマン</t>
    </rPh>
    <phoneticPr fontId="17"/>
  </si>
  <si>
    <t>７時間以上８時間未満</t>
    <rPh sb="1" eb="3">
      <t>ジカン</t>
    </rPh>
    <rPh sb="3" eb="5">
      <t>イジョウ</t>
    </rPh>
    <rPh sb="6" eb="8">
      <t>ジカン</t>
    </rPh>
    <rPh sb="8" eb="10">
      <t>ミマン</t>
    </rPh>
    <phoneticPr fontId="17"/>
  </si>
  <si>
    <t>８時間以上９時間未満</t>
    <rPh sb="1" eb="3">
      <t>ジカン</t>
    </rPh>
    <rPh sb="3" eb="5">
      <t>イジョウ</t>
    </rPh>
    <rPh sb="6" eb="8">
      <t>ジカン</t>
    </rPh>
    <rPh sb="8" eb="10">
      <t>ミマン</t>
    </rPh>
    <phoneticPr fontId="17"/>
  </si>
  <si>
    <t>○減算</t>
    <phoneticPr fontId="17"/>
  </si>
  <si>
    <t>送迎減算（片道）</t>
    <rPh sb="5" eb="6">
      <t>カタ</t>
    </rPh>
    <rPh sb="6" eb="7">
      <t>ミチ</t>
    </rPh>
    <phoneticPr fontId="17"/>
  </si>
  <si>
    <t>○加算</t>
    <phoneticPr fontId="17"/>
  </si>
  <si>
    <t>体制</t>
    <rPh sb="0" eb="2">
      <t>タイセイ</t>
    </rPh>
    <phoneticPr fontId="17"/>
  </si>
  <si>
    <t>種　　　類</t>
    <phoneticPr fontId="17"/>
  </si>
  <si>
    <t>体制</t>
    <phoneticPr fontId="17"/>
  </si>
  <si>
    <t>利用料金</t>
    <phoneticPr fontId="17"/>
  </si>
  <si>
    <t>左の単位数×地域単価</t>
    <rPh sb="0" eb="1">
      <t>ヒダリ</t>
    </rPh>
    <rPh sb="2" eb="5">
      <t>タンイスウ</t>
    </rPh>
    <rPh sb="6" eb="8">
      <t>チイキ</t>
    </rPh>
    <rPh sb="8" eb="10">
      <t>タンカ</t>
    </rPh>
    <phoneticPr fontId="17"/>
  </si>
  <si>
    <t>基本単位数×5／100</t>
    <phoneticPr fontId="17"/>
  </si>
  <si>
    <t>・</t>
    <phoneticPr fontId="17"/>
  </si>
  <si>
    <t>介護保険での給付の範囲を超えたサービス利用の利用料金は、事業者が別に設定し、全額が利用者の自己負担となりますのでご相談ください。</t>
    <phoneticPr fontId="17"/>
  </si>
  <si>
    <t>介護保険適用の場合でも、保険料の滞納等により、事業者に直接介護保険給付が行われない場合があります。</t>
    <phoneticPr fontId="17"/>
  </si>
  <si>
    <t>【利用料金の計算方法】</t>
    <rPh sb="1" eb="3">
      <t>リヨウ</t>
    </rPh>
    <rPh sb="3" eb="5">
      <t>リョウキン</t>
    </rPh>
    <rPh sb="6" eb="8">
      <t>ケイサン</t>
    </rPh>
    <rPh sb="8" eb="10">
      <t>ホウホウ</t>
    </rPh>
    <phoneticPr fontId="16"/>
  </si>
  <si>
    <t>　上記計算方法により、算出された金額から法定の介護給付費を引いた金額が自己負担となります。</t>
    <rPh sb="1" eb="3">
      <t>ジョウキ</t>
    </rPh>
    <rPh sb="3" eb="5">
      <t>ケイサン</t>
    </rPh>
    <rPh sb="5" eb="7">
      <t>ホウホウ</t>
    </rPh>
    <rPh sb="11" eb="13">
      <t>サンシュツ</t>
    </rPh>
    <rPh sb="16" eb="18">
      <t>キンガク</t>
    </rPh>
    <rPh sb="20" eb="22">
      <t>ホウテイ</t>
    </rPh>
    <rPh sb="23" eb="25">
      <t>カイゴ</t>
    </rPh>
    <rPh sb="25" eb="27">
      <t>キュウフ</t>
    </rPh>
    <rPh sb="27" eb="28">
      <t>ヒ</t>
    </rPh>
    <rPh sb="29" eb="30">
      <t>ヒ</t>
    </rPh>
    <rPh sb="32" eb="34">
      <t>キンガク</t>
    </rPh>
    <rPh sb="35" eb="37">
      <t>ジコ</t>
    </rPh>
    <rPh sb="37" eb="39">
      <t>フタン</t>
    </rPh>
    <phoneticPr fontId="16"/>
  </si>
  <si>
    <t>介護保険給付対象外サービス</t>
    <phoneticPr fontId="17"/>
  </si>
  <si>
    <t>事業の実施地域外の交通費</t>
    <phoneticPr fontId="17"/>
  </si>
  <si>
    <t>　事業の実施地域以外の地域にお住まいの方は、事業の実施地域を超えて１ｋｍあたり２０円の交通費が必要となります。</t>
    <phoneticPr fontId="17"/>
  </si>
  <si>
    <t>食費</t>
    <phoneticPr fontId="17"/>
  </si>
  <si>
    <t>おむつ代</t>
    <phoneticPr fontId="17"/>
  </si>
  <si>
    <t>　おむつ等を使用される方は、以下の通り料金がかかります。</t>
    <rPh sb="4" eb="5">
      <t>ナド</t>
    </rPh>
    <rPh sb="14" eb="16">
      <t>イカ</t>
    </rPh>
    <rPh sb="17" eb="18">
      <t>トオ</t>
    </rPh>
    <rPh sb="19" eb="21">
      <t>リョウキン</t>
    </rPh>
    <phoneticPr fontId="17"/>
  </si>
  <si>
    <t>　おむつ・リハビリパンツ</t>
    <phoneticPr fontId="17"/>
  </si>
  <si>
    <t>　パット</t>
    <phoneticPr fontId="17"/>
  </si>
  <si>
    <t>その他の費用</t>
    <phoneticPr fontId="17"/>
  </si>
  <si>
    <t>　通所介護サービスの中で提供される便宜のうち、利用者の希望により通常のサービス提供の範囲を超える保険外の費用は、サービス提供の範囲を超えた時点から利用者の負担となります。</t>
    <rPh sb="69" eb="71">
      <t>ジテン</t>
    </rPh>
    <phoneticPr fontId="17"/>
  </si>
  <si>
    <t>キャンセル料</t>
    <phoneticPr fontId="17"/>
  </si>
  <si>
    <t>　正当な理由がある場合に限り、無料です。</t>
    <rPh sb="1" eb="3">
      <t>セイトウ</t>
    </rPh>
    <rPh sb="4" eb="6">
      <t>リユウ</t>
    </rPh>
    <rPh sb="9" eb="11">
      <t>バアイ</t>
    </rPh>
    <rPh sb="12" eb="13">
      <t>カギ</t>
    </rPh>
    <rPh sb="15" eb="17">
      <t>ムリョウ</t>
    </rPh>
    <phoneticPr fontId="17"/>
  </si>
  <si>
    <t>2014.10.16　「正当な理由がある場合に限り、」追加</t>
    <rPh sb="12" eb="14">
      <t>セイトウ</t>
    </rPh>
    <rPh sb="15" eb="17">
      <t>リユウ</t>
    </rPh>
    <rPh sb="20" eb="22">
      <t>バアイ</t>
    </rPh>
    <rPh sb="23" eb="24">
      <t>カギ</t>
    </rPh>
    <rPh sb="27" eb="29">
      <t>ツイカ</t>
    </rPh>
    <phoneticPr fontId="17"/>
  </si>
  <si>
    <t>【加算等の概要】</t>
    <rPh sb="1" eb="3">
      <t>カサン</t>
    </rPh>
    <rPh sb="3" eb="4">
      <t>トウ</t>
    </rPh>
    <rPh sb="5" eb="7">
      <t>ガイヨウ</t>
    </rPh>
    <phoneticPr fontId="16"/>
  </si>
  <si>
    <t>○減算</t>
    <rPh sb="1" eb="2">
      <t>ゲン</t>
    </rPh>
    <phoneticPr fontId="17"/>
  </si>
  <si>
    <t>送迎を実施していない場合(利用者が自ら通う場合、家族が送迎を行う場合等の事業所が送迎を実施していない場合)に減算の対象となります。</t>
  </si>
  <si>
    <t>入浴中の利用者の観察を含む、介助を行う場合に算定されます。観察とは、利用者の自立支援や日常生活動作能力などの向上のための見守り的な援助であり、極力利用者自身の力で入浴できるように、必要に応じて介助、転倒予防のための声がけ、気分の確認などを行います。結果として、身体に直接接触する介助を行わなかった場合でも、加算の対象になります。</t>
  </si>
  <si>
    <t>基準の人員に上乗せして看護職員又は介護職員を常勤換算法で２以上確保し、且つ前年度又は算定日が属する月の前三月間の利用者の総数のうち、認知症である方の占める割合が１００分の２０以上であること、また通所介護を行う時間を通じて認知症介護に係る研修等を終了した者を１名以上配置している場合に加算の対象となります。</t>
    <rPh sb="66" eb="69">
      <t>ニンチショウ</t>
    </rPh>
    <rPh sb="110" eb="113">
      <t>ニンチショウ</t>
    </rPh>
    <rPh sb="113" eb="115">
      <t>カイゴ</t>
    </rPh>
    <rPh sb="116" eb="117">
      <t>カカ</t>
    </rPh>
    <rPh sb="118" eb="120">
      <t>ケンシュウ</t>
    </rPh>
    <rPh sb="120" eb="121">
      <t>トウ</t>
    </rPh>
    <rPh sb="122" eb="124">
      <t>シュウリョウ</t>
    </rPh>
    <rPh sb="126" eb="127">
      <t>モノ</t>
    </rPh>
    <phoneticPr fontId="17"/>
  </si>
  <si>
    <t>若年性認知症患者やその家族を支援するため、本人や家族の希望を組み込んだ介護サービスが提供します。若年性認知症患者一人ひとりの状態に応じたサービスや環境を整え個別の担当者を設けることで加算の対象になります。</t>
    <rPh sb="78" eb="80">
      <t>コベツ</t>
    </rPh>
    <rPh sb="81" eb="83">
      <t>タントウ</t>
    </rPh>
    <rPh sb="83" eb="84">
      <t>シャ</t>
    </rPh>
    <rPh sb="85" eb="86">
      <t>モウ</t>
    </rPh>
    <rPh sb="91" eb="93">
      <t>カサン</t>
    </rPh>
    <rPh sb="94" eb="96">
      <t>タイショウ</t>
    </rPh>
    <phoneticPr fontId="17"/>
  </si>
  <si>
    <t>基準の人員に上乗せして看護職員又は介護職員を常勤換算法で２以上確保し、且つ前年度又は算定日が属する月の前三月間の利用者の総数のうち、要介護３、要介護４又は要介護５である方が占める割合が１００分の３０以上であること、また通所介護を行う時間を通じて看護職員を１名以上配置している場合に加算の対象となります。</t>
    <rPh sb="35" eb="36">
      <t>カ</t>
    </rPh>
    <rPh sb="37" eb="39">
      <t>ゼンネン</t>
    </rPh>
    <rPh sb="39" eb="40">
      <t>ド</t>
    </rPh>
    <rPh sb="40" eb="41">
      <t>マタ</t>
    </rPh>
    <rPh sb="42" eb="44">
      <t>サンテイ</t>
    </rPh>
    <rPh sb="44" eb="45">
      <t>ビ</t>
    </rPh>
    <rPh sb="46" eb="47">
      <t>ゾク</t>
    </rPh>
    <rPh sb="49" eb="50">
      <t>ツキ</t>
    </rPh>
    <rPh sb="51" eb="52">
      <t>マエ</t>
    </rPh>
    <rPh sb="52" eb="53">
      <t>３</t>
    </rPh>
    <rPh sb="53" eb="54">
      <t>ツキ</t>
    </rPh>
    <rPh sb="54" eb="55">
      <t>カン</t>
    </rPh>
    <rPh sb="60" eb="62">
      <t>ソウスウ</t>
    </rPh>
    <rPh sb="66" eb="67">
      <t>ヨウ</t>
    </rPh>
    <rPh sb="67" eb="69">
      <t>カイゴ</t>
    </rPh>
    <rPh sb="71" eb="72">
      <t>ヨウ</t>
    </rPh>
    <rPh sb="72" eb="74">
      <t>カイゴ</t>
    </rPh>
    <rPh sb="75" eb="76">
      <t>マタ</t>
    </rPh>
    <rPh sb="77" eb="78">
      <t>ヨウ</t>
    </rPh>
    <rPh sb="78" eb="80">
      <t>カイゴ</t>
    </rPh>
    <rPh sb="84" eb="85">
      <t>カタ</t>
    </rPh>
    <rPh sb="86" eb="87">
      <t>シ</t>
    </rPh>
    <rPh sb="89" eb="91">
      <t>ワリアイ</t>
    </rPh>
    <rPh sb="95" eb="96">
      <t>ブン</t>
    </rPh>
    <rPh sb="99" eb="101">
      <t>イジョウ</t>
    </rPh>
    <rPh sb="114" eb="115">
      <t>オコナ</t>
    </rPh>
    <rPh sb="116" eb="118">
      <t>ジカン</t>
    </rPh>
    <rPh sb="119" eb="120">
      <t>ツウ</t>
    </rPh>
    <rPh sb="122" eb="124">
      <t>カンゴ</t>
    </rPh>
    <rPh sb="124" eb="126">
      <t>ショクイン</t>
    </rPh>
    <rPh sb="128" eb="131">
      <t>メイイジョウ</t>
    </rPh>
    <rPh sb="131" eb="133">
      <t>ハイチ</t>
    </rPh>
    <rPh sb="137" eb="139">
      <t>バアイ</t>
    </rPh>
    <rPh sb="140" eb="142">
      <t>カサン</t>
    </rPh>
    <rPh sb="143" eb="145">
      <t>タイショウ</t>
    </rPh>
    <phoneticPr fontId="17"/>
  </si>
  <si>
    <t>介護職員の総数のうち、介護福祉士の占める割合が１００分の５０以上である場合に加算の対象となります。</t>
    <phoneticPr fontId="17"/>
  </si>
  <si>
    <t>言語聴覚士、歯科衛生士又は看護職員を配置し、利用者の口腔機能を利用開始時に把握し、職員が共同して、利用者ごとの口腔機能改善管理指導計画の作成・記録・評価を行った場合に、１月に２回を限度として加算の対象となります。</t>
    <rPh sb="0" eb="5">
      <t>ゲンゴチョウカクシ</t>
    </rPh>
    <rPh sb="6" eb="8">
      <t>シカ</t>
    </rPh>
    <rPh sb="8" eb="11">
      <t>エイセイシ</t>
    </rPh>
    <rPh sb="11" eb="12">
      <t>マタ</t>
    </rPh>
    <rPh sb="13" eb="15">
      <t>カンゴ</t>
    </rPh>
    <rPh sb="15" eb="17">
      <t>ショクイン</t>
    </rPh>
    <rPh sb="18" eb="20">
      <t>ハイチ</t>
    </rPh>
    <rPh sb="26" eb="28">
      <t>コウクウ</t>
    </rPh>
    <rPh sb="28" eb="30">
      <t>キノウ</t>
    </rPh>
    <rPh sb="31" eb="33">
      <t>リヨウ</t>
    </rPh>
    <rPh sb="33" eb="35">
      <t>カイシ</t>
    </rPh>
    <rPh sb="35" eb="36">
      <t>ジ</t>
    </rPh>
    <rPh sb="37" eb="39">
      <t>ハアク</t>
    </rPh>
    <rPh sb="41" eb="43">
      <t>ショクイン</t>
    </rPh>
    <rPh sb="44" eb="46">
      <t>キョウドウ</t>
    </rPh>
    <rPh sb="55" eb="57">
      <t>コウクウ</t>
    </rPh>
    <rPh sb="57" eb="59">
      <t>キノウ</t>
    </rPh>
    <rPh sb="59" eb="61">
      <t>カイゼン</t>
    </rPh>
    <rPh sb="61" eb="63">
      <t>カンリ</t>
    </rPh>
    <rPh sb="63" eb="65">
      <t>シドウ</t>
    </rPh>
    <rPh sb="65" eb="67">
      <t>ケイカク</t>
    </rPh>
    <rPh sb="68" eb="70">
      <t>サクセイ</t>
    </rPh>
    <rPh sb="71" eb="73">
      <t>キロク</t>
    </rPh>
    <rPh sb="74" eb="76">
      <t>ヒョウカ</t>
    </rPh>
    <rPh sb="77" eb="78">
      <t>オコナ</t>
    </rPh>
    <rPh sb="80" eb="82">
      <t>バアイ</t>
    </rPh>
    <rPh sb="85" eb="86">
      <t>ツキ</t>
    </rPh>
    <rPh sb="88" eb="89">
      <t>カイ</t>
    </rPh>
    <rPh sb="90" eb="92">
      <t>ゲンド</t>
    </rPh>
    <rPh sb="95" eb="97">
      <t>カサン</t>
    </rPh>
    <rPh sb="98" eb="100">
      <t>タイショウ</t>
    </rPh>
    <phoneticPr fontId="17"/>
  </si>
  <si>
    <t>評価対象期間の満了日の属する年度の次年度内に限り加算の対象となります。評価機関に連続して６月以上利用した期間のある要介護者の集団について、特定の要件を満たすことによって加算の対象となります。</t>
    <rPh sb="0" eb="2">
      <t>ヒョウカ</t>
    </rPh>
    <rPh sb="2" eb="4">
      <t>タイショウ</t>
    </rPh>
    <rPh sb="4" eb="6">
      <t>キカン</t>
    </rPh>
    <rPh sb="7" eb="9">
      <t>マンリョウ</t>
    </rPh>
    <rPh sb="9" eb="10">
      <t>ビ</t>
    </rPh>
    <rPh sb="11" eb="12">
      <t>ゾク</t>
    </rPh>
    <rPh sb="14" eb="16">
      <t>ネンド</t>
    </rPh>
    <rPh sb="17" eb="18">
      <t>ツギ</t>
    </rPh>
    <rPh sb="18" eb="20">
      <t>ネンド</t>
    </rPh>
    <rPh sb="20" eb="21">
      <t>ナイ</t>
    </rPh>
    <rPh sb="22" eb="23">
      <t>カギ</t>
    </rPh>
    <rPh sb="24" eb="26">
      <t>カサン</t>
    </rPh>
    <rPh sb="27" eb="29">
      <t>タイショウ</t>
    </rPh>
    <rPh sb="35" eb="37">
      <t>ヒョウカ</t>
    </rPh>
    <rPh sb="37" eb="39">
      <t>キカン</t>
    </rPh>
    <rPh sb="40" eb="42">
      <t>レンゾク</t>
    </rPh>
    <rPh sb="45" eb="46">
      <t>ツキ</t>
    </rPh>
    <rPh sb="46" eb="48">
      <t>イジョウ</t>
    </rPh>
    <rPh sb="48" eb="50">
      <t>リヨウ</t>
    </rPh>
    <rPh sb="52" eb="54">
      <t>キカン</t>
    </rPh>
    <rPh sb="57" eb="58">
      <t>ヨウ</t>
    </rPh>
    <rPh sb="58" eb="61">
      <t>カイゴシャ</t>
    </rPh>
    <rPh sb="62" eb="64">
      <t>シュウダン</t>
    </rPh>
    <rPh sb="69" eb="71">
      <t>トクテイ</t>
    </rPh>
    <rPh sb="72" eb="74">
      <t>ヨウケン</t>
    </rPh>
    <rPh sb="75" eb="76">
      <t>ミ</t>
    </rPh>
    <rPh sb="84" eb="86">
      <t>カサン</t>
    </rPh>
    <rPh sb="87" eb="89">
      <t>タイショウ</t>
    </rPh>
    <phoneticPr fontId="17"/>
  </si>
  <si>
    <t>自立支援・重度化防止に資する生活機能向上を目的として、通所介護事業所の職員と外部のリハビリテーション専門職が共同しアセスメントを行い、個別機能訓練計画を作成することによって加算の対象となります。
※個別機能訓練加算を算定している事業所が上記の要件を満たした場合は100単位／月となります。</t>
    <rPh sb="134" eb="136">
      <t>タンイ</t>
    </rPh>
    <rPh sb="137" eb="138">
      <t>ツキ</t>
    </rPh>
    <phoneticPr fontId="17"/>
  </si>
  <si>
    <t>８時間以上９時間未満の指定通所介護の前後に日常生活上の世話を行い、通算した時間が９時間以上となった場合に加算の対象となります。</t>
    <rPh sb="1" eb="5">
      <t>ジカンイジョウ</t>
    </rPh>
    <rPh sb="6" eb="8">
      <t>ジカン</t>
    </rPh>
    <rPh sb="8" eb="10">
      <t>ミマン</t>
    </rPh>
    <rPh sb="11" eb="13">
      <t>シテイ</t>
    </rPh>
    <rPh sb="18" eb="20">
      <t>ゼンゴ</t>
    </rPh>
    <rPh sb="21" eb="23">
      <t>ニチジョウ</t>
    </rPh>
    <rPh sb="23" eb="25">
      <t>セイカツ</t>
    </rPh>
    <rPh sb="25" eb="26">
      <t>ジョウ</t>
    </rPh>
    <rPh sb="27" eb="29">
      <t>セワ</t>
    </rPh>
    <rPh sb="30" eb="31">
      <t>オコナ</t>
    </rPh>
    <rPh sb="33" eb="35">
      <t>ツウサン</t>
    </rPh>
    <rPh sb="37" eb="39">
      <t>ジカン</t>
    </rPh>
    <rPh sb="41" eb="45">
      <t>ジカンイジョウ</t>
    </rPh>
    <rPh sb="49" eb="51">
      <t>バアイ</t>
    </rPh>
    <rPh sb="52" eb="54">
      <t>カサン</t>
    </rPh>
    <rPh sb="55" eb="57">
      <t>タイショウ</t>
    </rPh>
    <phoneticPr fontId="17"/>
  </si>
  <si>
    <t>中山間地域等に
居住する者への
サービス提供加算</t>
    <phoneticPr fontId="17"/>
  </si>
  <si>
    <t>離島振興法・山村振興法・特定農山法・過疎地域自立促進特別措置法に指定されている地域、その他厚生労働省令で定められた地域に居住している利用者に対して、通常の事業実施区域を越えて、通所介護を行った場合に対象となります。</t>
    <rPh sb="99" eb="101">
      <t>タイショウ</t>
    </rPh>
    <phoneticPr fontId="17"/>
  </si>
  <si>
    <t>※両面コピーで出力してください</t>
    <rPh sb="1" eb="3">
      <t>リョウメン</t>
    </rPh>
    <rPh sb="7" eb="9">
      <t>シュツリョク</t>
    </rPh>
    <phoneticPr fontId="17"/>
  </si>
  <si>
    <t>契　約　書</t>
  </si>
  <si>
    <t>通常規模型通所介護契約書</t>
    <rPh sb="0" eb="2">
      <t>ツウジョウ</t>
    </rPh>
    <rPh sb="2" eb="4">
      <t>キボ</t>
    </rPh>
    <rPh sb="4" eb="5">
      <t>ガタ</t>
    </rPh>
    <phoneticPr fontId="17"/>
  </si>
  <si>
    <t>（目的）</t>
    <phoneticPr fontId="17"/>
  </si>
  <si>
    <t>第１条　</t>
    <phoneticPr fontId="17"/>
  </si>
  <si>
    <t>　乙は、介護保険法等の関係法令及びこの契約に従い、甲がその有する能力に応じて可能な限り自立した日常生活を営むことができるよう通所介護サービスを提供し、甲の社会的孤立感の解消及び心身の機能の維持並びに甲の家族の身体的及び精神的負担の軽減を図ります。</t>
    <rPh sb="107" eb="108">
      <t>オヨ</t>
    </rPh>
    <phoneticPr fontId="17"/>
  </si>
  <si>
    <t>【ＡＤ：指定居宅サービス等の事業の人員、設備及び運営に関する基準（以下「指定基準」といいます。）の表現に修正しております。】</t>
    <rPh sb="33" eb="35">
      <t>イカ</t>
    </rPh>
    <rPh sb="36" eb="38">
      <t>シテイ</t>
    </rPh>
    <rPh sb="38" eb="40">
      <t>キジュン</t>
    </rPh>
    <rPh sb="49" eb="51">
      <t>ヒョウゲン</t>
    </rPh>
    <rPh sb="52" eb="54">
      <t>シュウセイ</t>
    </rPh>
    <phoneticPr fontId="17"/>
  </si>
  <si>
    <t>２</t>
    <phoneticPr fontId="17"/>
  </si>
  <si>
    <t>　乙は、通所介護サービス提供にあたっては、甲の要介護状態区分及び甲の被保険者証に記載された認定審査会意見に従います。</t>
  </si>
  <si>
    <t>【ＡＤ：介護保険法の表現に修正しております。】</t>
    <rPh sb="4" eb="6">
      <t>カイゴ</t>
    </rPh>
    <rPh sb="6" eb="8">
      <t>ホケン</t>
    </rPh>
    <rPh sb="8" eb="9">
      <t>ホウ</t>
    </rPh>
    <rPh sb="10" eb="12">
      <t>ヒョウゲン</t>
    </rPh>
    <rPh sb="13" eb="15">
      <t>シュウセイ</t>
    </rPh>
    <phoneticPr fontId="17"/>
  </si>
  <si>
    <t>（契約期間）</t>
    <phoneticPr fontId="17"/>
  </si>
  <si>
    <t>第２条</t>
    <phoneticPr fontId="17"/>
  </si>
  <si>
    <t>　この契約の契約期間は、</t>
    <phoneticPr fontId="17"/>
  </si>
  <si>
    <t>【ＡＤ：文言の修正をしております。】</t>
    <rPh sb="4" eb="6">
      <t>モンゴン</t>
    </rPh>
    <rPh sb="7" eb="9">
      <t>シュウセイ</t>
    </rPh>
    <phoneticPr fontId="17"/>
  </si>
  <si>
    <t>令和　　　 年　　　月　　　日</t>
    <rPh sb="0" eb="2">
      <t>レイワ</t>
    </rPh>
    <phoneticPr fontId="17"/>
  </si>
  <si>
    <t>から</t>
    <phoneticPr fontId="17"/>
  </si>
  <si>
    <t>介護保険被保険者証有効期限まで</t>
    <rPh sb="4" eb="5">
      <t>ヒ</t>
    </rPh>
    <rPh sb="5" eb="8">
      <t>ホケンシャ</t>
    </rPh>
    <phoneticPr fontId="17"/>
  </si>
  <si>
    <t>（利用開始予定日）</t>
    <phoneticPr fontId="17"/>
  </si>
  <si>
    <t>とします。但し、上記の契約期間の満了日前に、甲が要介護状態区分の変更の認定を受け、要介護認定有効期間の満了日が変更された場合には、変更後の要介護認定有効期間の満了日までとします。</t>
    <rPh sb="32" eb="34">
      <t>ヘンコウ</t>
    </rPh>
    <rPh sb="55" eb="57">
      <t>ヘンコウ</t>
    </rPh>
    <phoneticPr fontId="17"/>
  </si>
  <si>
    <t>要介護状態区分の変更の認定→要介護状態区分の認定</t>
    <rPh sb="8" eb="10">
      <t>ヘンコウ</t>
    </rPh>
    <phoneticPr fontId="17"/>
  </si>
  <si>
    <t>　上記の契約期間の満了日の７日以上前までに甲から更新拒絶の申出がない場合、この契約は当然に更新されるものとします。この契約が更新された場合、更新後の契約期間は、従前の契約期間の満了日の翌日から更新後の要介護認定有効期間の満了日までとします。</t>
    <rPh sb="1" eb="3">
      <t>ジョウキ</t>
    </rPh>
    <rPh sb="4" eb="6">
      <t>ケイヤク</t>
    </rPh>
    <rPh sb="6" eb="8">
      <t>キカン</t>
    </rPh>
    <rPh sb="9" eb="11">
      <t>マンリョウ</t>
    </rPh>
    <rPh sb="11" eb="12">
      <t>ヒ</t>
    </rPh>
    <rPh sb="14" eb="15">
      <t>ヒ</t>
    </rPh>
    <rPh sb="15" eb="17">
      <t>イジョウ</t>
    </rPh>
    <rPh sb="17" eb="18">
      <t>マエ</t>
    </rPh>
    <rPh sb="21" eb="22">
      <t>コウ</t>
    </rPh>
    <rPh sb="24" eb="26">
      <t>コウシン</t>
    </rPh>
    <rPh sb="26" eb="28">
      <t>キョゼツ</t>
    </rPh>
    <rPh sb="29" eb="30">
      <t>モウ</t>
    </rPh>
    <rPh sb="30" eb="31">
      <t>デ</t>
    </rPh>
    <rPh sb="34" eb="36">
      <t>バアイ</t>
    </rPh>
    <rPh sb="39" eb="41">
      <t>ケイヤク</t>
    </rPh>
    <rPh sb="42" eb="44">
      <t>トウゼン</t>
    </rPh>
    <rPh sb="45" eb="47">
      <t>コウシン</t>
    </rPh>
    <rPh sb="59" eb="61">
      <t>ケイヤク</t>
    </rPh>
    <rPh sb="62" eb="64">
      <t>コウシン</t>
    </rPh>
    <rPh sb="67" eb="69">
      <t>バアイ</t>
    </rPh>
    <rPh sb="70" eb="72">
      <t>コウシン</t>
    </rPh>
    <rPh sb="72" eb="73">
      <t>ゴ</t>
    </rPh>
    <rPh sb="74" eb="76">
      <t>ケイヤク</t>
    </rPh>
    <rPh sb="76" eb="78">
      <t>キカン</t>
    </rPh>
    <rPh sb="80" eb="82">
      <t>ジュウゼン</t>
    </rPh>
    <rPh sb="83" eb="85">
      <t>ケイヤク</t>
    </rPh>
    <rPh sb="85" eb="87">
      <t>キカン</t>
    </rPh>
    <rPh sb="88" eb="90">
      <t>マンリョウ</t>
    </rPh>
    <rPh sb="90" eb="91">
      <t>ビ</t>
    </rPh>
    <rPh sb="92" eb="94">
      <t>ヨクジツ</t>
    </rPh>
    <rPh sb="96" eb="98">
      <t>コウシン</t>
    </rPh>
    <rPh sb="98" eb="99">
      <t>ゴ</t>
    </rPh>
    <rPh sb="100" eb="101">
      <t>ヨウ</t>
    </rPh>
    <rPh sb="101" eb="103">
      <t>カイゴ</t>
    </rPh>
    <rPh sb="103" eb="105">
      <t>ニンテイ</t>
    </rPh>
    <rPh sb="105" eb="107">
      <t>ユウコウ</t>
    </rPh>
    <rPh sb="107" eb="109">
      <t>キカン</t>
    </rPh>
    <rPh sb="110" eb="112">
      <t>マンリョウ</t>
    </rPh>
    <rPh sb="112" eb="113">
      <t>ビ</t>
    </rPh>
    <phoneticPr fontId="17"/>
  </si>
  <si>
    <t>【ＡＤ：②介護保険証の有効期限が更新された場合は，第２項の規定によるものとします。】</t>
    <rPh sb="5" eb="7">
      <t>カイゴ</t>
    </rPh>
    <rPh sb="7" eb="9">
      <t>ホケン</t>
    </rPh>
    <rPh sb="9" eb="10">
      <t>ショウ</t>
    </rPh>
    <rPh sb="11" eb="13">
      <t>ユウコウ</t>
    </rPh>
    <rPh sb="13" eb="15">
      <t>キゲン</t>
    </rPh>
    <rPh sb="16" eb="18">
      <t>コウシン</t>
    </rPh>
    <rPh sb="21" eb="23">
      <t>バアイ</t>
    </rPh>
    <rPh sb="25" eb="26">
      <t>ダイ</t>
    </rPh>
    <rPh sb="27" eb="28">
      <t>コウ</t>
    </rPh>
    <rPh sb="29" eb="31">
      <t>キテイ</t>
    </rPh>
    <phoneticPr fontId="17"/>
  </si>
  <si>
    <t>（運営規程の概要）</t>
    <phoneticPr fontId="17"/>
  </si>
  <si>
    <t>第３条</t>
    <phoneticPr fontId="17"/>
  </si>
  <si>
    <t>　乙の運営規程の概要（事業の目的、職員の体制、通所介護サービスの内容等）、従業者の勤務の体制等は、重要事項説明書に記載したとおりです。</t>
  </si>
  <si>
    <t>（通所介護計画の作成・変更）</t>
    <phoneticPr fontId="17"/>
  </si>
  <si>
    <t>第４条</t>
    <phoneticPr fontId="17"/>
  </si>
  <si>
    <t>　乙は、甲の心身の状況、希望及びその置かれている環境を踏まえて、通所介護計画を作成し、通所介護計画作成後も当該計画の実施状況の把握に努めます。</t>
    <rPh sb="12" eb="14">
      <t>キボウ</t>
    </rPh>
    <rPh sb="14" eb="15">
      <t>オヨ</t>
    </rPh>
    <phoneticPr fontId="17"/>
  </si>
  <si>
    <t>【ＡＤ：指定基準の表現に修正しております。】</t>
    <rPh sb="6" eb="8">
      <t>キジュン</t>
    </rPh>
    <rPh sb="9" eb="11">
      <t>ヒョウゲン</t>
    </rPh>
    <rPh sb="12" eb="14">
      <t>シュウセイ</t>
    </rPh>
    <phoneticPr fontId="17"/>
  </si>
  <si>
    <t xml:space="preserve">※指定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指定基準９９条１項）。 </t>
    <rPh sb="1" eb="3">
      <t>シテイ</t>
    </rPh>
    <rPh sb="3" eb="5">
      <t>ツウショ</t>
    </rPh>
    <rPh sb="5" eb="7">
      <t>カイゴ</t>
    </rPh>
    <rPh sb="103" eb="105">
      <t>シテイ</t>
    </rPh>
    <rPh sb="105" eb="107">
      <t>キジュン</t>
    </rPh>
    <rPh sb="109" eb="110">
      <t>ジョウ</t>
    </rPh>
    <rPh sb="111" eb="112">
      <t>コウ</t>
    </rPh>
    <phoneticPr fontId="17"/>
  </si>
  <si>
    <t>　通所介護計画には、機能訓練等の目標、当該目標を達成するための具体的なサービス内容等を記載します。</t>
    <rPh sb="19" eb="21">
      <t>トウガイ</t>
    </rPh>
    <phoneticPr fontId="17"/>
  </si>
  <si>
    <t xml:space="preserve">※通所介護計画は、既に居宅サービス計画が作成されている場合は、当該居宅サービス計画の内容に沿って作成しなければならない（指定基準９９条２項）。 </t>
    <rPh sb="1" eb="3">
      <t>ツウショ</t>
    </rPh>
    <rPh sb="3" eb="5">
      <t>カイゴ</t>
    </rPh>
    <rPh sb="5" eb="7">
      <t>ケイカク</t>
    </rPh>
    <rPh sb="9" eb="10">
      <t>スデ</t>
    </rPh>
    <rPh sb="11" eb="13">
      <t>キョタク</t>
    </rPh>
    <rPh sb="17" eb="19">
      <t>ケイカク</t>
    </rPh>
    <rPh sb="20" eb="22">
      <t>サクセイ</t>
    </rPh>
    <rPh sb="27" eb="29">
      <t>バアイ</t>
    </rPh>
    <rPh sb="31" eb="33">
      <t>トウガイ</t>
    </rPh>
    <rPh sb="33" eb="35">
      <t>キョタク</t>
    </rPh>
    <rPh sb="39" eb="41">
      <t>ケイカク</t>
    </rPh>
    <rPh sb="42" eb="44">
      <t>ナイヨウ</t>
    </rPh>
    <rPh sb="45" eb="46">
      <t>ソ</t>
    </rPh>
    <rPh sb="48" eb="50">
      <t>サクセイ</t>
    </rPh>
    <rPh sb="60" eb="62">
      <t>シテイ</t>
    </rPh>
    <rPh sb="62" eb="64">
      <t>キジュン</t>
    </rPh>
    <rPh sb="66" eb="67">
      <t>ジョウ</t>
    </rPh>
    <rPh sb="68" eb="69">
      <t>コウ</t>
    </rPh>
    <phoneticPr fontId="17"/>
  </si>
  <si>
    <t>３</t>
    <phoneticPr fontId="17"/>
  </si>
  <si>
    <t>　通所介護計画は、既に居宅サービス計画が作成されている場合は、当該居宅サービス計画の内容に沿って作成します。</t>
    <rPh sb="9" eb="10">
      <t>スデ</t>
    </rPh>
    <rPh sb="31" eb="33">
      <t>トウガイ</t>
    </rPh>
    <rPh sb="33" eb="35">
      <t>キョタク</t>
    </rPh>
    <rPh sb="39" eb="41">
      <t>ケイカク</t>
    </rPh>
    <phoneticPr fontId="17"/>
  </si>
  <si>
    <t>４</t>
    <phoneticPr fontId="17"/>
  </si>
  <si>
    <t>　乙は、次のいずれかに該当する場合には、第１条に規定する通所介護サービスの目的に従い、通所介護計画の変更を行います。</t>
  </si>
  <si>
    <t>（１）</t>
    <phoneticPr fontId="17"/>
  </si>
  <si>
    <t>甲の心身の状況、その置かれている環境等の変化により当該通所介護計画を変更する必要がある場合</t>
    <phoneticPr fontId="17"/>
  </si>
  <si>
    <t>（２）</t>
    <phoneticPr fontId="17"/>
  </si>
  <si>
    <t>甲が通所介護サービスの内容や提供方法等の変更を希望する場合</t>
  </si>
  <si>
    <t>５</t>
    <phoneticPr fontId="17"/>
  </si>
  <si>
    <t>　前項の変更に際して、居宅サービス計画の変更が必要となる場合は、乙は、速やかに介護支援専門員に連絡するなど必要な援助を行います。</t>
    <rPh sb="39" eb="41">
      <t>カイゴ</t>
    </rPh>
    <rPh sb="41" eb="43">
      <t>シエン</t>
    </rPh>
    <rPh sb="43" eb="46">
      <t>センモンイン</t>
    </rPh>
    <phoneticPr fontId="17"/>
  </si>
  <si>
    <t>【ＡＤ：居宅支援事業者に所属していない介護支援専門員（ケアマネージャー）もいらっしゃるとのことですので，修正しております。以下同じ。】</t>
    <rPh sb="4" eb="6">
      <t>キョタク</t>
    </rPh>
    <rPh sb="6" eb="8">
      <t>シエン</t>
    </rPh>
    <rPh sb="8" eb="11">
      <t>ジギョウシャ</t>
    </rPh>
    <rPh sb="12" eb="14">
      <t>ショゾク</t>
    </rPh>
    <rPh sb="19" eb="21">
      <t>カイゴ</t>
    </rPh>
    <rPh sb="21" eb="23">
      <t>シエン</t>
    </rPh>
    <rPh sb="23" eb="25">
      <t>センモン</t>
    </rPh>
    <rPh sb="25" eb="26">
      <t>イン</t>
    </rPh>
    <rPh sb="52" eb="54">
      <t>シュウセイ</t>
    </rPh>
    <rPh sb="61" eb="63">
      <t>イカ</t>
    </rPh>
    <rPh sb="63" eb="64">
      <t>オナ</t>
    </rPh>
    <phoneticPr fontId="17"/>
  </si>
  <si>
    <t>６</t>
    <phoneticPr fontId="17"/>
  </si>
  <si>
    <t>　乙は、通所介護計画を作成し又は変更した際には、これを甲及び甲の家族又は甲の後見人に対し説明し、甲の同意を得るものとします。</t>
    <rPh sb="30" eb="31">
      <t>コウ</t>
    </rPh>
    <rPh sb="48" eb="49">
      <t>コウ</t>
    </rPh>
    <phoneticPr fontId="17"/>
  </si>
  <si>
    <t>【ＡＤ：「その同意」だと，「甲及びその後見人」を指すのか，「甲の家族」を指すのか，それとも，その両方を指すのかが不明確ですので，修正しております。】</t>
    <rPh sb="7" eb="9">
      <t>ドウイ</t>
    </rPh>
    <rPh sb="14" eb="15">
      <t>コウ</t>
    </rPh>
    <rPh sb="15" eb="16">
      <t>オヨ</t>
    </rPh>
    <rPh sb="19" eb="22">
      <t>コウケンニン</t>
    </rPh>
    <rPh sb="24" eb="25">
      <t>サ</t>
    </rPh>
    <rPh sb="30" eb="31">
      <t>コウ</t>
    </rPh>
    <rPh sb="32" eb="34">
      <t>カゾク</t>
    </rPh>
    <rPh sb="36" eb="37">
      <t>サ</t>
    </rPh>
    <rPh sb="48" eb="50">
      <t>リョウホウ</t>
    </rPh>
    <rPh sb="51" eb="52">
      <t>サ</t>
    </rPh>
    <rPh sb="56" eb="59">
      <t>フメイカク</t>
    </rPh>
    <rPh sb="64" eb="66">
      <t>シュウセイ</t>
    </rPh>
    <phoneticPr fontId="17"/>
  </si>
  <si>
    <t>（通所介護サービスの内容及びその提供）</t>
  </si>
  <si>
    <t>第５条</t>
    <phoneticPr fontId="17"/>
  </si>
  <si>
    <t>　乙は、通所介護計画に沿って、通所介護サービスを提供します。</t>
  </si>
  <si>
    <t>　乙は、甲に対して通所介護サービスを提供する毎に、当該サービスの提供日及び内容、介護保険から支払われる報酬等の必要事項を、介護支援専門員が作成し、甲の確認を受けた書面に記載します。</t>
    <rPh sb="63" eb="65">
      <t>シエン</t>
    </rPh>
    <rPh sb="65" eb="67">
      <t>センモン</t>
    </rPh>
    <rPh sb="67" eb="68">
      <t>イン</t>
    </rPh>
    <phoneticPr fontId="17"/>
  </si>
  <si>
    <t>　乙は、甲に対する通所介護サービスの実施状況等に関する記録を整備し、その完結の日から５年間保存しなければなりません。</t>
    <rPh sb="6" eb="7">
      <t>タイ</t>
    </rPh>
    <phoneticPr fontId="17"/>
  </si>
  <si>
    <t>【ＡＤ：指定基準の表現に修正しております。】</t>
    <rPh sb="4" eb="6">
      <t>シテイ</t>
    </rPh>
    <rPh sb="6" eb="8">
      <t>キジュン</t>
    </rPh>
    <rPh sb="9" eb="11">
      <t>ヒョウゲン</t>
    </rPh>
    <rPh sb="12" eb="14">
      <t>シュウセイ</t>
    </rPh>
    <phoneticPr fontId="17"/>
  </si>
  <si>
    <t>※指定通所介護事業者は，利用者に対する指定通所介護の提供に関する次の各号に掲げる記録を整備し，その完結の日から二年間保存しなければならない（指定基準１０４条の２第２項）。</t>
    <rPh sb="1" eb="3">
      <t>シテイ</t>
    </rPh>
    <rPh sb="3" eb="5">
      <t>ツウショ</t>
    </rPh>
    <rPh sb="5" eb="7">
      <t>カイゴ</t>
    </rPh>
    <rPh sb="7" eb="10">
      <t>ジギョウシャ</t>
    </rPh>
    <rPh sb="12" eb="15">
      <t>リヨウシャ</t>
    </rPh>
    <rPh sb="16" eb="17">
      <t>タイ</t>
    </rPh>
    <rPh sb="19" eb="21">
      <t>シテイ</t>
    </rPh>
    <rPh sb="21" eb="23">
      <t>ツウショ</t>
    </rPh>
    <rPh sb="23" eb="25">
      <t>カイゴ</t>
    </rPh>
    <rPh sb="26" eb="28">
      <t>テイキョウ</t>
    </rPh>
    <rPh sb="29" eb="30">
      <t>カン</t>
    </rPh>
    <rPh sb="32" eb="33">
      <t>ツギ</t>
    </rPh>
    <rPh sb="34" eb="36">
      <t>カクゴウ</t>
    </rPh>
    <rPh sb="37" eb="38">
      <t>カカ</t>
    </rPh>
    <rPh sb="40" eb="42">
      <t>キロク</t>
    </rPh>
    <rPh sb="43" eb="45">
      <t>セイビ</t>
    </rPh>
    <rPh sb="49" eb="51">
      <t>カンケツ</t>
    </rPh>
    <rPh sb="52" eb="53">
      <t>ヒ</t>
    </rPh>
    <rPh sb="55" eb="56">
      <t>ニ</t>
    </rPh>
    <rPh sb="56" eb="58">
      <t>ネンカン</t>
    </rPh>
    <rPh sb="58" eb="60">
      <t>ホゾン</t>
    </rPh>
    <rPh sb="77" eb="78">
      <t>ジョウ</t>
    </rPh>
    <rPh sb="80" eb="81">
      <t>ダイ</t>
    </rPh>
    <rPh sb="82" eb="83">
      <t>コウ</t>
    </rPh>
    <phoneticPr fontId="17"/>
  </si>
  <si>
    <t>　甲及び甲の家族又は甲の後見人は、必要がある場合は、乙に対し前項の記録の閲覧及び自費による謄写を求めることができます。但し、この閲覧及び謄写は、乙の業務に支障のない時間に行うこととします。</t>
    <rPh sb="4" eb="5">
      <t>コウ</t>
    </rPh>
    <phoneticPr fontId="17"/>
  </si>
  <si>
    <t>（居宅介護支援事業者等との連携）</t>
    <phoneticPr fontId="17"/>
  </si>
  <si>
    <t>第６条</t>
    <phoneticPr fontId="17"/>
  </si>
  <si>
    <t>　乙は、甲に対して通所介護サービスを提供するに当たっては、居宅介護支援事業者その他保健医療サービス又は福祉サービスを提供する者との密接な連携に努めます。</t>
    <rPh sb="49" eb="50">
      <t>マタ</t>
    </rPh>
    <phoneticPr fontId="17"/>
  </si>
  <si>
    <t>※指定訪問介護事業者は、指定訪問介護を提供するに当たっては、居宅介護支援事業者その他保健医療サービス又は福祉サービスを提供する者との密接な連携に努めなければならない（指定基準１４条第１項，１０５条）。</t>
    <rPh sb="1" eb="3">
      <t>シテイ</t>
    </rPh>
    <rPh sb="3" eb="5">
      <t>ホウモン</t>
    </rPh>
    <rPh sb="5" eb="7">
      <t>カイゴ</t>
    </rPh>
    <rPh sb="7" eb="10">
      <t>ジギョウシャ</t>
    </rPh>
    <rPh sb="12" eb="14">
      <t>シテイ</t>
    </rPh>
    <rPh sb="14" eb="16">
      <t>ホウモン</t>
    </rPh>
    <rPh sb="16" eb="18">
      <t>カイゴ</t>
    </rPh>
    <rPh sb="19" eb="21">
      <t>テイキョウ</t>
    </rPh>
    <rPh sb="24" eb="25">
      <t>ア</t>
    </rPh>
    <rPh sb="30" eb="32">
      <t>キョタク</t>
    </rPh>
    <rPh sb="32" eb="34">
      <t>カイゴ</t>
    </rPh>
    <rPh sb="34" eb="36">
      <t>シエン</t>
    </rPh>
    <rPh sb="36" eb="39">
      <t>ジギョウシャ</t>
    </rPh>
    <rPh sb="41" eb="42">
      <t>タ</t>
    </rPh>
    <rPh sb="42" eb="44">
      <t>ホケン</t>
    </rPh>
    <rPh sb="44" eb="46">
      <t>イリョウ</t>
    </rPh>
    <rPh sb="50" eb="51">
      <t>マタ</t>
    </rPh>
    <rPh sb="52" eb="54">
      <t>フクシ</t>
    </rPh>
    <rPh sb="59" eb="61">
      <t>テイキョウ</t>
    </rPh>
    <rPh sb="63" eb="64">
      <t>モノ</t>
    </rPh>
    <rPh sb="66" eb="68">
      <t>ミッセツ</t>
    </rPh>
    <rPh sb="69" eb="71">
      <t>レンケイ</t>
    </rPh>
    <rPh sb="72" eb="73">
      <t>ツト</t>
    </rPh>
    <rPh sb="89" eb="90">
      <t>ジョウ</t>
    </rPh>
    <rPh sb="90" eb="91">
      <t>ダイ</t>
    </rPh>
    <rPh sb="92" eb="93">
      <t>コウ</t>
    </rPh>
    <rPh sb="97" eb="98">
      <t>ジョウ</t>
    </rPh>
    <phoneticPr fontId="17"/>
  </si>
  <si>
    <t>　乙は、指定居宅介護支援事業者と居宅サービス計画の作成又は変更に関し、サービスを利用させることの対償として、金品その他の財産上の利益を収受しません。</t>
    <rPh sb="1" eb="2">
      <t>オツ</t>
    </rPh>
    <phoneticPr fontId="17"/>
  </si>
  <si>
    <t>（協力義務）</t>
    <phoneticPr fontId="17"/>
  </si>
  <si>
    <t>第７条</t>
    <phoneticPr fontId="17"/>
  </si>
  <si>
    <t>　甲、甲の家族及び甲の後見人は、乙が甲のため通所介護サービスを提供するにあたり、可能な限り乙に協力しなければなりません。</t>
    <rPh sb="3" eb="4">
      <t>コウ</t>
    </rPh>
    <phoneticPr fontId="17"/>
  </si>
  <si>
    <t>【ＡＤ：文言を修正しております。】</t>
    <rPh sb="4" eb="6">
      <t>モンゴン</t>
    </rPh>
    <rPh sb="7" eb="9">
      <t>シュウセイ</t>
    </rPh>
    <phoneticPr fontId="17"/>
  </si>
  <si>
    <t>（苦情対応）</t>
    <phoneticPr fontId="17"/>
  </si>
  <si>
    <t>第８条</t>
    <phoneticPr fontId="17"/>
  </si>
  <si>
    <t>　乙は、苦情対応の責任者及びその連絡先を明らかにし、乙が提供した通所介護サービスについて甲、甲の家族又は甲の後見人から苦情の申立てがある場合は、迅速かつ誠実に必要な対応を行います。</t>
  </si>
  <si>
    <t>　乙は、甲、甲の家族又は甲の後見人が苦情申し立て等を行ったことを理由として、甲に対し不利益な取扱いをすることはありません。</t>
  </si>
  <si>
    <t>（虐待防止に関する事項）</t>
  </si>
  <si>
    <t>第９条</t>
    <phoneticPr fontId="17"/>
  </si>
  <si>
    <t>　乙は、甲の人権の擁護・虐待の防止のため次の措置を講ずるものとします。</t>
    <phoneticPr fontId="17"/>
  </si>
  <si>
    <t>虐待を防止するための従業者に対する研修の実施</t>
  </si>
  <si>
    <t>利用者及びその家族からの苦情対応体制の整備</t>
  </si>
  <si>
    <t>（３）</t>
    <phoneticPr fontId="17"/>
  </si>
  <si>
    <t>その他虐待防止のために必要な措置</t>
  </si>
  <si>
    <t>　乙は、サービス提供中に、当該事業所従業者又は養護者（利用者の家族等高齢者を現に養護する者）による虐待を受けたと思われる利用者を発見した場合は、速やかに、これを指定権者及び市町村に通報します。</t>
    <rPh sb="84" eb="85">
      <t>オヨ</t>
    </rPh>
    <rPh sb="86" eb="89">
      <t>シチョウソン</t>
    </rPh>
    <phoneticPr fontId="17"/>
  </si>
  <si>
    <t>（身体的拘束等の禁止）</t>
    <phoneticPr fontId="17"/>
  </si>
  <si>
    <t>第１０条</t>
    <phoneticPr fontId="17"/>
  </si>
  <si>
    <t>　乙は、サービス提供にあたり身体的拘束その他甲の行動を制限する行為を行いません。但し、甲又は他の利用者等の生命又は身体を保護するため緊急やむを得ない場合は、この限りではありません。</t>
    <phoneticPr fontId="17"/>
  </si>
  <si>
    <t>　前項但し書きの規定に基づき身体的拘束等の行為を行った場合には、乙は、直ちに、その日時、態様、甲の心身の状況、緊急やむを得なかった理由、当該行為が必要と判断した職員等及び当該行為を行った職員等の氏名その他必要な事項について、サービス提供記録等に記録します。</t>
    <rPh sb="3" eb="4">
      <t>タダ</t>
    </rPh>
    <phoneticPr fontId="17"/>
  </si>
  <si>
    <t>（緊急時・事故発生時の対応）</t>
    <phoneticPr fontId="17"/>
  </si>
  <si>
    <t>第１１条</t>
    <phoneticPr fontId="17"/>
  </si>
  <si>
    <t>　乙は、現に通所介護サービスの提供を行っているときに甲に容態の急変が生じた場合その他必要な場合は、速やかに甲の主治医に連絡を取る等、必要な対応を講じます。</t>
  </si>
  <si>
    <t>（費用）</t>
    <phoneticPr fontId="17"/>
  </si>
  <si>
    <t>第１２条</t>
    <phoneticPr fontId="17"/>
  </si>
  <si>
    <t>　乙が提供する通所介護サービスの利用単位毎の利用料その他の費用は、重要事項説明書に記載したとおりです。</t>
  </si>
  <si>
    <t>　甲は、サービスの対価として前項の費用の額を元に月毎に算定された利用者負担額を乙の請求に従って乙に支払います。</t>
    <rPh sb="39" eb="40">
      <t>オツ</t>
    </rPh>
    <rPh sb="41" eb="43">
      <t>セイキュウ</t>
    </rPh>
    <rPh sb="44" eb="45">
      <t>シタガ</t>
    </rPh>
    <phoneticPr fontId="17"/>
  </si>
  <si>
    <t>　乙は、提供する通所介護サービスのうち、介護保険の適用を受けないものがある場合には、特にそのサービスの内容及び利用料金を甲に説明し、甲の同意を得ます。</t>
    <rPh sb="60" eb="61">
      <t>コウ</t>
    </rPh>
    <phoneticPr fontId="17"/>
  </si>
  <si>
    <t>　乙は、前３項に定める費用のほか、次の各号に掲げる費用の支払いを甲に請求することができます。</t>
    <phoneticPr fontId="17"/>
  </si>
  <si>
    <t>乙の通常の事業の実施地域以外の地域にある甲の居宅から、甲を送迎する場合に要する費用</t>
    <rPh sb="15" eb="17">
      <t>チイキ</t>
    </rPh>
    <phoneticPr fontId="17"/>
  </si>
  <si>
    <t>※利用者の選定により通常の事業の実施地域以外の地域に居住する利用者に対して行う送迎に要する費用（指定基準９６条３項１号）</t>
    <rPh sb="48" eb="50">
      <t>シテイ</t>
    </rPh>
    <rPh sb="50" eb="52">
      <t>キジュン</t>
    </rPh>
    <rPh sb="54" eb="55">
      <t>ジョウ</t>
    </rPh>
    <rPh sb="56" eb="57">
      <t>コウ</t>
    </rPh>
    <rPh sb="58" eb="59">
      <t>ゴウ</t>
    </rPh>
    <phoneticPr fontId="17"/>
  </si>
  <si>
    <t>甲の要望により通常要する時間を超えて提供された通所介護サービスの費用から通常提供される通所介護サービス費用を差し引いた額</t>
  </si>
  <si>
    <t>食事を提供した場合の食材料費</t>
    <phoneticPr fontId="17"/>
  </si>
  <si>
    <t>（４）</t>
    <phoneticPr fontId="17"/>
  </si>
  <si>
    <t>おむつ代、リハビリパンツ代、パッド代</t>
    <phoneticPr fontId="17"/>
  </si>
  <si>
    <t>（５）</t>
  </si>
  <si>
    <t>その他費用</t>
    <phoneticPr fontId="17"/>
  </si>
  <si>
    <t>洗濯代表記削除（千葉以外の直営のみ）</t>
    <rPh sb="0" eb="2">
      <t>センタク</t>
    </rPh>
    <rPh sb="2" eb="3">
      <t>ダイ</t>
    </rPh>
    <rPh sb="3" eb="5">
      <t>ヒョウキ</t>
    </rPh>
    <rPh sb="5" eb="7">
      <t>サクジョ</t>
    </rPh>
    <rPh sb="8" eb="10">
      <t>チバ</t>
    </rPh>
    <rPh sb="10" eb="12">
      <t>イガイ</t>
    </rPh>
    <rPh sb="13" eb="15">
      <t>チョクエイ</t>
    </rPh>
    <phoneticPr fontId="17"/>
  </si>
  <si>
    <t>通所介護サービスの中で提供される便宜のうち、日常生活においても通常必要となるものに係わる費用であって、甲に負担させることが適当と認められる費用</t>
  </si>
  <si>
    <t>　乙は、前項に定める費用の額にかかるサービスの提供にあたっては、あらかじめ甲に対し、当該サービスの内容及び費用について説明を行い、甲の同意を得なければなりません。</t>
    <phoneticPr fontId="17"/>
  </si>
  <si>
    <t>　乙は、甲が正当な理由で通所介護サービスの利用をキャンセルした場合は、キャンセル料の支払いを求めないものとします。</t>
  </si>
  <si>
    <t>７</t>
    <phoneticPr fontId="17"/>
  </si>
  <si>
    <t>　乙は、通所介護サービスの利用単位毎の利用料及びその他の費用の額を変更しようとする場合は、１ヶ月前までに甲に対し文書により通知し、変更の申し出を行います。</t>
    <rPh sb="47" eb="48">
      <t>ゲツ</t>
    </rPh>
    <phoneticPr fontId="17"/>
  </si>
  <si>
    <t>８</t>
    <phoneticPr fontId="17"/>
  </si>
  <si>
    <t>　乙は、前項に定める料金の変更を行う場合には、事前に説明し甲の同意を得た上で新たな料金に基づく重要事項説明書を交付します。</t>
    <phoneticPr fontId="17"/>
  </si>
  <si>
    <t>９</t>
    <phoneticPr fontId="17"/>
  </si>
  <si>
    <t>　甲は、第７項に定める料金の変更に同意することができない場合には、この契約を解除することができます。</t>
    <rPh sb="1" eb="2">
      <t>コウ</t>
    </rPh>
    <rPh sb="4" eb="5">
      <t>ダイ</t>
    </rPh>
    <rPh sb="6" eb="7">
      <t>コウ</t>
    </rPh>
    <rPh sb="8" eb="9">
      <t>サダ</t>
    </rPh>
    <rPh sb="11" eb="13">
      <t>リョウキン</t>
    </rPh>
    <rPh sb="14" eb="16">
      <t>ヘンコウ</t>
    </rPh>
    <rPh sb="17" eb="19">
      <t>ドウイ</t>
    </rPh>
    <rPh sb="28" eb="30">
      <t>バアイ</t>
    </rPh>
    <rPh sb="35" eb="37">
      <t>ケイヤク</t>
    </rPh>
    <rPh sb="38" eb="40">
      <t>カイジョ</t>
    </rPh>
    <phoneticPr fontId="17"/>
  </si>
  <si>
    <t>【ＡＤ：利用者様の同意が得られなかった場合の措置について，規定しております。】</t>
    <rPh sb="4" eb="7">
      <t>リヨウシャ</t>
    </rPh>
    <rPh sb="7" eb="8">
      <t>サマ</t>
    </rPh>
    <rPh sb="9" eb="11">
      <t>ドウイ</t>
    </rPh>
    <rPh sb="12" eb="13">
      <t>エ</t>
    </rPh>
    <rPh sb="19" eb="21">
      <t>バアイ</t>
    </rPh>
    <rPh sb="22" eb="24">
      <t>ソチ</t>
    </rPh>
    <rPh sb="29" eb="31">
      <t>キテイ</t>
    </rPh>
    <phoneticPr fontId="17"/>
  </si>
  <si>
    <t>（利用者負担額等の滞納）</t>
    <rPh sb="7" eb="8">
      <t>トウ</t>
    </rPh>
    <phoneticPr fontId="17"/>
  </si>
  <si>
    <t>第１３条</t>
    <phoneticPr fontId="17"/>
  </si>
  <si>
    <t>　甲が正当な理由なく乙に支払うべき利用者負担額、その他の費用の額の全部又は一部を２月以上滞納した場合は、乙は、甲に対し、３０日以上の期間を定めて、期間内に滞納額の全額の支払いがないときは、この契約を解除する旨の催告をすることができます。</t>
    <rPh sb="10" eb="11">
      <t>オツ</t>
    </rPh>
    <rPh sb="12" eb="14">
      <t>シハラ</t>
    </rPh>
    <rPh sb="26" eb="27">
      <t>ホカ</t>
    </rPh>
    <rPh sb="28" eb="30">
      <t>ヒヨウ</t>
    </rPh>
    <rPh sb="31" eb="32">
      <t>ガク</t>
    </rPh>
    <rPh sb="33" eb="35">
      <t>ゼンブ</t>
    </rPh>
    <rPh sb="35" eb="36">
      <t>マタ</t>
    </rPh>
    <rPh sb="37" eb="39">
      <t>イチブ</t>
    </rPh>
    <rPh sb="55" eb="56">
      <t>コウ</t>
    </rPh>
    <rPh sb="57" eb="58">
      <t>タイ</t>
    </rPh>
    <rPh sb="73" eb="75">
      <t>キカン</t>
    </rPh>
    <rPh sb="75" eb="76">
      <t>ナイ</t>
    </rPh>
    <rPh sb="77" eb="80">
      <t>タイノウガク</t>
    </rPh>
    <rPh sb="81" eb="83">
      <t>ゼンガク</t>
    </rPh>
    <rPh sb="84" eb="86">
      <t>シハラ</t>
    </rPh>
    <phoneticPr fontId="17"/>
  </si>
  <si>
    <t>　前項の催告をしたときは、乙は、介護支援専門員と、甲の日常生活を維持する見地から居宅サービス計画の変更、介護保険外の公的サービスの利用について必要な協議を行うものとします。</t>
    <rPh sb="18" eb="20">
      <t>シエン</t>
    </rPh>
    <rPh sb="20" eb="23">
      <t>センモンイン</t>
    </rPh>
    <phoneticPr fontId="17"/>
  </si>
  <si>
    <t>　乙は、前項に定める協議を行い、かつ甲が第１項に定める期間内に滞納額の支払いをしなかったときは、この契約を文書により解除することができます。</t>
    <phoneticPr fontId="17"/>
  </si>
  <si>
    <t>　乙は、前項の規定により解除に至るまでは、滞納を理由として通所介護サービスの提供を拒むことはできません。</t>
  </si>
  <si>
    <t>（秘密保持）</t>
    <phoneticPr fontId="17"/>
  </si>
  <si>
    <t>第１４条</t>
    <phoneticPr fontId="17"/>
  </si>
  <si>
    <t>　乙及びその従業員は、正当な理由がない限り、その業務上知り得た甲及び甲の家族又は甲の後見人の秘密を就業時及び退職後も漏らすことはありません。</t>
    <rPh sb="34" eb="35">
      <t>コウ</t>
    </rPh>
    <rPh sb="49" eb="51">
      <t>シュウギョウ</t>
    </rPh>
    <phoneticPr fontId="17"/>
  </si>
  <si>
    <t>【ＡＤ：誤字を修正しております。】</t>
    <rPh sb="4" eb="6">
      <t>ゴジ</t>
    </rPh>
    <rPh sb="7" eb="9">
      <t>シュウセイ</t>
    </rPh>
    <phoneticPr fontId="17"/>
  </si>
  <si>
    <t>　乙及びその従業員は、サービス担当者会議等において、甲又は甲の後見人の個人情報を用いる場合は甲又は甲の後見人の同意を、甲の家族の個人情報を用いる場合は当該家族の同意を得なければ、使用することができません。</t>
    <rPh sb="26" eb="27">
      <t>コウ</t>
    </rPh>
    <rPh sb="27" eb="28">
      <t>マタ</t>
    </rPh>
    <rPh sb="29" eb="30">
      <t>コウ</t>
    </rPh>
    <rPh sb="31" eb="34">
      <t>コウケンニン</t>
    </rPh>
    <rPh sb="35" eb="37">
      <t>コジン</t>
    </rPh>
    <rPh sb="37" eb="39">
      <t>ジョウホウ</t>
    </rPh>
    <rPh sb="40" eb="41">
      <t>モチ</t>
    </rPh>
    <rPh sb="43" eb="45">
      <t>バアイ</t>
    </rPh>
    <rPh sb="46" eb="47">
      <t>コウ</t>
    </rPh>
    <rPh sb="47" eb="48">
      <t>マタ</t>
    </rPh>
    <rPh sb="49" eb="50">
      <t>コウ</t>
    </rPh>
    <rPh sb="51" eb="54">
      <t>コウケンニン</t>
    </rPh>
    <rPh sb="55" eb="57">
      <t>ドウイ</t>
    </rPh>
    <rPh sb="59" eb="60">
      <t>コウ</t>
    </rPh>
    <rPh sb="61" eb="63">
      <t>カゾク</t>
    </rPh>
    <rPh sb="64" eb="66">
      <t>コジン</t>
    </rPh>
    <rPh sb="66" eb="68">
      <t>ジョウホウ</t>
    </rPh>
    <rPh sb="69" eb="70">
      <t>モチ</t>
    </rPh>
    <rPh sb="72" eb="74">
      <t>バアイ</t>
    </rPh>
    <rPh sb="75" eb="77">
      <t>トウガイ</t>
    </rPh>
    <rPh sb="77" eb="79">
      <t>カゾク</t>
    </rPh>
    <phoneticPr fontId="17"/>
  </si>
  <si>
    <t>※指定訪問介護事業者は、サービス担当者会議等において、利用者の個人情報を用いる場合は利用者の同意を、利用者の家族の個人情報を用いる場合は当該家族の同意を、あらかじめ文書により得ておかなければならない（指定基準３３条，１０５条）。</t>
    <rPh sb="100" eb="102">
      <t>シテイ</t>
    </rPh>
    <rPh sb="102" eb="104">
      <t>キジュン</t>
    </rPh>
    <rPh sb="106" eb="107">
      <t>ジョウ</t>
    </rPh>
    <rPh sb="111" eb="112">
      <t>ジョウ</t>
    </rPh>
    <phoneticPr fontId="17"/>
  </si>
  <si>
    <t>　第１項の規定にかかわらず、乙は、高齢者虐待の防止、高齢者の養護者に対する支援等に関する法律（いわゆる「高齢者虐待防止法」）に定める通報ができるものとし、その場合、乙は秘密保持義務違反の責任を負わないものとします。</t>
    <rPh sb="1" eb="2">
      <t>ダイ</t>
    </rPh>
    <rPh sb="3" eb="4">
      <t>コウ</t>
    </rPh>
    <rPh sb="5" eb="7">
      <t>キテイ</t>
    </rPh>
    <rPh sb="14" eb="15">
      <t>オツ</t>
    </rPh>
    <rPh sb="17" eb="20">
      <t>コウレイシャ</t>
    </rPh>
    <rPh sb="20" eb="22">
      <t>ギャクタイ</t>
    </rPh>
    <rPh sb="23" eb="25">
      <t>ボウシ</t>
    </rPh>
    <rPh sb="26" eb="29">
      <t>コウレイシャ</t>
    </rPh>
    <rPh sb="30" eb="32">
      <t>ヨウゴ</t>
    </rPh>
    <rPh sb="32" eb="33">
      <t>シャ</t>
    </rPh>
    <rPh sb="34" eb="35">
      <t>タイ</t>
    </rPh>
    <rPh sb="37" eb="39">
      <t>シエン</t>
    </rPh>
    <rPh sb="39" eb="40">
      <t>トウ</t>
    </rPh>
    <rPh sb="41" eb="42">
      <t>カン</t>
    </rPh>
    <rPh sb="44" eb="46">
      <t>ホウリツ</t>
    </rPh>
    <rPh sb="52" eb="55">
      <t>コウレイシャ</t>
    </rPh>
    <rPh sb="55" eb="57">
      <t>ギャクタイ</t>
    </rPh>
    <rPh sb="57" eb="59">
      <t>ボウシ</t>
    </rPh>
    <rPh sb="59" eb="60">
      <t>ホウ</t>
    </rPh>
    <rPh sb="63" eb="64">
      <t>サダ</t>
    </rPh>
    <rPh sb="66" eb="68">
      <t>ツウホウ</t>
    </rPh>
    <rPh sb="79" eb="81">
      <t>バアイ</t>
    </rPh>
    <rPh sb="82" eb="83">
      <t>オツ</t>
    </rPh>
    <rPh sb="84" eb="86">
      <t>ヒミツ</t>
    </rPh>
    <rPh sb="86" eb="88">
      <t>ホジ</t>
    </rPh>
    <rPh sb="88" eb="90">
      <t>ギム</t>
    </rPh>
    <rPh sb="90" eb="92">
      <t>イハン</t>
    </rPh>
    <rPh sb="93" eb="95">
      <t>セキニン</t>
    </rPh>
    <rPh sb="96" eb="97">
      <t>オ</t>
    </rPh>
    <phoneticPr fontId="17"/>
  </si>
  <si>
    <t>【ＡＤ：高齢者虐待防止法に定める通報は，本条に定める秘密保持義務の対象外としております。】</t>
    <rPh sb="4" eb="7">
      <t>コウレイシャ</t>
    </rPh>
    <rPh sb="7" eb="9">
      <t>ギャクタイ</t>
    </rPh>
    <rPh sb="9" eb="11">
      <t>ボウシ</t>
    </rPh>
    <rPh sb="11" eb="12">
      <t>ホウ</t>
    </rPh>
    <rPh sb="13" eb="14">
      <t>サダ</t>
    </rPh>
    <rPh sb="16" eb="18">
      <t>ツウホウ</t>
    </rPh>
    <rPh sb="20" eb="22">
      <t>ホンジョウ</t>
    </rPh>
    <rPh sb="23" eb="24">
      <t>サダ</t>
    </rPh>
    <rPh sb="26" eb="28">
      <t>ヒミツ</t>
    </rPh>
    <rPh sb="28" eb="30">
      <t>ホジ</t>
    </rPh>
    <rPh sb="30" eb="32">
      <t>ギム</t>
    </rPh>
    <rPh sb="33" eb="36">
      <t>タイショウガイ</t>
    </rPh>
    <phoneticPr fontId="17"/>
  </si>
  <si>
    <t>（甲の解除権）</t>
    <phoneticPr fontId="17"/>
  </si>
  <si>
    <t>第１５条</t>
    <phoneticPr fontId="17"/>
  </si>
  <si>
    <t>　甲は、７日間以上の予告期間をもって、いつでもこの契約を解除することができます。</t>
    <phoneticPr fontId="17"/>
  </si>
  <si>
    <t>（乙の解除権）</t>
    <phoneticPr fontId="17"/>
  </si>
  <si>
    <t>第１６条</t>
    <phoneticPr fontId="17"/>
  </si>
  <si>
    <t>　乙は、甲が法令違反又はサービス提供を阻害する行為（介護職員や他の利用者に対する故意による暴言・暴力行為等並びにセクハラ行為等）をなし、乙の再三の申し入れにもかかわらず改善の見込みがなく、この契約の目的を達することが困難になったときは、３０日間以上の予告期間をもって、この契約を解除することができます。</t>
    <phoneticPr fontId="17"/>
  </si>
  <si>
    <t>　乙は、前項によりこの契約を解除しようとする場合は、介護支援専門員や公的機関等と協議し、必要な援助を行います。</t>
    <rPh sb="26" eb="28">
      <t>カイゴ</t>
    </rPh>
    <rPh sb="28" eb="30">
      <t>シエン</t>
    </rPh>
    <rPh sb="30" eb="32">
      <t>センモン</t>
    </rPh>
    <rPh sb="32" eb="33">
      <t>イン</t>
    </rPh>
    <phoneticPr fontId="17"/>
  </si>
  <si>
    <t>（契約の終了）</t>
    <phoneticPr fontId="17"/>
  </si>
  <si>
    <t>第１７条</t>
    <phoneticPr fontId="17"/>
  </si>
  <si>
    <t>　次に掲げるいずれかの事由が発生した場合は、その日をもって、この契約は終了するものとします。</t>
    <phoneticPr fontId="17"/>
  </si>
  <si>
    <t>甲が、要介護認定を受けられなかったとき</t>
    <phoneticPr fontId="17"/>
  </si>
  <si>
    <t>第２条第２項により、契約期間満了日の７日前までに甲から更新拒絶の申し出があり、かつ契約期間が満了したとき</t>
    <rPh sb="3" eb="4">
      <t>ダイ</t>
    </rPh>
    <phoneticPr fontId="17"/>
  </si>
  <si>
    <t>【ＡＤ：更新拒絶の申し出は，２条２項の規定に関するものですので，削除しております。】</t>
    <rPh sb="4" eb="6">
      <t>コウシン</t>
    </rPh>
    <rPh sb="6" eb="8">
      <t>キョゼツ</t>
    </rPh>
    <rPh sb="9" eb="10">
      <t>モウ</t>
    </rPh>
    <rPh sb="11" eb="12">
      <t>デ</t>
    </rPh>
    <rPh sb="15" eb="16">
      <t>ジョウ</t>
    </rPh>
    <rPh sb="17" eb="18">
      <t>コウ</t>
    </rPh>
    <rPh sb="19" eb="21">
      <t>キテイ</t>
    </rPh>
    <rPh sb="22" eb="23">
      <t>カン</t>
    </rPh>
    <rPh sb="32" eb="34">
      <t>サクジョ</t>
    </rPh>
    <phoneticPr fontId="17"/>
  </si>
  <si>
    <t>甲が、介護保険施設や医療施設等へ入所又は入院等をしたとき</t>
    <phoneticPr fontId="17"/>
  </si>
  <si>
    <t>【ＡＤ：２、３日程度の一時的な入院の場合にも，この契約は終了してしまいますので，但書を追加しております。※契約が終了した場合，再契約（同意書の再取得を含む。）が必要となります。】</t>
    <rPh sb="7" eb="8">
      <t>ヒ</t>
    </rPh>
    <rPh sb="8" eb="10">
      <t>テイド</t>
    </rPh>
    <rPh sb="11" eb="14">
      <t>イチジテキ</t>
    </rPh>
    <rPh sb="15" eb="17">
      <t>ニュウイン</t>
    </rPh>
    <rPh sb="18" eb="20">
      <t>バアイ</t>
    </rPh>
    <rPh sb="25" eb="27">
      <t>ケイヤク</t>
    </rPh>
    <rPh sb="28" eb="30">
      <t>シュウリョウ</t>
    </rPh>
    <rPh sb="40" eb="42">
      <t>タダシガキ</t>
    </rPh>
    <rPh sb="43" eb="45">
      <t>ツイカ</t>
    </rPh>
    <rPh sb="53" eb="55">
      <t>ケイヤク</t>
    </rPh>
    <rPh sb="56" eb="58">
      <t>シュウリョウ</t>
    </rPh>
    <rPh sb="60" eb="62">
      <t>バアイ</t>
    </rPh>
    <rPh sb="63" eb="66">
      <t>サイケイヤク</t>
    </rPh>
    <rPh sb="67" eb="70">
      <t>ドウイショ</t>
    </rPh>
    <rPh sb="71" eb="74">
      <t>サイシュトク</t>
    </rPh>
    <rPh sb="75" eb="76">
      <t>フク</t>
    </rPh>
    <rPh sb="80" eb="82">
      <t>ヒツヨウ</t>
    </rPh>
    <phoneticPr fontId="17"/>
  </si>
  <si>
    <t>但し、乙が認めた場合を除きます。</t>
    <rPh sb="0" eb="1">
      <t>タダ</t>
    </rPh>
    <rPh sb="3" eb="4">
      <t>オツ</t>
    </rPh>
    <rPh sb="5" eb="6">
      <t>ミト</t>
    </rPh>
    <rPh sb="8" eb="10">
      <t>バアイ</t>
    </rPh>
    <rPh sb="11" eb="12">
      <t>ノゾ</t>
    </rPh>
    <phoneticPr fontId="17"/>
  </si>
  <si>
    <t>（６）</t>
    <phoneticPr fontId="17"/>
  </si>
  <si>
    <t>甲が、死亡したとき</t>
    <phoneticPr fontId="17"/>
  </si>
  <si>
    <t>（７）</t>
    <phoneticPr fontId="17"/>
  </si>
  <si>
    <t>甲が、要介護認定を取り消されたとき</t>
    <rPh sb="0" eb="1">
      <t>コウ</t>
    </rPh>
    <rPh sb="3" eb="4">
      <t>ヨウ</t>
    </rPh>
    <rPh sb="4" eb="6">
      <t>カイゴ</t>
    </rPh>
    <rPh sb="6" eb="8">
      <t>ニンテイ</t>
    </rPh>
    <rPh sb="9" eb="10">
      <t>ト</t>
    </rPh>
    <rPh sb="11" eb="12">
      <t>ケ</t>
    </rPh>
    <phoneticPr fontId="17"/>
  </si>
  <si>
    <t>【ＡＤ：「要介護認定が取り消されたとき」についても，この契約が終了する旨を追加しております。】</t>
    <rPh sb="5" eb="6">
      <t>ヨウ</t>
    </rPh>
    <rPh sb="6" eb="8">
      <t>カイゴ</t>
    </rPh>
    <rPh sb="8" eb="10">
      <t>ニンテイ</t>
    </rPh>
    <rPh sb="11" eb="12">
      <t>ト</t>
    </rPh>
    <rPh sb="13" eb="14">
      <t>ケ</t>
    </rPh>
    <rPh sb="28" eb="30">
      <t>ケイヤク</t>
    </rPh>
    <rPh sb="31" eb="33">
      <t>シュウリョウ</t>
    </rPh>
    <rPh sb="35" eb="36">
      <t>ムネ</t>
    </rPh>
    <rPh sb="37" eb="39">
      <t>ツイカ</t>
    </rPh>
    <phoneticPr fontId="17"/>
  </si>
  <si>
    <t>（損害賠償）</t>
    <phoneticPr fontId="17"/>
  </si>
  <si>
    <t>第１８条</t>
    <phoneticPr fontId="17"/>
  </si>
  <si>
    <t>　乙は、通所介護サービスの提供にあたって、事故が発生した場合には、速やかに甲の家族及び甲の後見人に連絡を行うとともに、必要な措置を講じます。</t>
  </si>
  <si>
    <t>　乙は、甲に対する通所介護サービスの提供にあたって、甲又は甲の家族の生命・身体・財産に損害が発生した場合は、速やかに甲又は甲の家族に対して損害を賠償します。但し、乙に故意、過失がない場合はこの限りではありません。</t>
    <rPh sb="4" eb="5">
      <t>コウ</t>
    </rPh>
    <rPh sb="6" eb="7">
      <t>タイ</t>
    </rPh>
    <rPh sb="18" eb="20">
      <t>テイキョウ</t>
    </rPh>
    <rPh sb="26" eb="27">
      <t>コウ</t>
    </rPh>
    <rPh sb="27" eb="28">
      <t>マタ</t>
    </rPh>
    <rPh sb="29" eb="30">
      <t>コウ</t>
    </rPh>
    <rPh sb="31" eb="33">
      <t>カゾク</t>
    </rPh>
    <rPh sb="34" eb="36">
      <t>セイメイ</t>
    </rPh>
    <rPh sb="37" eb="39">
      <t>シンタイ</t>
    </rPh>
    <rPh sb="40" eb="42">
      <t>ザイサン</t>
    </rPh>
    <rPh sb="43" eb="45">
      <t>ソンガイ</t>
    </rPh>
    <rPh sb="46" eb="48">
      <t>ハッセイ</t>
    </rPh>
    <rPh sb="50" eb="52">
      <t>バアイ</t>
    </rPh>
    <rPh sb="54" eb="55">
      <t>スミ</t>
    </rPh>
    <rPh sb="58" eb="59">
      <t>コウ</t>
    </rPh>
    <rPh sb="59" eb="60">
      <t>マタ</t>
    </rPh>
    <rPh sb="61" eb="62">
      <t>コウ</t>
    </rPh>
    <rPh sb="63" eb="65">
      <t>カゾク</t>
    </rPh>
    <rPh sb="66" eb="67">
      <t>タイ</t>
    </rPh>
    <rPh sb="69" eb="71">
      <t>ソンガイ</t>
    </rPh>
    <rPh sb="72" eb="74">
      <t>バイショウ</t>
    </rPh>
    <phoneticPr fontId="17"/>
  </si>
  <si>
    <t>【ＡＤ：２項は，ＪＣＧに，故意、過失がない場合に，ＪＣＧの損害賠償責任を免責するための規定ですので，正確に記載しております。】</t>
    <rPh sb="5" eb="6">
      <t>コウ</t>
    </rPh>
    <rPh sb="13" eb="15">
      <t>コイ</t>
    </rPh>
    <rPh sb="16" eb="18">
      <t>カシツ</t>
    </rPh>
    <rPh sb="21" eb="23">
      <t>バアイ</t>
    </rPh>
    <rPh sb="29" eb="31">
      <t>ソンガイ</t>
    </rPh>
    <rPh sb="31" eb="33">
      <t>バイショウ</t>
    </rPh>
    <rPh sb="33" eb="35">
      <t>セキニン</t>
    </rPh>
    <rPh sb="36" eb="38">
      <t>メンセキ</t>
    </rPh>
    <rPh sb="43" eb="45">
      <t>キテイ</t>
    </rPh>
    <rPh sb="50" eb="52">
      <t>セイカク</t>
    </rPh>
    <rPh sb="53" eb="55">
      <t>キサイ</t>
    </rPh>
    <phoneticPr fontId="17"/>
  </si>
  <si>
    <t>　第１項の事故が発生した場合、内容によっては基準に基づき、指定権者への報告を行います。</t>
    <phoneticPr fontId="17"/>
  </si>
  <si>
    <t>　第１項の事故によって乙に損害賠償義務が発生する場合において、当該事故発生につき甲又は甲の家族に重過失がある場合は、損害賠償の額を減額することができます。</t>
    <rPh sb="41" eb="42">
      <t>マタ</t>
    </rPh>
    <rPh sb="43" eb="44">
      <t>コウ</t>
    </rPh>
    <rPh sb="45" eb="47">
      <t>カゾク</t>
    </rPh>
    <phoneticPr fontId="17"/>
  </si>
  <si>
    <t>【ＡＤ：甲の家族の重過失も考慮すべきと考えます。】</t>
    <rPh sb="4" eb="5">
      <t>コウ</t>
    </rPh>
    <rPh sb="6" eb="8">
      <t>カゾク</t>
    </rPh>
    <rPh sb="9" eb="12">
      <t>ジュウカシツ</t>
    </rPh>
    <rPh sb="10" eb="12">
      <t>カシツ</t>
    </rPh>
    <rPh sb="13" eb="15">
      <t>コウリョ</t>
    </rPh>
    <rPh sb="19" eb="20">
      <t>カンガ</t>
    </rPh>
    <phoneticPr fontId="17"/>
  </si>
  <si>
    <t>　第２項の義務履行を確保するため、乙は賠償損害保険に加入します。</t>
    <rPh sb="5" eb="7">
      <t>ギム</t>
    </rPh>
    <rPh sb="7" eb="9">
      <t>リコウ</t>
    </rPh>
    <rPh sb="10" eb="12">
      <t>カクホ</t>
    </rPh>
    <rPh sb="17" eb="18">
      <t>オツ</t>
    </rPh>
    <rPh sb="19" eb="21">
      <t>バイショウ</t>
    </rPh>
    <rPh sb="21" eb="23">
      <t>ソンガイ</t>
    </rPh>
    <rPh sb="23" eb="25">
      <t>ホケン</t>
    </rPh>
    <rPh sb="26" eb="28">
      <t>カニュウ</t>
    </rPh>
    <phoneticPr fontId="17"/>
  </si>
  <si>
    <t>【ＡＤ：保険加入は，５項に移動させております。】</t>
    <rPh sb="4" eb="6">
      <t>ホケン</t>
    </rPh>
    <rPh sb="6" eb="8">
      <t>カニュウ</t>
    </rPh>
    <rPh sb="11" eb="12">
      <t>コウ</t>
    </rPh>
    <rPh sb="13" eb="15">
      <t>イドウ</t>
    </rPh>
    <phoneticPr fontId="17"/>
  </si>
  <si>
    <t>（利用者代理人）</t>
    <phoneticPr fontId="17"/>
  </si>
  <si>
    <t>第１９条</t>
    <phoneticPr fontId="17"/>
  </si>
  <si>
    <t>　甲は、代理人を選任してこの契約を締結させることができ、又、この契約に定める権利の行使と義務の履行を代理して行わせることができます。</t>
    <phoneticPr fontId="17"/>
  </si>
  <si>
    <t>　甲の代理人選任に際して必要がある場合は、乙は成年後見制度や地域福祉権利擁護事業の内容を説明するものとします。</t>
    <phoneticPr fontId="17"/>
  </si>
  <si>
    <t>（合意管轄）</t>
    <phoneticPr fontId="17"/>
  </si>
  <si>
    <t>第２０条</t>
    <phoneticPr fontId="17"/>
  </si>
  <si>
    <t>　この契約に起因する紛争に関して訴訟の必要が生じたときは、事業者の本店所在地を管轄する地方裁判所を第一審の専属的合意管轄裁判所とします。</t>
    <phoneticPr fontId="17"/>
  </si>
  <si>
    <t>文言修正</t>
    <rPh sb="0" eb="2">
      <t>モンゴン</t>
    </rPh>
    <rPh sb="2" eb="4">
      <t>シュウセイ</t>
    </rPh>
    <phoneticPr fontId="17"/>
  </si>
  <si>
    <t>【ＡＤ：地域によっては，「ご利用者の住所」を管轄裁判所とするよう指導があるとのことですが，原則としては，「事業者の本店所在地」を管轄裁判所とするのが望ましいと考えます。】</t>
    <rPh sb="4" eb="6">
      <t>チイキ</t>
    </rPh>
    <rPh sb="14" eb="16">
      <t>リヨウ</t>
    </rPh>
    <rPh sb="16" eb="17">
      <t>シャ</t>
    </rPh>
    <rPh sb="18" eb="20">
      <t>ジュウショ</t>
    </rPh>
    <rPh sb="22" eb="24">
      <t>カンカツ</t>
    </rPh>
    <rPh sb="24" eb="27">
      <t>サイバンショ</t>
    </rPh>
    <rPh sb="32" eb="34">
      <t>シドウ</t>
    </rPh>
    <rPh sb="45" eb="47">
      <t>ゲンソク</t>
    </rPh>
    <rPh sb="53" eb="56">
      <t>ジギョウシャ</t>
    </rPh>
    <rPh sb="57" eb="59">
      <t>ホンテン</t>
    </rPh>
    <rPh sb="59" eb="62">
      <t>ショザイチ</t>
    </rPh>
    <rPh sb="64" eb="66">
      <t>カンカツ</t>
    </rPh>
    <rPh sb="66" eb="69">
      <t>サイバンショ</t>
    </rPh>
    <rPh sb="74" eb="75">
      <t>ノゾ</t>
    </rPh>
    <rPh sb="79" eb="80">
      <t>カンガ</t>
    </rPh>
    <phoneticPr fontId="17"/>
  </si>
  <si>
    <t>（協議事項）</t>
    <phoneticPr fontId="17"/>
  </si>
  <si>
    <t>第２１条</t>
    <phoneticPr fontId="17"/>
  </si>
  <si>
    <t>　この契約に定めのない事項については、介護保険法、その他の関係法令を遵守し、甲乙の協議により定めます。</t>
    <phoneticPr fontId="17"/>
  </si>
  <si>
    <t>（身元引受人兼連帯保証人）</t>
    <phoneticPr fontId="17"/>
  </si>
  <si>
    <t>第２２条</t>
    <phoneticPr fontId="17"/>
  </si>
  <si>
    <t>　乙は、甲に対して身元引受人兼連帯保証人を定めることを請求できます。ただし、身元引受人を定めることができないやむを得ない理由がある場合はその限りではありません。なお、利用者代理人は身元引受人を兼ねることができます。</t>
    <rPh sb="1" eb="2">
      <t>オツ</t>
    </rPh>
    <rPh sb="4" eb="5">
      <t>コウ</t>
    </rPh>
    <phoneticPr fontId="17"/>
  </si>
  <si>
    <t>　身元引受人兼連帯保証人は、本契約に基づく甲の乙に対する責務について連帯保証人になると共に、乙が必要ありと認め要請したときは、これに応じて乙と協議し、身上監護に関する決定、甲の身柄の引き取り、残置財産の引き取り等を行うことに責任を負います。</t>
    <rPh sb="6" eb="7">
      <t>ケン</t>
    </rPh>
    <rPh sb="7" eb="9">
      <t>レンタイ</t>
    </rPh>
    <rPh sb="9" eb="12">
      <t>ホショウニン</t>
    </rPh>
    <rPh sb="21" eb="22">
      <t>コウ</t>
    </rPh>
    <rPh sb="23" eb="24">
      <t>オツ</t>
    </rPh>
    <rPh sb="46" eb="47">
      <t>オツ</t>
    </rPh>
    <rPh sb="69" eb="70">
      <t>オツ</t>
    </rPh>
    <rPh sb="86" eb="87">
      <t>コウ</t>
    </rPh>
    <phoneticPr fontId="17"/>
  </si>
  <si>
    <t>以上</t>
    <rPh sb="0" eb="2">
      <t>イジョウ</t>
    </rPh>
    <phoneticPr fontId="17"/>
  </si>
  <si>
    <t>　この契約の成立を証するため本書２通を作成し、甲乙各１通ずつを保有します。</t>
    <phoneticPr fontId="17"/>
  </si>
  <si>
    <t>【ＡＤ：文言の修正をしてります。】</t>
    <rPh sb="4" eb="6">
      <t>モンゴン</t>
    </rPh>
    <rPh sb="7" eb="9">
      <t>シュウセイ</t>
    </rPh>
    <phoneticPr fontId="17"/>
  </si>
  <si>
    <t>　　　　　　　　年　　　月　　　日</t>
    <phoneticPr fontId="17"/>
  </si>
  <si>
    <t>利用者　甲</t>
    <phoneticPr fontId="17"/>
  </si>
  <si>
    <t>住　　所</t>
    <phoneticPr fontId="17"/>
  </si>
  <si>
    <t>氏　　名</t>
    <phoneticPr fontId="17"/>
  </si>
  <si>
    <t>甲の代理人</t>
    <rPh sb="0" eb="1">
      <t>コウ</t>
    </rPh>
    <phoneticPr fontId="17"/>
  </si>
  <si>
    <t>【ＡＤ：「甲の」代理人であることを明記しております。】</t>
    <rPh sb="5" eb="6">
      <t>コウ</t>
    </rPh>
    <rPh sb="8" eb="11">
      <t>ダイリニン</t>
    </rPh>
    <rPh sb="17" eb="19">
      <t>メイキ</t>
    </rPh>
    <phoneticPr fontId="17"/>
  </si>
  <si>
    <t>（又は、甲の家族代表）</t>
    <phoneticPr fontId="17"/>
  </si>
  <si>
    <t>続柄欄追加</t>
    <rPh sb="0" eb="2">
      <t>ゾクガラ</t>
    </rPh>
    <rPh sb="2" eb="3">
      <t>ラン</t>
    </rPh>
    <rPh sb="3" eb="5">
      <t>ツイカ</t>
    </rPh>
    <phoneticPr fontId="17"/>
  </si>
  <si>
    <t>身元引受人兼連帯保証人</t>
    <rPh sb="0" eb="2">
      <t>ミモト</t>
    </rPh>
    <rPh sb="2" eb="4">
      <t>ヒキウケ</t>
    </rPh>
    <rPh sb="4" eb="5">
      <t>ニン</t>
    </rPh>
    <rPh sb="5" eb="6">
      <t>ケン</t>
    </rPh>
    <rPh sb="6" eb="8">
      <t>レンタイ</t>
    </rPh>
    <rPh sb="8" eb="11">
      <t>ホショウニン</t>
    </rPh>
    <phoneticPr fontId="17"/>
  </si>
  <si>
    <t>事業者　乙</t>
    <phoneticPr fontId="17"/>
  </si>
  <si>
    <t>事業者名</t>
    <rPh sb="0" eb="3">
      <t>ジギョウシャ</t>
    </rPh>
    <rPh sb="3" eb="4">
      <t>メイ</t>
    </rPh>
    <phoneticPr fontId="17"/>
  </si>
  <si>
    <t>代表者名</t>
    <rPh sb="0" eb="2">
      <t>ダイヒョウ</t>
    </rPh>
    <rPh sb="2" eb="3">
      <t>シャ</t>
    </rPh>
    <rPh sb="3" eb="4">
      <t>メイ</t>
    </rPh>
    <phoneticPr fontId="17"/>
  </si>
  <si>
    <t>負担割合</t>
    <rPh sb="0" eb="2">
      <t>フタン</t>
    </rPh>
    <rPh sb="2" eb="4">
      <t>ワリアイ</t>
    </rPh>
    <phoneticPr fontId="12"/>
  </si>
  <si>
    <t>１割負担</t>
    <rPh sb="1" eb="2">
      <t>ワリ</t>
    </rPh>
    <rPh sb="2" eb="4">
      <t>フタン</t>
    </rPh>
    <phoneticPr fontId="123"/>
  </si>
  <si>
    <t>←プルダウンから選択してください
　※手書きしたい場合は入力しないでください</t>
    <rPh sb="8" eb="10">
      <t>センタク</t>
    </rPh>
    <rPh sb="19" eb="21">
      <t>テガ</t>
    </rPh>
    <rPh sb="25" eb="27">
      <t>バアイ</t>
    </rPh>
    <rPh sb="28" eb="30">
      <t>ニュウリョク</t>
    </rPh>
    <phoneticPr fontId="12"/>
  </si>
  <si>
    <t>要介護度</t>
    <rPh sb="0" eb="3">
      <t>ヨウカイゴ</t>
    </rPh>
    <rPh sb="3" eb="4">
      <t>ド</t>
    </rPh>
    <phoneticPr fontId="12"/>
  </si>
  <si>
    <t>当事業所の体制</t>
    <rPh sb="0" eb="1">
      <t>トウ</t>
    </rPh>
    <rPh sb="1" eb="4">
      <t>ジギョウショ</t>
    </rPh>
    <rPh sb="5" eb="7">
      <t>タイセイ</t>
    </rPh>
    <phoneticPr fontId="12"/>
  </si>
  <si>
    <t>生活保護</t>
    <rPh sb="0" eb="2">
      <t>セイカツ</t>
    </rPh>
    <rPh sb="2" eb="4">
      <t>ホゴ</t>
    </rPh>
    <phoneticPr fontId="123"/>
  </si>
  <si>
    <t>１０割</t>
    <rPh sb="2" eb="3">
      <t>ワリ</t>
    </rPh>
    <phoneticPr fontId="12"/>
  </si>
  <si>
    <t>設定期間</t>
    <rPh sb="0" eb="2">
      <t>セッテイ</t>
    </rPh>
    <rPh sb="2" eb="4">
      <t>キカン</t>
    </rPh>
    <phoneticPr fontId="17"/>
  </si>
  <si>
    <t>サービス提供
体制強化加算</t>
    <phoneticPr fontId="12"/>
  </si>
  <si>
    <t>中山間地域等
提供加算</t>
    <phoneticPr fontId="12"/>
  </si>
  <si>
    <t>９割</t>
    <rPh sb="1" eb="2">
      <t>ワリ</t>
    </rPh>
    <phoneticPr fontId="12"/>
  </si>
  <si>
    <t>月間</t>
    <rPh sb="0" eb="2">
      <t>ゲッカン</t>
    </rPh>
    <phoneticPr fontId="17"/>
  </si>
  <si>
    <t>要介護３</t>
    <rPh sb="0" eb="1">
      <t>ヨウ</t>
    </rPh>
    <rPh sb="1" eb="3">
      <t>カイゴ</t>
    </rPh>
    <phoneticPr fontId="12"/>
  </si>
  <si>
    <t>２割負担</t>
    <rPh sb="1" eb="2">
      <t>ワリ</t>
    </rPh>
    <rPh sb="2" eb="4">
      <t>フタン</t>
    </rPh>
    <phoneticPr fontId="123"/>
  </si>
  <si>
    <t>８割</t>
    <rPh sb="1" eb="2">
      <t>ワリ</t>
    </rPh>
    <phoneticPr fontId="12"/>
  </si>
  <si>
    <t>３割負担</t>
    <rPh sb="1" eb="2">
      <t>ワリ</t>
    </rPh>
    <rPh sb="2" eb="4">
      <t>フタン</t>
    </rPh>
    <phoneticPr fontId="123"/>
  </si>
  <si>
    <t>７割</t>
    <rPh sb="1" eb="2">
      <t>ワリ</t>
    </rPh>
    <phoneticPr fontId="12"/>
  </si>
  <si>
    <t>No.</t>
    <phoneticPr fontId="12"/>
  </si>
  <si>
    <t>サービス内容</t>
    <rPh sb="4" eb="6">
      <t>ナイヨウ</t>
    </rPh>
    <phoneticPr fontId="12"/>
  </si>
  <si>
    <t>算定項目</t>
    <phoneticPr fontId="12"/>
  </si>
  <si>
    <t>単位数</t>
    <rPh sb="0" eb="3">
      <t>タンイスウ</t>
    </rPh>
    <phoneticPr fontId="12"/>
  </si>
  <si>
    <t>カウント</t>
    <phoneticPr fontId="12"/>
  </si>
  <si>
    <t>合計単位数</t>
    <rPh sb="0" eb="2">
      <t>ゴウケイ</t>
    </rPh>
    <rPh sb="2" eb="5">
      <t>タンイスウ</t>
    </rPh>
    <phoneticPr fontId="12"/>
  </si>
  <si>
    <t>処遇改善加算</t>
    <rPh sb="0" eb="6">
      <t>ショグウカイゼンカサン</t>
    </rPh>
    <phoneticPr fontId="12"/>
  </si>
  <si>
    <t>要介護１</t>
    <rPh sb="0" eb="1">
      <t>ヨウ</t>
    </rPh>
    <rPh sb="1" eb="3">
      <t>カイゴ</t>
    </rPh>
    <phoneticPr fontId="12"/>
  </si>
  <si>
    <t>[要介護３]８時間以上９時間未満</t>
  </si>
  <si>
    <t>（Ⅰ）</t>
    <phoneticPr fontId="127"/>
  </si>
  <si>
    <t>サービス内容</t>
    <phoneticPr fontId="12"/>
  </si>
  <si>
    <t>備考</t>
    <rPh sb="0" eb="2">
      <t>ビコウ</t>
    </rPh>
    <phoneticPr fontId="12"/>
  </si>
  <si>
    <t>（Ⅱ）</t>
    <phoneticPr fontId="127"/>
  </si>
  <si>
    <t>[要介護１]２時間以上３時間未満</t>
  </si>
  <si>
    <t>通所介護Ⅰ２１・時減</t>
  </si>
  <si>
    <t>回</t>
    <rPh sb="0" eb="1">
      <t>カイ</t>
    </rPh>
    <phoneticPr fontId="121"/>
  </si>
  <si>
    <t>（Ⅲ）</t>
    <phoneticPr fontId="127"/>
  </si>
  <si>
    <t>要介護２</t>
    <rPh sb="0" eb="1">
      <t>ヨウ</t>
    </rPh>
    <rPh sb="1" eb="3">
      <t>カイゴ</t>
    </rPh>
    <phoneticPr fontId="12"/>
  </si>
  <si>
    <t>[要介護１]３時間以上４時間未満</t>
  </si>
  <si>
    <t>通所介護Ⅰ１１</t>
  </si>
  <si>
    <t>[要介護１]４時間以上５時間未満</t>
  </si>
  <si>
    <t>通所介護Ⅰ２１</t>
  </si>
  <si>
    <t>要介護４</t>
    <rPh sb="0" eb="1">
      <t>ヨウ</t>
    </rPh>
    <rPh sb="1" eb="3">
      <t>カイゴ</t>
    </rPh>
    <phoneticPr fontId="12"/>
  </si>
  <si>
    <t>[要介護１]５時間以上６時間未満</t>
  </si>
  <si>
    <t>通所介護Ⅰ３１</t>
  </si>
  <si>
    <t>算定なし</t>
    <rPh sb="0" eb="2">
      <t>サンテイ</t>
    </rPh>
    <phoneticPr fontId="12"/>
  </si>
  <si>
    <t>-</t>
    <phoneticPr fontId="12"/>
  </si>
  <si>
    <t>要介護５</t>
    <rPh sb="0" eb="1">
      <t>ヨウ</t>
    </rPh>
    <rPh sb="1" eb="3">
      <t>カイゴ</t>
    </rPh>
    <phoneticPr fontId="12"/>
  </si>
  <si>
    <t>[要介護１]６時間以上７時間未満</t>
  </si>
  <si>
    <t>通所介護Ⅰ４１</t>
  </si>
  <si>
    <t>[要介護１]７時間以上８時間未満</t>
  </si>
  <si>
    <t>通所介護Ⅰ５１</t>
  </si>
  <si>
    <t>↑</t>
    <phoneticPr fontId="12"/>
  </si>
  <si>
    <t>[要介護１]８時間以上９時間未満</t>
  </si>
  <si>
    <t>通所介護Ⅰ６１</t>
  </si>
  <si>
    <t>総単位数</t>
    <rPh sb="0" eb="1">
      <t>ソウ</t>
    </rPh>
    <rPh sb="1" eb="4">
      <t>タンイスウ</t>
    </rPh>
    <phoneticPr fontId="12"/>
  </si>
  <si>
    <t>②はここの数字で計算</t>
    <rPh sb="5" eb="7">
      <t>スウジ</t>
    </rPh>
    <rPh sb="8" eb="10">
      <t>ケイサン</t>
    </rPh>
    <phoneticPr fontId="12"/>
  </si>
  <si>
    <t>[要介護１]９時間以上１０時間未満</t>
  </si>
  <si>
    <t>①</t>
    <phoneticPr fontId="12"/>
  </si>
  <si>
    <t>②</t>
    <phoneticPr fontId="12"/>
  </si>
  <si>
    <t>④</t>
    <phoneticPr fontId="12"/>
  </si>
  <si>
    <t>⑤</t>
    <phoneticPr fontId="12"/>
  </si>
  <si>
    <t>サービス提供体制強化加算</t>
    <rPh sb="4" eb="6">
      <t>テイキョウ</t>
    </rPh>
    <rPh sb="6" eb="8">
      <t>タイセイ</t>
    </rPh>
    <rPh sb="8" eb="10">
      <t>キョウカ</t>
    </rPh>
    <rPh sb="10" eb="12">
      <t>カサン</t>
    </rPh>
    <phoneticPr fontId="12"/>
  </si>
  <si>
    <r>
      <t xml:space="preserve">総単位数
</t>
    </r>
    <r>
      <rPr>
        <b/>
        <sz val="6"/>
        <color theme="1"/>
        <rFont val="游ゴシック"/>
        <family val="3"/>
        <charset val="128"/>
      </rPr>
      <t>区分支給限度額を超えている場合は区分支給限度額</t>
    </r>
    <rPh sb="0" eb="1">
      <t>ソウ</t>
    </rPh>
    <rPh sb="1" eb="4">
      <t>タンイスウ</t>
    </rPh>
    <phoneticPr fontId="12"/>
  </si>
  <si>
    <t>＋</t>
    <phoneticPr fontId="12"/>
  </si>
  <si>
    <t>特定処遇改善加算</t>
    <rPh sb="0" eb="2">
      <t>トクテイ</t>
    </rPh>
    <rPh sb="2" eb="8">
      <t>ショグウカイゼンカサン</t>
    </rPh>
    <phoneticPr fontId="12"/>
  </si>
  <si>
    <t>＝</t>
    <phoneticPr fontId="12"/>
  </si>
  <si>
    <t>×</t>
    <phoneticPr fontId="12"/>
  </si>
  <si>
    <t>介護報酬総額</t>
    <rPh sb="0" eb="2">
      <t>カイゴ</t>
    </rPh>
    <rPh sb="2" eb="4">
      <t>ホウシュウ</t>
    </rPh>
    <rPh sb="4" eb="6">
      <t>ソウガク</t>
    </rPh>
    <phoneticPr fontId="12"/>
  </si>
  <si>
    <t>（小数点以下切捨）</t>
    <phoneticPr fontId="12"/>
  </si>
  <si>
    <t>⑥</t>
    <phoneticPr fontId="12"/>
  </si>
  <si>
    <t>⑦</t>
    <phoneticPr fontId="12"/>
  </si>
  <si>
    <t>保険者負担割合</t>
    <rPh sb="0" eb="3">
      <t>ホケンシャ</t>
    </rPh>
    <rPh sb="3" eb="5">
      <t>フタン</t>
    </rPh>
    <rPh sb="5" eb="7">
      <t>ワリアイ</t>
    </rPh>
    <phoneticPr fontId="12"/>
  </si>
  <si>
    <t>保険者(市町村)
負担金額</t>
    <rPh sb="0" eb="3">
      <t>ホケンシャ</t>
    </rPh>
    <rPh sb="4" eb="7">
      <t>シチョウソン</t>
    </rPh>
    <rPh sb="9" eb="11">
      <t>フタン</t>
    </rPh>
    <rPh sb="11" eb="13">
      <t>キンガク</t>
    </rPh>
    <phoneticPr fontId="12"/>
  </si>
  <si>
    <t>中重度者ケア体制加算</t>
  </si>
  <si>
    <t>月</t>
    <rPh sb="0" eb="1">
      <t>ツキ</t>
    </rPh>
    <phoneticPr fontId="121"/>
  </si>
  <si>
    <t>＜保険外サービス＞</t>
    <rPh sb="1" eb="3">
      <t>ホケン</t>
    </rPh>
    <rPh sb="3" eb="4">
      <t>ガイ</t>
    </rPh>
    <phoneticPr fontId="12"/>
  </si>
  <si>
    <t>日</t>
    <rPh sb="0" eb="1">
      <t>ニチ</t>
    </rPh>
    <phoneticPr fontId="121"/>
  </si>
  <si>
    <t>単価</t>
    <rPh sb="0" eb="2">
      <t>タンカ</t>
    </rPh>
    <phoneticPr fontId="12"/>
  </si>
  <si>
    <t>小計</t>
    <rPh sb="0" eb="2">
      <t>ショウケイ</t>
    </rPh>
    <phoneticPr fontId="12"/>
  </si>
  <si>
    <t>個別機能訓練加算（Ⅱ）</t>
  </si>
  <si>
    <t>食</t>
    <rPh sb="0" eb="1">
      <t>ショク</t>
    </rPh>
    <phoneticPr fontId="12"/>
  </si>
  <si>
    <t>昼食</t>
    <rPh sb="0" eb="2">
      <t>チュウショク</t>
    </rPh>
    <phoneticPr fontId="12"/>
  </si>
  <si>
    <t>認知症加算</t>
  </si>
  <si>
    <t>回</t>
    <rPh sb="0" eb="1">
      <t>カイ</t>
    </rPh>
    <phoneticPr fontId="12"/>
  </si>
  <si>
    <t>若年性認知症受入加算</t>
  </si>
  <si>
    <t>時間</t>
    <rPh sb="0" eb="2">
      <t>ジカン</t>
    </rPh>
    <phoneticPr fontId="17"/>
  </si>
  <si>
    <t>要介護度による区分支給限度額</t>
    <rPh sb="0" eb="3">
      <t>ヨウカイゴ</t>
    </rPh>
    <rPh sb="3" eb="4">
      <t>ド</t>
    </rPh>
    <rPh sb="7" eb="14">
      <t>クブンシキュウゲンドガク</t>
    </rPh>
    <phoneticPr fontId="12"/>
  </si>
  <si>
    <t>栄養改善加算</t>
  </si>
  <si>
    <t>※月2回限度</t>
    <rPh sb="1" eb="2">
      <t>ツキ</t>
    </rPh>
    <rPh sb="3" eb="4">
      <t>カイ</t>
    </rPh>
    <rPh sb="4" eb="6">
      <t>ゲンド</t>
    </rPh>
    <phoneticPr fontId="121"/>
  </si>
  <si>
    <t>枚</t>
    <rPh sb="0" eb="1">
      <t>マイ</t>
    </rPh>
    <phoneticPr fontId="12"/>
  </si>
  <si>
    <t>口腔機能向上加算</t>
  </si>
  <si>
    <t>区分支給限度額オーバー分</t>
    <rPh sb="0" eb="7">
      <t>クブンシキュウゲンドガク</t>
    </rPh>
    <rPh sb="11" eb="12">
      <t>ブン</t>
    </rPh>
    <phoneticPr fontId="12"/>
  </si>
  <si>
    <t>※片道につき</t>
    <rPh sb="1" eb="3">
      <t>カタミチ</t>
    </rPh>
    <phoneticPr fontId="121"/>
  </si>
  <si>
    <t>⑧</t>
    <phoneticPr fontId="12"/>
  </si>
  <si>
    <t>⑨</t>
    <phoneticPr fontId="12"/>
  </si>
  <si>
    <t>設定期間</t>
    <rPh sb="0" eb="2">
      <t>セッテイ</t>
    </rPh>
    <rPh sb="2" eb="4">
      <t>キカン</t>
    </rPh>
    <phoneticPr fontId="12"/>
  </si>
  <si>
    <t>週間</t>
    <rPh sb="0" eb="2">
      <t>シュウカン</t>
    </rPh>
    <phoneticPr fontId="17"/>
  </si>
  <si>
    <t>※1週間あたりの概算の見積金額になります。</t>
    <rPh sb="2" eb="4">
      <t>シュウカン</t>
    </rPh>
    <rPh sb="8" eb="10">
      <t>ガイサン</t>
    </rPh>
    <rPh sb="11" eb="13">
      <t>ミツモリ</t>
    </rPh>
    <rPh sb="13" eb="15">
      <t>キンガク</t>
    </rPh>
    <phoneticPr fontId="17"/>
  </si>
  <si>
    <t>[要介護２]２時間以上３時間未満</t>
    <phoneticPr fontId="17"/>
  </si>
  <si>
    <t>通所介護Ⅰ２２・時減</t>
  </si>
  <si>
    <t>※１ヶ月あたりの概算の見積金額になります。</t>
    <rPh sb="3" eb="4">
      <t>ゲツ</t>
    </rPh>
    <rPh sb="8" eb="10">
      <t>ガイサン</t>
    </rPh>
    <rPh sb="11" eb="13">
      <t>ミツモリ</t>
    </rPh>
    <rPh sb="13" eb="15">
      <t>キンガク</t>
    </rPh>
    <phoneticPr fontId="17"/>
  </si>
  <si>
    <t>[要介護２]３時間以上４時間未満</t>
  </si>
  <si>
    <t>通所介護Ⅰ１２</t>
  </si>
  <si>
    <t>[要介護２]４時間以上５時間未満</t>
  </si>
  <si>
    <t>通所介護Ⅰ２２</t>
  </si>
  <si>
    <t>[要介護２]５時間以上６時間未満</t>
  </si>
  <si>
    <t>通所介護Ⅰ３２</t>
  </si>
  <si>
    <t>年</t>
    <rPh sb="0" eb="1">
      <t>ネン</t>
    </rPh>
    <phoneticPr fontId="49"/>
  </si>
  <si>
    <t>月</t>
    <rPh sb="0" eb="1">
      <t>ガツ</t>
    </rPh>
    <phoneticPr fontId="49"/>
  </si>
  <si>
    <t>日</t>
    <rPh sb="0" eb="1">
      <t>ニチ</t>
    </rPh>
    <phoneticPr fontId="49"/>
  </si>
  <si>
    <t>[要介護２]６時間以上７時間未満</t>
  </si>
  <si>
    <t>通所介護Ⅰ４２</t>
  </si>
  <si>
    <t>[要介護２]７時間以上８時間未満</t>
  </si>
  <si>
    <t>通所介護Ⅰ５２</t>
  </si>
  <si>
    <t>[要介護２]８時間以上９時間未満</t>
  </si>
  <si>
    <t>通所介護Ⅰ６２</t>
  </si>
  <si>
    <t>③はここの数字で計算</t>
    <rPh sb="5" eb="7">
      <t>スウジ</t>
    </rPh>
    <rPh sb="8" eb="10">
      <t>ケイサン</t>
    </rPh>
    <phoneticPr fontId="12"/>
  </si>
  <si>
    <t>[要介護３]２時間以上３時間未満</t>
  </si>
  <si>
    <t>通所介護Ⅰ２３・時減</t>
  </si>
  <si>
    <t>[要介護３]３時間以上４時間未満</t>
  </si>
  <si>
    <t>通所介護Ⅰ１３</t>
  </si>
  <si>
    <t>[要介護３]４時間以上５時間未満</t>
  </si>
  <si>
    <t>通所介護Ⅰ２３</t>
  </si>
  <si>
    <t>[要介護３]５時間以上６時間未満</t>
  </si>
  <si>
    <t>通所介護Ⅰ３３</t>
  </si>
  <si>
    <t>[要介護３]６時間以上７時間未満</t>
  </si>
  <si>
    <t>通所介護Ⅰ４３</t>
  </si>
  <si>
    <t>[要介護３]７時間以上８時間未満</t>
  </si>
  <si>
    <t>通所介護Ⅰ５３</t>
  </si>
  <si>
    <t>通所介護Ⅰ６３</t>
  </si>
  <si>
    <t>[要介護４]２時間以上３時間未満</t>
  </si>
  <si>
    <t>通所介護Ⅰ２４・時減</t>
  </si>
  <si>
    <t>[要介護４]３時間以上４時間未満</t>
  </si>
  <si>
    <t>通所介護Ⅰ１４</t>
  </si>
  <si>
    <t>[要介護４]４時間以上５時間未満</t>
  </si>
  <si>
    <t>通所介護Ⅰ２４</t>
  </si>
  <si>
    <t>[要介護４]５時間以上６時間未満</t>
  </si>
  <si>
    <t>通所介護Ⅰ３４</t>
  </si>
  <si>
    <t>[要介護４]６時間以上７時間未満</t>
  </si>
  <si>
    <t>通所介護Ⅰ４４</t>
  </si>
  <si>
    <t>[要介護４]７時間以上８時間未満</t>
  </si>
  <si>
    <t>通所介護Ⅰ５４</t>
  </si>
  <si>
    <t>[要介護４]８時間以上９時間未満</t>
  </si>
  <si>
    <t>通所介護Ⅰ６４</t>
  </si>
  <si>
    <t>日</t>
    <rPh sb="0" eb="1">
      <t>ニチ</t>
    </rPh>
    <phoneticPr fontId="12"/>
  </si>
  <si>
    <t>[要介護５]２時間以上３時間未満</t>
  </si>
  <si>
    <t>通所介護Ⅰ２５・時減</t>
  </si>
  <si>
    <t>[要介護５]３時間以上４時間未満</t>
  </si>
  <si>
    <t>通所介護Ⅰ１５</t>
  </si>
  <si>
    <t>[要介護５]４時間以上５時間未満</t>
  </si>
  <si>
    <t>通所介護Ⅰ２５</t>
  </si>
  <si>
    <t>[要介護５]５時間以上６時間未満</t>
  </si>
  <si>
    <t>通所介護Ⅰ３５</t>
  </si>
  <si>
    <t>[要介護５]６時間以上７時間未満</t>
  </si>
  <si>
    <t>通所介護Ⅰ４５</t>
  </si>
  <si>
    <t>[要介護５]７時間以上８時間未満</t>
  </si>
  <si>
    <t>通所介護Ⅰ５５</t>
  </si>
  <si>
    <t>[要介護５]８時間以上９時間未満</t>
  </si>
  <si>
    <t>通所介護Ⅰ６５</t>
  </si>
  <si>
    <t>（介護サポートサービス）</t>
    <phoneticPr fontId="17"/>
  </si>
  <si>
    <t>介護サポートサービス重要事項説明書</t>
    <phoneticPr fontId="17"/>
  </si>
  <si>
    <t>１　通所介護事業者（法人）の概要</t>
    <phoneticPr fontId="17"/>
  </si>
  <si>
    <t>　（１）　事業所名称及び所在地</t>
    <rPh sb="12" eb="15">
      <t>ショザイチ</t>
    </rPh>
    <phoneticPr fontId="17"/>
  </si>
  <si>
    <t>　（２）　営業日</t>
    <phoneticPr fontId="17"/>
  </si>
  <si>
    <t>２４時間</t>
    <rPh sb="2" eb="4">
      <t>ジカン</t>
    </rPh>
    <phoneticPr fontId="17"/>
  </si>
  <si>
    <t>　（１）　介護保険給付対象外サービス</t>
    <rPh sb="13" eb="14">
      <t>ガイ</t>
    </rPh>
    <phoneticPr fontId="17"/>
  </si>
  <si>
    <t>費　用</t>
    <rPh sb="0" eb="1">
      <t>ヒ</t>
    </rPh>
    <rPh sb="2" eb="3">
      <t>ヨウ</t>
    </rPh>
    <phoneticPr fontId="17"/>
  </si>
  <si>
    <t>時 間 外
サービス</t>
    <rPh sb="0" eb="1">
      <t>トキ</t>
    </rPh>
    <rPh sb="2" eb="3">
      <t>アイダ</t>
    </rPh>
    <rPh sb="4" eb="5">
      <t>ガイ</t>
    </rPh>
    <phoneticPr fontId="17"/>
  </si>
  <si>
    <t>算定方法変更</t>
    <rPh sb="0" eb="2">
      <t>サンテイ</t>
    </rPh>
    <rPh sb="2" eb="4">
      <t>ホウホウ</t>
    </rPh>
    <rPh sb="4" eb="6">
      <t>ヘンコウ</t>
    </rPh>
    <phoneticPr fontId="17"/>
  </si>
  <si>
    <t>サービス提供時間は【マスター】から反映</t>
    <rPh sb="4" eb="6">
      <t>テイキョウ</t>
    </rPh>
    <rPh sb="6" eb="8">
      <t>ジカン</t>
    </rPh>
    <rPh sb="17" eb="19">
      <t>ハンエイ</t>
    </rPh>
    <phoneticPr fontId="17"/>
  </si>
  <si>
    <t>朝　　食
サービス</t>
    <rPh sb="0" eb="1">
      <t>アサ</t>
    </rPh>
    <rPh sb="3" eb="4">
      <t>ショク</t>
    </rPh>
    <phoneticPr fontId="17"/>
  </si>
  <si>
    <t>時間外サービスを利用中の朝食提供。栄養バランスの取れた温かい食事を摂っていただけます。</t>
    <phoneticPr fontId="17"/>
  </si>
  <si>
    <t>応能負担の概念削除</t>
    <rPh sb="0" eb="2">
      <t>オウノウ</t>
    </rPh>
    <rPh sb="2" eb="4">
      <t>フタン</t>
    </rPh>
    <rPh sb="5" eb="7">
      <t>ガイネン</t>
    </rPh>
    <rPh sb="7" eb="9">
      <t>サクジョ</t>
    </rPh>
    <phoneticPr fontId="17"/>
  </si>
  <si>
    <t>夕　　食
サービス</t>
    <rPh sb="0" eb="1">
      <t>ユウ</t>
    </rPh>
    <rPh sb="3" eb="4">
      <t>ショク</t>
    </rPh>
    <phoneticPr fontId="17"/>
  </si>
  <si>
    <t>時間外サービスを利用中の夕食提供。栄養バランスの取れた温かい食事を摂っていただけます。</t>
    <phoneticPr fontId="17"/>
  </si>
  <si>
    <t>保険外おむつ
サービス</t>
    <rPh sb="0" eb="2">
      <t>ホケン</t>
    </rPh>
    <rPh sb="2" eb="3">
      <t>ガイ</t>
    </rPh>
    <phoneticPr fontId="17"/>
  </si>
  <si>
    <t>リハビリパンツ</t>
  </si>
  <si>
    <t>パット</t>
  </si>
  <si>
    <t>夜　　間
サポート
サービス</t>
    <rPh sb="0" eb="1">
      <t>ヨル</t>
    </rPh>
    <rPh sb="3" eb="4">
      <t>アイダ</t>
    </rPh>
    <phoneticPr fontId="17"/>
  </si>
  <si>
    <t>２割負担の方の料金追加</t>
    <rPh sb="1" eb="2">
      <t>ワリ</t>
    </rPh>
    <rPh sb="2" eb="4">
      <t>フタン</t>
    </rPh>
    <rPh sb="5" eb="6">
      <t>カタ</t>
    </rPh>
    <rPh sb="7" eb="9">
      <t>リョウキン</t>
    </rPh>
    <rPh sb="9" eb="11">
      <t>ツイカ</t>
    </rPh>
    <phoneticPr fontId="17"/>
  </si>
  <si>
    <t>夜間サービス提供時間は【マスター】から反映</t>
    <rPh sb="0" eb="2">
      <t>ヤカン</t>
    </rPh>
    <rPh sb="6" eb="8">
      <t>テイキョウ</t>
    </rPh>
    <rPh sb="8" eb="10">
      <t>ジカン</t>
    </rPh>
    <rPh sb="19" eb="21">
      <t>ハンエイ</t>
    </rPh>
    <phoneticPr fontId="17"/>
  </si>
  <si>
    <t>付き添い
サービス</t>
    <rPh sb="0" eb="1">
      <t>ツ</t>
    </rPh>
    <rPh sb="2" eb="3">
      <t>ソ</t>
    </rPh>
    <phoneticPr fontId="17"/>
  </si>
  <si>
    <t>主にご家庭で通院介助ができない場合、代行して通院介助を行います。
※ただし、公共の交通機関もしくは介護タクシーを使用します。（別途、実費相当額を徴収いたします。）</t>
    <rPh sb="38" eb="40">
      <t>コウキョウ</t>
    </rPh>
    <rPh sb="41" eb="43">
      <t>コウツウ</t>
    </rPh>
    <rPh sb="43" eb="45">
      <t>キカン</t>
    </rPh>
    <rPh sb="49" eb="51">
      <t>カイゴ</t>
    </rPh>
    <rPh sb="56" eb="58">
      <t>シヨウ</t>
    </rPh>
    <rPh sb="63" eb="65">
      <t>ベット</t>
    </rPh>
    <rPh sb="66" eb="68">
      <t>ジッピ</t>
    </rPh>
    <rPh sb="68" eb="70">
      <t>ソウトウ</t>
    </rPh>
    <rPh sb="70" eb="71">
      <t>ガク</t>
    </rPh>
    <rPh sb="72" eb="74">
      <t>チョウシュウ</t>
    </rPh>
    <phoneticPr fontId="17"/>
  </si>
  <si>
    <t>４　サービス内容に関する苦情等相談窓口</t>
    <phoneticPr fontId="17"/>
  </si>
  <si>
    <t>当 事 業 所
お　客　様
相 談 窓 口</t>
    <rPh sb="0" eb="1">
      <t>トウ</t>
    </rPh>
    <rPh sb="2" eb="3">
      <t>コト</t>
    </rPh>
    <rPh sb="4" eb="5">
      <t>ギョウ</t>
    </rPh>
    <rPh sb="6" eb="7">
      <t>ショ</t>
    </rPh>
    <rPh sb="10" eb="11">
      <t>キャク</t>
    </rPh>
    <rPh sb="12" eb="13">
      <t>サマ</t>
    </rPh>
    <rPh sb="14" eb="15">
      <t>ショウ</t>
    </rPh>
    <rPh sb="16" eb="17">
      <t>ダン</t>
    </rPh>
    <rPh sb="18" eb="19">
      <t>マド</t>
    </rPh>
    <rPh sb="20" eb="21">
      <t>クチ</t>
    </rPh>
    <phoneticPr fontId="17"/>
  </si>
  <si>
    <t>2014.10.17　苦情箱→意見箱</t>
    <rPh sb="11" eb="13">
      <t>クジョウ</t>
    </rPh>
    <rPh sb="13" eb="14">
      <t>バコ</t>
    </rPh>
    <rPh sb="15" eb="17">
      <t>イケン</t>
    </rPh>
    <rPh sb="17" eb="18">
      <t>バコ</t>
    </rPh>
    <phoneticPr fontId="17"/>
  </si>
  <si>
    <t>５　事故発生時における対応方法</t>
    <phoneticPr fontId="17"/>
  </si>
  <si>
    <t>　事業者は、介護サポートサービスの提供にあたって、事故が発生した場合には、速やかに利用者家族に連絡を行うとともに、利用者に対して応急措置、医療機関への搬送等必要な措置を講じます。発生した事故は記録に残し、内容によっては基準に基づき、指定権者、居宅介護支援事業所への報告を行います。</t>
    <phoneticPr fontId="17"/>
  </si>
  <si>
    <t>６　緊急時等における対応方法</t>
    <phoneticPr fontId="17"/>
  </si>
  <si>
    <t>　サービス提供中に病状の急変などがあった場合は、救急隊及び契約後に記入いただく「緊急事態に対応するための連絡カード」に記載のある利用者の主治医、緊急事態連絡先、介護支援専門員等へ連絡をします。</t>
    <rPh sb="24" eb="27">
      <t>キュウキュウタイ</t>
    </rPh>
    <rPh sb="27" eb="28">
      <t>オヨ</t>
    </rPh>
    <rPh sb="29" eb="31">
      <t>ケイヤク</t>
    </rPh>
    <rPh sb="31" eb="32">
      <t>ゴ</t>
    </rPh>
    <rPh sb="33" eb="35">
      <t>キニュウ</t>
    </rPh>
    <rPh sb="40" eb="42">
      <t>キンキュウ</t>
    </rPh>
    <rPh sb="42" eb="44">
      <t>ジタイ</t>
    </rPh>
    <rPh sb="45" eb="47">
      <t>タイオウ</t>
    </rPh>
    <rPh sb="52" eb="54">
      <t>レンラク</t>
    </rPh>
    <rPh sb="59" eb="61">
      <t>キサイ</t>
    </rPh>
    <rPh sb="64" eb="67">
      <t>リヨウシャ</t>
    </rPh>
    <rPh sb="68" eb="71">
      <t>シュジイ</t>
    </rPh>
    <rPh sb="72" eb="74">
      <t>キンキュウ</t>
    </rPh>
    <rPh sb="74" eb="76">
      <t>ジタイ</t>
    </rPh>
    <rPh sb="76" eb="79">
      <t>レンラクサキ</t>
    </rPh>
    <rPh sb="80" eb="82">
      <t>カイゴ</t>
    </rPh>
    <rPh sb="82" eb="84">
      <t>シエン</t>
    </rPh>
    <rPh sb="84" eb="87">
      <t>センモンイン</t>
    </rPh>
    <phoneticPr fontId="17"/>
  </si>
  <si>
    <t>７　非常災害時の対策</t>
    <phoneticPr fontId="17"/>
  </si>
  <si>
    <t>2014.10.17　緊急連絡先②追加</t>
    <rPh sb="11" eb="13">
      <t>キンキュウ</t>
    </rPh>
    <rPh sb="13" eb="16">
      <t>レンラクサキ</t>
    </rPh>
    <rPh sb="17" eb="19">
      <t>ツイカ</t>
    </rPh>
    <phoneticPr fontId="17"/>
  </si>
  <si>
    <t>８　高齢者虐待防止について</t>
    <phoneticPr fontId="17"/>
  </si>
  <si>
    <t>研修等を通じて、従業者の人権意識の向上や知識、技術の向上に努めます。</t>
    <phoneticPr fontId="17"/>
  </si>
  <si>
    <t>個別支援計画の作成など適切な支援の実施に努めます。</t>
    <phoneticPr fontId="17"/>
  </si>
  <si>
    <t>９　身体的拘束等について</t>
    <rPh sb="4" eb="5">
      <t>テキ</t>
    </rPh>
    <rPh sb="7" eb="8">
      <t>ナド</t>
    </rPh>
    <phoneticPr fontId="17"/>
  </si>
  <si>
    <t>前項但し書きの規定に基づき身体的拘束等の行為を行った場合には、事業者は、直ちに、その日時、態様、利用者の心身の状況、緊急やむを得なかった理由、当該行為が必要と判断した職員等及び当該行為を行った職員等の氏名その他必要な事項について、サービス提供記録等に記録します。</t>
    <phoneticPr fontId="17"/>
  </si>
  <si>
    <t>介護保険外サービス計画書作成にあたり、ケアカンファレンス、職員会議等の実施のため</t>
    <rPh sb="11" eb="12">
      <t>ショ</t>
    </rPh>
    <phoneticPr fontId="17"/>
  </si>
  <si>
    <t>　　　　　　　年　　　月　　　日</t>
    <phoneticPr fontId="17"/>
  </si>
  <si>
    <t>利用者</t>
    <rPh sb="0" eb="2">
      <t>リヨウ</t>
    </rPh>
    <rPh sb="2" eb="3">
      <t>シャ</t>
    </rPh>
    <phoneticPr fontId="17"/>
  </si>
  <si>
    <t>（又は、家族代表）</t>
    <phoneticPr fontId="17"/>
  </si>
  <si>
    <t>通所介護利用料金目安表（サービス内容説明書）</t>
    <phoneticPr fontId="12"/>
  </si>
  <si>
    <t>　上記内容を確認しました。</t>
    <phoneticPr fontId="17"/>
  </si>
  <si>
    <t>氏名</t>
    <rPh sb="0" eb="2">
      <t>シメイ</t>
    </rPh>
    <phoneticPr fontId="12"/>
  </si>
  <si>
    <t>介護サポートサービス契約書</t>
    <phoneticPr fontId="17"/>
  </si>
  <si>
    <t>　乙は、この契約に従い、甲がその有する能力に応じて可能な限り自立した日常生活を営むことができるよう介護サポートサービスを提供し、甲の必要な夜間の介護、健康状態及び心身機能の維持並びに甲の家族の身体的及び精神的負担の軽減等を図ります。</t>
    <rPh sb="79" eb="80">
      <t>オヨ</t>
    </rPh>
    <rPh sb="99" eb="100">
      <t>オヨ</t>
    </rPh>
    <phoneticPr fontId="17"/>
  </si>
  <si>
    <t>　乙は、介護サポートサービスの提供にあたっては、甲の健康状態や介護の必要性を考慮してサービス提供します。</t>
    <phoneticPr fontId="17"/>
  </si>
  <si>
    <r>
      <t xml:space="preserve"> この契約の契約期間は、</t>
    </r>
    <r>
      <rPr>
        <u/>
        <sz val="12"/>
        <rFont val="ＭＳ 明朝"/>
        <family val="1"/>
        <charset val="128"/>
      </rPr>
      <t/>
    </r>
    <phoneticPr fontId="17"/>
  </si>
  <si>
    <t>令和　 　　年　  　 月　　　日（利用開始予定日）</t>
    <rPh sb="0" eb="2">
      <t>レイワ</t>
    </rPh>
    <phoneticPr fontId="17"/>
  </si>
  <si>
    <t>から１年間とします。</t>
  </si>
  <si>
    <t>　前項の契約期間の満了日の７日以上前までに甲から更新拒絶の意思表示がない場合は、この契約は同一の内容で１年間更新されるものとし、その後も同様とします。</t>
    <rPh sb="15" eb="17">
      <t>イジョウ</t>
    </rPh>
    <rPh sb="52" eb="54">
      <t>ネンカン</t>
    </rPh>
    <rPh sb="68" eb="70">
      <t>ドウヨウ</t>
    </rPh>
    <phoneticPr fontId="17"/>
  </si>
  <si>
    <t>　乙の運営規程の概要（事業の目的、職員の体制、介護サポートサービスの内容等）、従業者の勤務の体制等は、介護サポートサービス重要事項説明書に記載したとおりです。</t>
    <rPh sb="51" eb="53">
      <t>カイゴ</t>
    </rPh>
    <phoneticPr fontId="17"/>
  </si>
  <si>
    <t>（介護保険外サービス計画の作成・変更）</t>
  </si>
  <si>
    <t>　乙は、甲の心身の状況、希望及びその置かれている環境を踏まえて、介護保険外サービス計画を作成し、介護保険外サービス計画作成後も当該計画の実施状況の把握に努めます。</t>
    <rPh sb="12" eb="14">
      <t>キボウ</t>
    </rPh>
    <rPh sb="14" eb="15">
      <t>オヨ</t>
    </rPh>
    <phoneticPr fontId="17"/>
  </si>
  <si>
    <t>　介護保険外サービス計画には、在宅における生活の継続等の目標や、当該目標を達成するための具体的なサービス内容等を記載します。</t>
    <rPh sb="32" eb="34">
      <t>トウガイ</t>
    </rPh>
    <phoneticPr fontId="17"/>
  </si>
  <si>
    <t>　介護保険外サービス計画は、既に居宅サービス計画が作成されている場合は、当該居宅サービス計画の内容に沿って作成します。</t>
    <rPh sb="14" eb="15">
      <t>スデ</t>
    </rPh>
    <rPh sb="36" eb="38">
      <t>トウガイ</t>
    </rPh>
    <rPh sb="38" eb="40">
      <t>キョタク</t>
    </rPh>
    <rPh sb="44" eb="46">
      <t>ケイカク</t>
    </rPh>
    <phoneticPr fontId="17"/>
  </si>
  <si>
    <t>　乙は、次のいずれかに該当する場合には、第１条に規定する介護サポートサービスの目的に従い、介護サポート計画の変更を行います。</t>
    <phoneticPr fontId="17"/>
  </si>
  <si>
    <t>甲の心身の状況、その置かれている環境等の変化により当該介護保険外サービス計画を変更する必要がある場合</t>
  </si>
  <si>
    <t>甲が介護サポートサービスの内容や提供方法等の変更を希望する場合</t>
    <phoneticPr fontId="17"/>
  </si>
  <si>
    <t>　前項の変更に際して、居宅サービス計画の変更が必要となる場合は、乙は、速やかに介護支援専門員に連絡するなど必要な援助を行います。</t>
    <rPh sb="39" eb="41">
      <t>カイゴ</t>
    </rPh>
    <rPh sb="41" eb="43">
      <t>シエン</t>
    </rPh>
    <rPh sb="43" eb="45">
      <t>センモン</t>
    </rPh>
    <rPh sb="45" eb="46">
      <t>イン</t>
    </rPh>
    <phoneticPr fontId="17"/>
  </si>
  <si>
    <t>　乙は、介護保険外サービス計画を作成し又は変更した際には、これを甲及び甲の家族又は甲の後見人に対し説明し、甲の同意を得るものとします。</t>
    <rPh sb="35" eb="36">
      <t>コウ</t>
    </rPh>
    <rPh sb="53" eb="54">
      <t>コウ</t>
    </rPh>
    <phoneticPr fontId="17"/>
  </si>
  <si>
    <t>（介護サポートサービスの内容及びその提供）</t>
    <phoneticPr fontId="17"/>
  </si>
  <si>
    <t>　乙は、介護保険外サービス計画に沿って、サービスを提供します。</t>
  </si>
  <si>
    <t>　乙は、甲に対する介護サポートサービスの実施状況等に関する記録を整備し、その完結の日から５年間保存しなければなりません。</t>
    <rPh sb="6" eb="7">
      <t>タイ</t>
    </rPh>
    <phoneticPr fontId="17"/>
  </si>
  <si>
    <t>　甲に要介護認定が下りなかった場合の利用料金については、保険外通所介護サービス費用に準じます。</t>
    <rPh sb="1" eb="2">
      <t>コウ</t>
    </rPh>
    <rPh sb="3" eb="4">
      <t>ヨウ</t>
    </rPh>
    <rPh sb="4" eb="6">
      <t>カイゴ</t>
    </rPh>
    <rPh sb="6" eb="8">
      <t>ニンテイ</t>
    </rPh>
    <rPh sb="9" eb="10">
      <t>オ</t>
    </rPh>
    <rPh sb="15" eb="17">
      <t>バアイ</t>
    </rPh>
    <rPh sb="18" eb="20">
      <t>リヨウ</t>
    </rPh>
    <rPh sb="20" eb="22">
      <t>リョウキン</t>
    </rPh>
    <rPh sb="28" eb="30">
      <t>ホケン</t>
    </rPh>
    <rPh sb="30" eb="31">
      <t>ガイ</t>
    </rPh>
    <rPh sb="31" eb="35">
      <t>ツウショカイゴ</t>
    </rPh>
    <rPh sb="39" eb="41">
      <t>ヒヨウ</t>
    </rPh>
    <rPh sb="42" eb="43">
      <t>ジュン</t>
    </rPh>
    <phoneticPr fontId="17"/>
  </si>
  <si>
    <r>
      <t>　乙は、甲に対して介護サポートサービスを提供するに当たっては、居宅介護支援事業者その他保健医療サービス又は福祉サービスを提供する者との密接な連携に努めます。</t>
    </r>
    <r>
      <rPr>
        <strike/>
        <sz val="12"/>
        <rFont val="ＭＳ 明朝"/>
        <family val="1"/>
        <charset val="128"/>
      </rPr>
      <t/>
    </r>
    <phoneticPr fontId="17"/>
  </si>
  <si>
    <t>　甲、甲の家族及び甲の後見人は、乙が甲のため介護サポートサービスを提供するにあたり、可能な限り乙に協力しなければなりません。</t>
    <rPh sb="3" eb="4">
      <t>コウ</t>
    </rPh>
    <phoneticPr fontId="17"/>
  </si>
  <si>
    <t>　乙は、苦情対応の責任者及びその連絡先を明らかにし、乙が提供した介護サポートサービスについて甲、甲の家族又は甲の後見人から苦情の申立てがある場合は、迅速かつ誠実に必要な対応を行います。</t>
  </si>
  <si>
    <t>　乙は、サービス提供中に、当該事業所従業者又は養護者（利用者の家族等高齢者を現に養護する者）による虐待を受けたと思われる利用者を発見した場合は、速やかに、これを市区町村に通報します。</t>
  </si>
  <si>
    <t>　乙は、サービス提供にあたり身体的拘束等その他甲の行動を制限する行為を行いません。但し、甲又は他の利用者等の生命又は身体を保護するため緊急やむを得ない場合は、この限りではありません。</t>
    <rPh sb="19" eb="20">
      <t>ナド</t>
    </rPh>
    <phoneticPr fontId="17"/>
  </si>
  <si>
    <t>　前項ただし書きの規定に基づき身体的拘束等の行為を行った場合には、乙は、直ちに、その日時、態様、甲の心身の状況、緊急やむを得なかった理由、当該行為が必要と判断した職員等及び当該行為を行った職員等の氏名その他必要な事項について、サービス提供記録等に記録します。</t>
  </si>
  <si>
    <t>　乙は、現に介護サポートサービスの提供を行っているときに甲に容態の急変が生じた場合その他必要な場合は、速やかに甲の主治医に連絡を取る等、必要な対応を講じます。</t>
    <rPh sb="6" eb="8">
      <t>カイゴ</t>
    </rPh>
    <phoneticPr fontId="17"/>
  </si>
  <si>
    <t>　乙が提供する介護サポートサービスの利用料その他の費用は、介護サポートサービス重要事項説明書に記載したとおりです。</t>
    <rPh sb="7" eb="9">
      <t>カイゴ</t>
    </rPh>
    <rPh sb="29" eb="31">
      <t>カイゴ</t>
    </rPh>
    <phoneticPr fontId="17"/>
  </si>
  <si>
    <t>　甲は、サービスの対価として前項の費用の額を元に月毎に算定された金額を乙の請求に従って乙に支払います。</t>
    <rPh sb="32" eb="34">
      <t>キンガク</t>
    </rPh>
    <rPh sb="35" eb="36">
      <t>オツ</t>
    </rPh>
    <rPh sb="37" eb="39">
      <t>セイキュウ</t>
    </rPh>
    <rPh sb="40" eb="41">
      <t>シタガ</t>
    </rPh>
    <phoneticPr fontId="17"/>
  </si>
  <si>
    <t>　乙は、提供する介護サポートサービスの内容及び利用料金を甲に説明し、甲の同意を得ます。</t>
    <rPh sb="28" eb="29">
      <t>コウ</t>
    </rPh>
    <phoneticPr fontId="17"/>
  </si>
  <si>
    <t>乙の事業の実施地域以外の地域にある甲の居宅から、甲を送迎する場合に要する費用</t>
    <rPh sb="12" eb="14">
      <t>チイキ</t>
    </rPh>
    <phoneticPr fontId="17"/>
  </si>
  <si>
    <t>（２）</t>
  </si>
  <si>
    <t>（３）</t>
  </si>
  <si>
    <t>おむつ代、リハビリパンツ代、パット代</t>
    <phoneticPr fontId="17"/>
  </si>
  <si>
    <t>（４）</t>
  </si>
  <si>
    <t>介護サポートサービスの中で提供される便宜のうち、日常生活においても通常必要となるものに係わる費用であって、甲に負担させることが適当と認められる費用</t>
    <phoneticPr fontId="17"/>
  </si>
  <si>
    <t>　乙は、甲が正当な理由で介護サポートサービスの利用をキャンセルした場合は、キャンセル料の支払いを求めないものとします。</t>
    <rPh sb="12" eb="14">
      <t>カイゴ</t>
    </rPh>
    <phoneticPr fontId="17"/>
  </si>
  <si>
    <t>　乙は、介護サポートサービスの利用料及びその他の費用の額を変更しようとする場合は、１ヶ月前までに甲に対し文書により通知し、変更の申し出を行います。</t>
    <rPh sb="4" eb="6">
      <t>カイゴ</t>
    </rPh>
    <rPh sb="43" eb="44">
      <t>ゲツ</t>
    </rPh>
    <phoneticPr fontId="17"/>
  </si>
  <si>
    <t>（利用者負担額の滞納）</t>
    <phoneticPr fontId="17"/>
  </si>
  <si>
    <t>　甲が正当な理由なく乙に支払うべき利用料、その他の費用の額の全部又は一部を２月以上滞納した場合は、乙は、３０日以上の期間を定めて、期間内に滞納額の全額の支払いがないときは、この契約を解除する旨の催告をすることができます。</t>
    <rPh sb="10" eb="11">
      <t>オツ</t>
    </rPh>
    <rPh sb="12" eb="14">
      <t>シハラ</t>
    </rPh>
    <rPh sb="19" eb="20">
      <t>リョウ</t>
    </rPh>
    <rPh sb="23" eb="24">
      <t>ホカ</t>
    </rPh>
    <rPh sb="25" eb="27">
      <t>ヒヨウ</t>
    </rPh>
    <rPh sb="28" eb="29">
      <t>ガク</t>
    </rPh>
    <rPh sb="30" eb="32">
      <t>ゼンブ</t>
    </rPh>
    <rPh sb="32" eb="33">
      <t>マタ</t>
    </rPh>
    <rPh sb="34" eb="36">
      <t>イチブ</t>
    </rPh>
    <rPh sb="65" eb="67">
      <t>キカン</t>
    </rPh>
    <rPh sb="67" eb="68">
      <t>ナイ</t>
    </rPh>
    <rPh sb="69" eb="72">
      <t>タイノウガク</t>
    </rPh>
    <rPh sb="73" eb="75">
      <t>ゼンガク</t>
    </rPh>
    <rPh sb="76" eb="78">
      <t>シハラ</t>
    </rPh>
    <phoneticPr fontId="17"/>
  </si>
  <si>
    <t>　前項の催告をしたときは、乙は、介護支援専門員と、甲の日常生活を維持する見地から居宅サービス計画の変更、介護保険外の公的サービスの利用について必要な協議を行うものとします。</t>
    <rPh sb="16" eb="18">
      <t>カイゴ</t>
    </rPh>
    <rPh sb="18" eb="20">
      <t>シエン</t>
    </rPh>
    <rPh sb="20" eb="22">
      <t>センモン</t>
    </rPh>
    <rPh sb="22" eb="23">
      <t>イン</t>
    </rPh>
    <phoneticPr fontId="17"/>
  </si>
  <si>
    <t>　乙は、前項の規定により解除に至るまでは、滞納を理由として介護サポートサービスの提供を拒むことはできません。</t>
    <phoneticPr fontId="17"/>
  </si>
  <si>
    <t>　乙及びその従業員は、サービス担当者会議等において、又は甲の家族の個人情報を用いる場合は甲又は当該家族の同意を、甲の後見人の個人情報を用いる場合は後見人の同意を得なければ、使用することができません。</t>
    <phoneticPr fontId="17"/>
  </si>
  <si>
    <t>　乙は、甲が法令違反又はサービス提供を阻害する行為をなし、乙の再三の申し入れにもかかわらず改善の見込みがなく、この契約の目的を達することが困難になったときは、３０日間以上の予告期間をもって、この契約を解除することができます。</t>
    <phoneticPr fontId="17"/>
  </si>
  <si>
    <t>※但し、乙が認める場合を除きます。</t>
    <rPh sb="1" eb="2">
      <t>タダ</t>
    </rPh>
    <rPh sb="4" eb="5">
      <t>オツ</t>
    </rPh>
    <rPh sb="6" eb="7">
      <t>ミト</t>
    </rPh>
    <rPh sb="9" eb="11">
      <t>バアイ</t>
    </rPh>
    <rPh sb="12" eb="13">
      <t>ノゾ</t>
    </rPh>
    <phoneticPr fontId="17"/>
  </si>
  <si>
    <t>　乙は、介護サポートサービスの提供にあたって、事故が発生した場合には、速やかに甲の家族及び甲の後見人に連絡を行うとともに、必要な措置を講じます。</t>
    <rPh sb="4" eb="6">
      <t>カイゴ</t>
    </rPh>
    <phoneticPr fontId="17"/>
  </si>
  <si>
    <t>　乙は、甲に対する通所介護サービスの提供にあたって、甲又は甲の家族の生命・身体・財産に損害が発生した場合は、速やかに甲又は甲の家族に対して損害を賠償します。但し、乙に故意、過失がない場合はこの限りではありません。</t>
    <phoneticPr fontId="17"/>
  </si>
  <si>
    <t>　第１項の事故が発生した場合、内容によっては基準に基づき、保険者への報告を行います。</t>
    <rPh sb="29" eb="32">
      <t>ホケンシャ</t>
    </rPh>
    <phoneticPr fontId="17"/>
  </si>
  <si>
    <t>　甲は、代理人を選任してこの契約を締結させることができ、又、契約に定める権利の行使と義務の履行を代理して行わせることができます。</t>
    <phoneticPr fontId="17"/>
  </si>
  <si>
    <t>　この契約に起因する紛争に関して訴訟の必要が生じたときは、事業者の本店所在地を管轄する地方裁判所を第一審の専属的合意管轄裁判所とします。</t>
    <rPh sb="31" eb="32">
      <t>シャ</t>
    </rPh>
    <rPh sb="33" eb="35">
      <t>ホンテン</t>
    </rPh>
    <rPh sb="53" eb="56">
      <t>センゾクテキ</t>
    </rPh>
    <rPh sb="56" eb="58">
      <t>ゴウイ</t>
    </rPh>
    <phoneticPr fontId="17"/>
  </si>
  <si>
    <t>　この契約に定めのない事項については、関係法令を遵守し、甲乙の協議により定めます。</t>
    <phoneticPr fontId="17"/>
  </si>
  <si>
    <t>個人情報等の使用に係る同意書</t>
    <rPh sb="4" eb="5">
      <t>トウ</t>
    </rPh>
    <phoneticPr fontId="49"/>
  </si>
  <si>
    <t>管理者　殿</t>
    <rPh sb="0" eb="2">
      <t>カンリ</t>
    </rPh>
    <rPh sb="2" eb="3">
      <t>シャ</t>
    </rPh>
    <rPh sb="4" eb="5">
      <t>ドノ</t>
    </rPh>
    <phoneticPr fontId="17"/>
  </si>
  <si>
    <t>　私自身及び家族、代理人の個人情報を上記利用目的の必要最低限の範囲内で使用、提供、収集を行うことについて、下記の通り同意致します。</t>
    <rPh sb="6" eb="8">
      <t>カゾク</t>
    </rPh>
    <rPh sb="9" eb="12">
      <t>ダイリニン</t>
    </rPh>
    <rPh sb="18" eb="20">
      <t>ジョウキ</t>
    </rPh>
    <rPh sb="53" eb="55">
      <t>カキ</t>
    </rPh>
    <rPh sb="56" eb="57">
      <t>トオ</t>
    </rPh>
    <phoneticPr fontId="12"/>
  </si>
  <si>
    <t xml:space="preserve">記 </t>
  </si>
  <si>
    <t>１．利用目的</t>
    <phoneticPr fontId="12"/>
  </si>
  <si>
    <t>介護計画書作成にあたり、ケアカンファレンス、職員会議の実施のため</t>
    <phoneticPr fontId="17"/>
  </si>
  <si>
    <t>居宅介護支援事業者、医療機関、介護サービス事業者、福祉事業者等との連携（サービス担当者会議）、照会への回答のため</t>
    <phoneticPr fontId="17"/>
  </si>
  <si>
    <t>利用の有無、利用時の様子に関する家族等への心身状況説明のため</t>
    <phoneticPr fontId="12"/>
  </si>
  <si>
    <t>介護事故、緊急時等の対応及び、報告のため</t>
    <rPh sb="10" eb="12">
      <t>タイオウ</t>
    </rPh>
    <rPh sb="12" eb="13">
      <t>オヨ</t>
    </rPh>
    <phoneticPr fontId="12"/>
  </si>
  <si>
    <t>介護保険事務（請求処理、会計処理等）</t>
    <phoneticPr fontId="12"/>
  </si>
  <si>
    <t>（６）</t>
  </si>
  <si>
    <t>損害賠償保険などに係る保険会社等への相談または届出等</t>
    <phoneticPr fontId="12"/>
  </si>
  <si>
    <t>（７）</t>
  </si>
  <si>
    <t>行政等外部監査機関、評価機関等への情報提供</t>
    <phoneticPr fontId="12"/>
  </si>
  <si>
    <t>（８）</t>
  </si>
  <si>
    <t>上記各号に関わらず、緊急を要する時の連絡等の場合</t>
    <phoneticPr fontId="12"/>
  </si>
  <si>
    <t>２．利用期間　　　</t>
    <phoneticPr fontId="12"/>
  </si>
  <si>
    <t>介護サービス提供期間及び契約期間</t>
    <phoneticPr fontId="17"/>
  </si>
  <si>
    <t>３．利用条件</t>
    <rPh sb="4" eb="6">
      <t>ジョウケン</t>
    </rPh>
    <phoneticPr fontId="12"/>
  </si>
  <si>
    <t>個人情報の提供は必要最低限とし、サービス提供に関わる目的以外で使用いたしません。</t>
    <phoneticPr fontId="12"/>
  </si>
  <si>
    <t>また、利用者とのサービス利用に関わる契約の締結からサービス終了後においても第三者に漏らすことはございません。個人情報に関する基本方針に基づき取扱いを行います。</t>
    <phoneticPr fontId="12"/>
  </si>
  <si>
    <t>項 目</t>
    <phoneticPr fontId="49"/>
  </si>
  <si>
    <t xml:space="preserve"> 使用および対応 </t>
    <phoneticPr fontId="49"/>
  </si>
  <si>
    <t xml:space="preserve">同意欄 </t>
    <phoneticPr fontId="49"/>
  </si>
  <si>
    <t>利用者</t>
    <rPh sb="0" eb="2">
      <t>リヨウ</t>
    </rPh>
    <rPh sb="2" eb="3">
      <t>シャ</t>
    </rPh>
    <phoneticPr fontId="49"/>
  </si>
  <si>
    <t>ご家族</t>
    <rPh sb="1" eb="3">
      <t>カゾク</t>
    </rPh>
    <phoneticPr fontId="49"/>
  </si>
  <si>
    <t>利用者・家族等の個人情報</t>
    <rPh sb="0" eb="2">
      <t>リヨウ</t>
    </rPh>
    <rPh sb="2" eb="3">
      <t>シャ</t>
    </rPh>
    <rPh sb="4" eb="6">
      <t>カゾク</t>
    </rPh>
    <rPh sb="6" eb="7">
      <t>トウ</t>
    </rPh>
    <rPh sb="8" eb="10">
      <t>コジン</t>
    </rPh>
    <rPh sb="10" eb="12">
      <t>ジョウホウ</t>
    </rPh>
    <phoneticPr fontId="49"/>
  </si>
  <si>
    <t>上記利用目的の（１）～（８）の内容に基づく、関係機関等への個人情報の使用、提供、収集</t>
    <rPh sb="0" eb="2">
      <t>ジョウキ</t>
    </rPh>
    <rPh sb="2" eb="4">
      <t>リヨウ</t>
    </rPh>
    <rPh sb="4" eb="6">
      <t>モクテキ</t>
    </rPh>
    <rPh sb="15" eb="17">
      <t>ナイヨウ</t>
    </rPh>
    <rPh sb="18" eb="19">
      <t>モト</t>
    </rPh>
    <rPh sb="22" eb="24">
      <t>カンケイ</t>
    </rPh>
    <rPh sb="24" eb="26">
      <t>キカン</t>
    </rPh>
    <rPh sb="26" eb="27">
      <t>トウ</t>
    </rPh>
    <rPh sb="29" eb="31">
      <t>コジン</t>
    </rPh>
    <rPh sb="31" eb="33">
      <t>ジョウホウ</t>
    </rPh>
    <rPh sb="34" eb="36">
      <t>シヨウ</t>
    </rPh>
    <rPh sb="37" eb="39">
      <t>テイキョウ</t>
    </rPh>
    <rPh sb="40" eb="42">
      <t>シュウシュウ</t>
    </rPh>
    <phoneticPr fontId="49"/>
  </si>
  <si>
    <t>する・しない</t>
    <phoneticPr fontId="49"/>
  </si>
  <si>
    <t>事業所内での氏名等の掲示</t>
    <rPh sb="0" eb="2">
      <t>ジギョウ</t>
    </rPh>
    <rPh sb="2" eb="3">
      <t>ショ</t>
    </rPh>
    <phoneticPr fontId="49"/>
  </si>
  <si>
    <t>玄関等の当日利用者氏名の掲示</t>
    <rPh sb="0" eb="2">
      <t>ゲンカン</t>
    </rPh>
    <rPh sb="2" eb="3">
      <t>トウ</t>
    </rPh>
    <rPh sb="4" eb="6">
      <t>トウジツ</t>
    </rPh>
    <rPh sb="6" eb="8">
      <t>リヨウ</t>
    </rPh>
    <rPh sb="8" eb="9">
      <t>シャ</t>
    </rPh>
    <rPh sb="9" eb="11">
      <t>シメイ</t>
    </rPh>
    <phoneticPr fontId="49"/>
  </si>
  <si>
    <t>展示作品等への氏名等の表示</t>
    <phoneticPr fontId="49"/>
  </si>
  <si>
    <t>写真等（画像・動画含む）の取扱い</t>
    <phoneticPr fontId="49"/>
  </si>
  <si>
    <t>行事スナップ等の写真等の撮影</t>
    <phoneticPr fontId="49"/>
  </si>
  <si>
    <t>事業所内での掲示、広報誌等への掲載</t>
    <rPh sb="0" eb="3">
      <t>ジギョウショ</t>
    </rPh>
    <rPh sb="3" eb="4">
      <t>ナイ</t>
    </rPh>
    <rPh sb="6" eb="8">
      <t>ケイジ</t>
    </rPh>
    <phoneticPr fontId="49"/>
  </si>
  <si>
    <t>ホームページ、SNS等での掲載</t>
    <rPh sb="10" eb="11">
      <t>トウ</t>
    </rPh>
    <rPh sb="13" eb="15">
      <t>ケイサイ</t>
    </rPh>
    <phoneticPr fontId="49"/>
  </si>
  <si>
    <t>○をつける</t>
    <phoneticPr fontId="49"/>
  </si>
  <si>
    <t>撮影された写真掲載</t>
    <rPh sb="0" eb="2">
      <t>サツエイ</t>
    </rPh>
    <rPh sb="5" eb="7">
      <t>シャシン</t>
    </rPh>
    <rPh sb="7" eb="9">
      <t>ケイサイ</t>
    </rPh>
    <phoneticPr fontId="49"/>
  </si>
  <si>
    <t>写真を加工し、個人が特定出来ない状態</t>
    <phoneticPr fontId="49"/>
  </si>
  <si>
    <t>後姿や身体の一部等、個人が特定出来ない状態</t>
    <phoneticPr fontId="49"/>
  </si>
  <si>
    <t>雑誌・新聞・ＴＶ取材等への協力</t>
    <phoneticPr fontId="49"/>
  </si>
  <si>
    <t xml:space="preserve">◇ 全項目について、同意欄に同意の意志（する・しない）を○印でご記入下さい。 </t>
  </si>
  <si>
    <t>　　　利用者</t>
    <phoneticPr fontId="12"/>
  </si>
  <si>
    <t>　　　家族代表</t>
    <rPh sb="3" eb="5">
      <t>カゾク</t>
    </rPh>
    <rPh sb="5" eb="7">
      <t>ダイヒョウ</t>
    </rPh>
    <phoneticPr fontId="12"/>
  </si>
  <si>
    <t>　　　代筆者（代理人）</t>
    <rPh sb="3" eb="6">
      <t>ダイヒツシャ</t>
    </rPh>
    <rPh sb="7" eb="10">
      <t>ダイリニン</t>
    </rPh>
    <phoneticPr fontId="12"/>
  </si>
  <si>
    <t>（第３号様式）</t>
    <rPh sb="1" eb="2">
      <t>ダイ</t>
    </rPh>
    <rPh sb="3" eb="4">
      <t>ゴウ</t>
    </rPh>
    <rPh sb="4" eb="6">
      <t>ヨウシキ</t>
    </rPh>
    <phoneticPr fontId="51"/>
  </si>
  <si>
    <t>委　任　状</t>
    <rPh sb="0" eb="1">
      <t>イ</t>
    </rPh>
    <rPh sb="2" eb="3">
      <t>ニン</t>
    </rPh>
    <rPh sb="4" eb="5">
      <t>ジョウ</t>
    </rPh>
    <phoneticPr fontId="51"/>
  </si>
  <si>
    <t>記</t>
    <rPh sb="0" eb="1">
      <t>キ</t>
    </rPh>
    <phoneticPr fontId="51"/>
  </si>
  <si>
    <t>１．</t>
    <phoneticPr fontId="51"/>
  </si>
  <si>
    <t>日常生活に必要な費用の支払い</t>
    <rPh sb="0" eb="2">
      <t>ニチジョウ</t>
    </rPh>
    <rPh sb="2" eb="4">
      <t>セイカツ</t>
    </rPh>
    <rPh sb="5" eb="7">
      <t>ヒツヨウ</t>
    </rPh>
    <rPh sb="8" eb="10">
      <t>ヒヨウ</t>
    </rPh>
    <rPh sb="11" eb="13">
      <t>シハラ</t>
    </rPh>
    <phoneticPr fontId="51"/>
  </si>
  <si>
    <t>２．</t>
    <phoneticPr fontId="51"/>
  </si>
  <si>
    <t>外出行事への参加等、個別費用が発生した場合の支払い</t>
    <rPh sb="0" eb="2">
      <t>ガイシュツ</t>
    </rPh>
    <rPh sb="2" eb="4">
      <t>ギョウジ</t>
    </rPh>
    <rPh sb="6" eb="9">
      <t>サンカナド</t>
    </rPh>
    <rPh sb="10" eb="12">
      <t>コベツ</t>
    </rPh>
    <rPh sb="12" eb="14">
      <t>ヒヨウ</t>
    </rPh>
    <rPh sb="15" eb="17">
      <t>ハッセイ</t>
    </rPh>
    <rPh sb="19" eb="21">
      <t>バアイ</t>
    </rPh>
    <phoneticPr fontId="51"/>
  </si>
  <si>
    <t>３．</t>
    <phoneticPr fontId="51"/>
  </si>
  <si>
    <t>医療費の支払い</t>
    <rPh sb="0" eb="3">
      <t>イリョウヒ</t>
    </rPh>
    <rPh sb="4" eb="6">
      <t>シハラ</t>
    </rPh>
    <phoneticPr fontId="51"/>
  </si>
  <si>
    <t>４．</t>
    <phoneticPr fontId="51"/>
  </si>
  <si>
    <t>おむつ・リハビリパンツ・パッド等の支払い</t>
    <phoneticPr fontId="51"/>
  </si>
  <si>
    <t>５．</t>
    <phoneticPr fontId="51"/>
  </si>
  <si>
    <t>その他、特別に依頼した下記の事項</t>
    <phoneticPr fontId="51"/>
  </si>
  <si>
    <t>特別依頼事項：</t>
    <rPh sb="0" eb="2">
      <t>トクベツ</t>
    </rPh>
    <rPh sb="2" eb="4">
      <t>イライ</t>
    </rPh>
    <rPh sb="4" eb="6">
      <t>ジコウ</t>
    </rPh>
    <phoneticPr fontId="51"/>
  </si>
  <si>
    <t>ただし、重要な財産の保全（処分を含む）運用に関する事項は、依頼することはできません。</t>
    <rPh sb="4" eb="6">
      <t>ジュウヨウ</t>
    </rPh>
    <rPh sb="7" eb="9">
      <t>ザイサン</t>
    </rPh>
    <rPh sb="10" eb="12">
      <t>ホゼン</t>
    </rPh>
    <rPh sb="13" eb="15">
      <t>ショブン</t>
    </rPh>
    <rPh sb="16" eb="17">
      <t>フク</t>
    </rPh>
    <rPh sb="19" eb="21">
      <t>ウンヨウ</t>
    </rPh>
    <rPh sb="22" eb="23">
      <t>カン</t>
    </rPh>
    <rPh sb="25" eb="27">
      <t>ジコウ</t>
    </rPh>
    <rPh sb="29" eb="31">
      <t>イライ</t>
    </rPh>
    <phoneticPr fontId="51"/>
  </si>
  <si>
    <t>※上記記載事項のうち、依頼しない事項については、横線を引いてその上に押印して下さい。</t>
    <rPh sb="1" eb="3">
      <t>ジョウキ</t>
    </rPh>
    <rPh sb="3" eb="5">
      <t>キサイ</t>
    </rPh>
    <rPh sb="5" eb="7">
      <t>ジコウ</t>
    </rPh>
    <rPh sb="11" eb="13">
      <t>イライ</t>
    </rPh>
    <rPh sb="16" eb="18">
      <t>ジコウ</t>
    </rPh>
    <rPh sb="24" eb="26">
      <t>ヨコセン</t>
    </rPh>
    <rPh sb="27" eb="28">
      <t>ヒ</t>
    </rPh>
    <rPh sb="32" eb="33">
      <t>ウエ</t>
    </rPh>
    <rPh sb="34" eb="36">
      <t>オウイン</t>
    </rPh>
    <rPh sb="38" eb="39">
      <t>クダ</t>
    </rPh>
    <phoneticPr fontId="51"/>
  </si>
  <si>
    <t>利用者　甲</t>
    <rPh sb="0" eb="2">
      <t>リヨウ</t>
    </rPh>
    <rPh sb="2" eb="3">
      <t>シャ</t>
    </rPh>
    <rPh sb="4" eb="5">
      <t>コウ</t>
    </rPh>
    <phoneticPr fontId="17"/>
  </si>
  <si>
    <t>代理人（又は、甲の家族代表）</t>
    <phoneticPr fontId="17"/>
  </si>
  <si>
    <t>緊急事態に対応するための連絡カード</t>
    <rPh sb="0" eb="2">
      <t>キンキュウ</t>
    </rPh>
    <rPh sb="2" eb="4">
      <t>ジタイ</t>
    </rPh>
    <rPh sb="5" eb="7">
      <t>タイオウ</t>
    </rPh>
    <rPh sb="12" eb="14">
      <t>レンラク</t>
    </rPh>
    <phoneticPr fontId="12"/>
  </si>
  <si>
    <t>☆</t>
    <phoneticPr fontId="12"/>
  </si>
  <si>
    <t>連絡カードご記入者は第１連絡者の方にお願い致します。緊急連絡先に変更があった場合は至急</t>
    <rPh sb="0" eb="2">
      <t>レンラク</t>
    </rPh>
    <rPh sb="6" eb="8">
      <t>キニュウ</t>
    </rPh>
    <rPh sb="8" eb="9">
      <t>シャ</t>
    </rPh>
    <rPh sb="10" eb="12">
      <t>ダイイチ</t>
    </rPh>
    <rPh sb="12" eb="14">
      <t>レンラク</t>
    </rPh>
    <rPh sb="14" eb="15">
      <t>シャ</t>
    </rPh>
    <rPh sb="16" eb="17">
      <t>カタ</t>
    </rPh>
    <rPh sb="19" eb="20">
      <t>ネガ</t>
    </rPh>
    <rPh sb="21" eb="22">
      <t>イタ</t>
    </rPh>
    <rPh sb="26" eb="28">
      <t>キンキュウ</t>
    </rPh>
    <rPh sb="28" eb="31">
      <t>レンラクサキ</t>
    </rPh>
    <rPh sb="32" eb="34">
      <t>ヘンコウ</t>
    </rPh>
    <rPh sb="38" eb="40">
      <t>バアイ</t>
    </rPh>
    <rPh sb="41" eb="43">
      <t>シキュウ</t>
    </rPh>
    <phoneticPr fontId="12"/>
  </si>
  <si>
    <t>初回ご利用時までにはご記入下さい。</t>
    <rPh sb="0" eb="2">
      <t>ショカイ</t>
    </rPh>
    <rPh sb="3" eb="5">
      <t>リヨウ</t>
    </rPh>
    <rPh sb="5" eb="6">
      <t>ジ</t>
    </rPh>
    <rPh sb="11" eb="13">
      <t>キニュウ</t>
    </rPh>
    <rPh sb="13" eb="14">
      <t>クダ</t>
    </rPh>
    <phoneticPr fontId="12"/>
  </si>
  <si>
    <t>　　　　　　　　　年　　　　  月 　　　　日現在</t>
    <rPh sb="9" eb="10">
      <t>ネン</t>
    </rPh>
    <rPh sb="16" eb="17">
      <t>ガツ</t>
    </rPh>
    <rPh sb="22" eb="23">
      <t>ニチ</t>
    </rPh>
    <rPh sb="23" eb="25">
      <t>ゲンザイ</t>
    </rPh>
    <phoneticPr fontId="12"/>
  </si>
  <si>
    <t>フリガナ
利用者のお名前</t>
    <rPh sb="5" eb="8">
      <t>リヨウシャ</t>
    </rPh>
    <rPh sb="10" eb="12">
      <t>ナマエ</t>
    </rPh>
    <phoneticPr fontId="12"/>
  </si>
  <si>
    <t>男</t>
    <rPh sb="0" eb="1">
      <t>オトコ</t>
    </rPh>
    <phoneticPr fontId="12"/>
  </si>
  <si>
    <t>介護者の
お名前</t>
    <rPh sb="0" eb="3">
      <t>カイゴシャ</t>
    </rPh>
    <rPh sb="6" eb="8">
      <t>ナマエ</t>
    </rPh>
    <phoneticPr fontId="12"/>
  </si>
  <si>
    <t>（続柄）</t>
    <rPh sb="1" eb="3">
      <t>ツヅキガラ</t>
    </rPh>
    <phoneticPr fontId="12"/>
  </si>
  <si>
    <t>様</t>
    <rPh sb="0" eb="1">
      <t>サマ</t>
    </rPh>
    <phoneticPr fontId="17"/>
  </si>
  <si>
    <t>・</t>
    <phoneticPr fontId="12"/>
  </si>
  <si>
    <t>お名前は、【マスター】に入力されている場合は自動的に反映されます</t>
    <rPh sb="1" eb="3">
      <t>ナマエ</t>
    </rPh>
    <rPh sb="12" eb="14">
      <t>ニュウリョク</t>
    </rPh>
    <rPh sb="19" eb="21">
      <t>バアイ</t>
    </rPh>
    <rPh sb="22" eb="25">
      <t>ジドウテキ</t>
    </rPh>
    <rPh sb="26" eb="28">
      <t>ハンエイ</t>
    </rPh>
    <phoneticPr fontId="17"/>
  </si>
  <si>
    <t>女</t>
    <rPh sb="0" eb="1">
      <t>オンナ</t>
    </rPh>
    <phoneticPr fontId="12"/>
  </si>
  <si>
    <t>生年月日</t>
    <rPh sb="0" eb="2">
      <t>セイネン</t>
    </rPh>
    <rPh sb="2" eb="4">
      <t>ガッピ</t>
    </rPh>
    <phoneticPr fontId="12"/>
  </si>
  <si>
    <t>大正
昭和</t>
    <rPh sb="0" eb="2">
      <t>タイショウ</t>
    </rPh>
    <rPh sb="3" eb="5">
      <t>ショウワ</t>
    </rPh>
    <phoneticPr fontId="12"/>
  </si>
  <si>
    <t>年</t>
    <rPh sb="0" eb="1">
      <t>ネン</t>
    </rPh>
    <phoneticPr fontId="12"/>
  </si>
  <si>
    <t>月</t>
    <rPh sb="0" eb="1">
      <t>ゲツ</t>
    </rPh>
    <phoneticPr fontId="12"/>
  </si>
  <si>
    <t>満</t>
    <rPh sb="0" eb="1">
      <t>マン</t>
    </rPh>
    <phoneticPr fontId="12"/>
  </si>
  <si>
    <t>歳</t>
    <rPh sb="0" eb="1">
      <t>サイ</t>
    </rPh>
    <phoneticPr fontId="12"/>
  </si>
  <si>
    <t>大
昭・平</t>
    <rPh sb="0" eb="1">
      <t>オオ</t>
    </rPh>
    <rPh sb="2" eb="3">
      <t>アキラ</t>
    </rPh>
    <rPh sb="4" eb="5">
      <t>タイラ</t>
    </rPh>
    <phoneticPr fontId="12"/>
  </si>
  <si>
    <t>住  所</t>
    <rPh sb="0" eb="1">
      <t>ジュウ</t>
    </rPh>
    <rPh sb="3" eb="4">
      <t>ショ</t>
    </rPh>
    <phoneticPr fontId="12"/>
  </si>
  <si>
    <t>電話番号</t>
    <rPh sb="0" eb="2">
      <t>デンワ</t>
    </rPh>
    <rPh sb="2" eb="4">
      <t>バンゴウ</t>
    </rPh>
    <phoneticPr fontId="12"/>
  </si>
  <si>
    <t>住所は、【マスター】に入力されている場合は自動的に反映されます</t>
    <rPh sb="0" eb="2">
      <t>ジュウショ</t>
    </rPh>
    <rPh sb="11" eb="13">
      <t>ニュウリョク</t>
    </rPh>
    <rPh sb="18" eb="20">
      <t>バアイ</t>
    </rPh>
    <rPh sb="21" eb="24">
      <t>ジドウテキ</t>
    </rPh>
    <rPh sb="25" eb="27">
      <t>ハンエイ</t>
    </rPh>
    <phoneticPr fontId="17"/>
  </si>
  <si>
    <t>保険証番号</t>
    <rPh sb="0" eb="3">
      <t>ホケンショウ</t>
    </rPh>
    <rPh sb="3" eb="5">
      <t>バンゴウ</t>
    </rPh>
    <phoneticPr fontId="12"/>
  </si>
  <si>
    <t>障害者手帳</t>
    <rPh sb="0" eb="3">
      <t>ショウガイシャ</t>
    </rPh>
    <rPh sb="3" eb="5">
      <t>テチョウ</t>
    </rPh>
    <phoneticPr fontId="12"/>
  </si>
  <si>
    <r>
      <t xml:space="preserve"> 有　・　無</t>
    </r>
    <r>
      <rPr>
        <sz val="10"/>
        <rFont val="ＭＳ Ｐ明朝"/>
        <family val="1"/>
        <charset val="128"/>
      </rPr>
      <t/>
    </r>
    <rPh sb="1" eb="2">
      <t>ア</t>
    </rPh>
    <rPh sb="5" eb="6">
      <t>ム</t>
    </rPh>
    <phoneticPr fontId="12"/>
  </si>
  <si>
    <t>番号</t>
    <rPh sb="0" eb="2">
      <t>バンゴウ</t>
    </rPh>
    <phoneticPr fontId="12"/>
  </si>
  <si>
    <t>既 往 症</t>
    <rPh sb="0" eb="1">
      <t>キ</t>
    </rPh>
    <rPh sb="2" eb="3">
      <t>オウ</t>
    </rPh>
    <rPh sb="4" eb="5">
      <t>ショウ</t>
    </rPh>
    <phoneticPr fontId="12"/>
  </si>
  <si>
    <t>服  薬</t>
    <rPh sb="0" eb="1">
      <t>フク</t>
    </rPh>
    <rPh sb="3" eb="4">
      <t>クスリ</t>
    </rPh>
    <phoneticPr fontId="12"/>
  </si>
  <si>
    <r>
      <t xml:space="preserve"> 有　・　無</t>
    </r>
    <r>
      <rPr>
        <sz val="10"/>
        <rFont val="HGPｺﾞｼｯｸM"/>
        <family val="3"/>
        <charset val="128"/>
      </rPr>
      <t>（何のための薬ですか）</t>
    </r>
    <r>
      <rPr>
        <sz val="11"/>
        <rFont val="HGPｺﾞｼｯｸM"/>
        <family val="3"/>
        <charset val="128"/>
      </rPr>
      <t xml:space="preserve">
</t>
    </r>
    <rPh sb="1" eb="2">
      <t>ア</t>
    </rPh>
    <rPh sb="5" eb="6">
      <t>ム</t>
    </rPh>
    <rPh sb="7" eb="8">
      <t>ナニ</t>
    </rPh>
    <rPh sb="12" eb="13">
      <t>クスリ</t>
    </rPh>
    <phoneticPr fontId="12"/>
  </si>
  <si>
    <t>障害などの
注意点</t>
    <rPh sb="0" eb="2">
      <t>ショウガイ</t>
    </rPh>
    <rPh sb="6" eb="9">
      <t>チュウイテン</t>
    </rPh>
    <phoneticPr fontId="12"/>
  </si>
  <si>
    <t>主治医
（病院名・科）</t>
    <rPh sb="0" eb="3">
      <t>シュジイ</t>
    </rPh>
    <rPh sb="5" eb="7">
      <t>ビョウイン</t>
    </rPh>
    <rPh sb="7" eb="8">
      <t>メイ</t>
    </rPh>
    <rPh sb="9" eb="10">
      <t>カ</t>
    </rPh>
    <phoneticPr fontId="12"/>
  </si>
  <si>
    <t>連絡先</t>
    <rPh sb="0" eb="2">
      <t>レンラク</t>
    </rPh>
    <rPh sb="2" eb="3">
      <t>サキ</t>
    </rPh>
    <phoneticPr fontId="12"/>
  </si>
  <si>
    <t>主治医
住　所</t>
    <rPh sb="0" eb="3">
      <t>シュジイ</t>
    </rPh>
    <rPh sb="4" eb="5">
      <t>ジュウ</t>
    </rPh>
    <rPh sb="6" eb="7">
      <t>ショ</t>
    </rPh>
    <phoneticPr fontId="12"/>
  </si>
  <si>
    <t>緊急事態
移送病院</t>
    <rPh sb="0" eb="2">
      <t>キンキュウ</t>
    </rPh>
    <rPh sb="2" eb="4">
      <t>ジタイ</t>
    </rPh>
    <rPh sb="5" eb="7">
      <t>イソウ</t>
    </rPh>
    <rPh sb="7" eb="9">
      <t>ビョウイン</t>
    </rPh>
    <phoneticPr fontId="12"/>
  </si>
  <si>
    <t>希 望（</t>
    <rPh sb="0" eb="1">
      <t>マレ</t>
    </rPh>
    <rPh sb="2" eb="3">
      <t>ノゾミ</t>
    </rPh>
    <phoneticPr fontId="12"/>
  </si>
  <si>
    <t>有</t>
    <rPh sb="0" eb="1">
      <t>ア</t>
    </rPh>
    <phoneticPr fontId="12"/>
  </si>
  <si>
    <t>無</t>
    <rPh sb="0" eb="1">
      <t>ナシ</t>
    </rPh>
    <phoneticPr fontId="12"/>
  </si>
  <si>
    <t>）</t>
    <phoneticPr fontId="12"/>
  </si>
  <si>
    <t>◎</t>
    <phoneticPr fontId="12"/>
  </si>
  <si>
    <t>第一連絡先はどちらにしますか・・・・</t>
    <rPh sb="0" eb="2">
      <t>ダイイチ</t>
    </rPh>
    <rPh sb="2" eb="5">
      <t>レンラクサキ</t>
    </rPh>
    <phoneticPr fontId="12"/>
  </si>
  <si>
    <t>救急車　　　　・　　　ご家族</t>
    <rPh sb="0" eb="3">
      <t>キュウキュウシャ</t>
    </rPh>
    <rPh sb="12" eb="14">
      <t>カゾク</t>
    </rPh>
    <phoneticPr fontId="12"/>
  </si>
  <si>
    <t>緊急事態連絡先の順序</t>
    <phoneticPr fontId="12"/>
  </si>
  <si>
    <t>順序</t>
    <rPh sb="0" eb="2">
      <t>ジュンジョ</t>
    </rPh>
    <phoneticPr fontId="12"/>
  </si>
  <si>
    <t>氏名（機関名）</t>
    <rPh sb="0" eb="2">
      <t>シメイ</t>
    </rPh>
    <rPh sb="3" eb="5">
      <t>キカン</t>
    </rPh>
    <rPh sb="5" eb="6">
      <t>メイ</t>
    </rPh>
    <phoneticPr fontId="12"/>
  </si>
  <si>
    <t>ご利用者との関係</t>
    <rPh sb="1" eb="4">
      <t>リヨウシャ</t>
    </rPh>
    <rPh sb="6" eb="8">
      <t>カンケイ</t>
    </rPh>
    <phoneticPr fontId="12"/>
  </si>
  <si>
    <t>住    所</t>
    <rPh sb="0" eb="1">
      <t>ジュウ</t>
    </rPh>
    <rPh sb="5" eb="6">
      <t>ショ</t>
    </rPh>
    <phoneticPr fontId="12"/>
  </si>
  <si>
    <t>１</t>
    <phoneticPr fontId="12"/>
  </si>
  <si>
    <t xml:space="preserve">フリガナ
</t>
    <phoneticPr fontId="12"/>
  </si>
  <si>
    <t>２</t>
    <phoneticPr fontId="12"/>
  </si>
  <si>
    <t>３</t>
    <phoneticPr fontId="12"/>
  </si>
  <si>
    <t>サービス利用状況：　□デイ　・　□短期　・　□ヘルパー　・　□訪問看護　・　□訪問入浴　・　□配食</t>
    <rPh sb="4" eb="6">
      <t>リヨウ</t>
    </rPh>
    <rPh sb="6" eb="8">
      <t>ジョウキョウ</t>
    </rPh>
    <rPh sb="17" eb="19">
      <t>タンキ</t>
    </rPh>
    <rPh sb="31" eb="33">
      <t>ホウモン</t>
    </rPh>
    <rPh sb="33" eb="35">
      <t>カンゴ</t>
    </rPh>
    <rPh sb="39" eb="41">
      <t>ホウモン</t>
    </rPh>
    <rPh sb="41" eb="43">
      <t>ニュウヨク</t>
    </rPh>
    <rPh sb="47" eb="48">
      <t>クバ</t>
    </rPh>
    <rPh sb="48" eb="49">
      <t>ショク</t>
    </rPh>
    <phoneticPr fontId="12"/>
  </si>
  <si>
    <t>事業所使用欄</t>
    <rPh sb="0" eb="3">
      <t>ジギョウショ</t>
    </rPh>
    <rPh sb="3" eb="5">
      <t>シヨウ</t>
    </rPh>
    <rPh sb="5" eb="6">
      <t>ラン</t>
    </rPh>
    <phoneticPr fontId="12"/>
  </si>
  <si>
    <t>受領日</t>
    <rPh sb="0" eb="3">
      <t>ジュリョウビ</t>
    </rPh>
    <phoneticPr fontId="12"/>
  </si>
  <si>
    <t>月</t>
    <rPh sb="0" eb="1">
      <t>ガツ</t>
    </rPh>
    <phoneticPr fontId="12"/>
  </si>
  <si>
    <t>受領者</t>
    <rPh sb="0" eb="2">
      <t>ジュリョウ</t>
    </rPh>
    <rPh sb="2" eb="3">
      <t>シャ</t>
    </rPh>
    <phoneticPr fontId="12"/>
  </si>
  <si>
    <t>管理者確認欄</t>
    <rPh sb="0" eb="2">
      <t>カンリ</t>
    </rPh>
    <rPh sb="2" eb="3">
      <t>シャ</t>
    </rPh>
    <rPh sb="3" eb="5">
      <t>カクニン</t>
    </rPh>
    <rPh sb="5" eb="6">
      <t>ラン</t>
    </rPh>
    <phoneticPr fontId="12"/>
  </si>
  <si>
    <t>107030301_001_150401</t>
  </si>
  <si>
    <t>請　求　内　容　内　訳　書</t>
    <rPh sb="0" eb="1">
      <t>ショウ</t>
    </rPh>
    <rPh sb="2" eb="3">
      <t>モトム</t>
    </rPh>
    <rPh sb="4" eb="5">
      <t>ナイ</t>
    </rPh>
    <rPh sb="6" eb="7">
      <t>カタチ</t>
    </rPh>
    <rPh sb="8" eb="9">
      <t>ナイ</t>
    </rPh>
    <rPh sb="10" eb="11">
      <t>ヤク</t>
    </rPh>
    <rPh sb="12" eb="13">
      <t>ショ</t>
    </rPh>
    <phoneticPr fontId="12"/>
  </si>
  <si>
    <t>月分</t>
    <rPh sb="0" eb="2">
      <t>ガツブン</t>
    </rPh>
    <phoneticPr fontId="17"/>
  </si>
  <si>
    <t>　当事業所が提供したサービスは以下の通りです。</t>
    <rPh sb="1" eb="2">
      <t>トウ</t>
    </rPh>
    <rPh sb="2" eb="5">
      <t>ジギョウショ</t>
    </rPh>
    <rPh sb="6" eb="8">
      <t>テイキョウ</t>
    </rPh>
    <rPh sb="15" eb="17">
      <t>イカ</t>
    </rPh>
    <rPh sb="18" eb="19">
      <t>トオ</t>
    </rPh>
    <phoneticPr fontId="17"/>
  </si>
  <si>
    <t>　要介護度：</t>
    <rPh sb="1" eb="4">
      <t>ヨウカイゴ</t>
    </rPh>
    <rPh sb="4" eb="5">
      <t>ド</t>
    </rPh>
    <phoneticPr fontId="12"/>
  </si>
  <si>
    <t>要介護3</t>
    <rPh sb="0" eb="1">
      <t>ヨウ</t>
    </rPh>
    <rPh sb="1" eb="3">
      <t>カイゴ</t>
    </rPh>
    <phoneticPr fontId="12"/>
  </si>
  <si>
    <r>
      <rPr>
        <sz val="10"/>
        <rFont val="ＭＳ 明朝"/>
        <family val="1"/>
        <charset val="128"/>
      </rPr>
      <t>処遇改善加算
⑤×1.9％（0.019）
（小数点以下</t>
    </r>
    <r>
      <rPr>
        <b/>
        <sz val="10"/>
        <color rgb="FFFF0000"/>
        <rFont val="ＭＳ 明朝"/>
        <family val="1"/>
        <charset val="128"/>
      </rPr>
      <t>四捨五入</t>
    </r>
    <r>
      <rPr>
        <sz val="10"/>
        <rFont val="ＭＳ 明朝"/>
        <family val="1"/>
        <charset val="128"/>
      </rPr>
      <t>）</t>
    </r>
    <r>
      <rPr>
        <b/>
        <sz val="11"/>
        <rFont val="ＭＳ Ｐゴシック"/>
        <family val="3"/>
        <charset val="128"/>
        <scheme val="minor"/>
      </rPr>
      <t/>
    </r>
    <rPh sb="0" eb="2">
      <t>ショグウ</t>
    </rPh>
    <rPh sb="2" eb="4">
      <t>カイゼン</t>
    </rPh>
    <rPh sb="4" eb="6">
      <t>カサン</t>
    </rPh>
    <rPh sb="22" eb="25">
      <t>ショウスウテン</t>
    </rPh>
    <rPh sb="25" eb="27">
      <t>イカ</t>
    </rPh>
    <rPh sb="27" eb="31">
      <t>シシャゴニュウ</t>
    </rPh>
    <phoneticPr fontId="12"/>
  </si>
  <si>
    <t>処遇改善加算取得状況:</t>
    <rPh sb="0" eb="2">
      <t>ショグウ</t>
    </rPh>
    <rPh sb="2" eb="4">
      <t>カイゼン</t>
    </rPh>
    <rPh sb="4" eb="6">
      <t>カサン</t>
    </rPh>
    <rPh sb="6" eb="8">
      <t>シュトク</t>
    </rPh>
    <rPh sb="8" eb="10">
      <t>ジョウキョウ</t>
    </rPh>
    <phoneticPr fontId="12"/>
  </si>
  <si>
    <t>　地域区分：</t>
    <rPh sb="1" eb="3">
      <t>チイキ</t>
    </rPh>
    <rPh sb="3" eb="5">
      <t>クブン</t>
    </rPh>
    <phoneticPr fontId="12"/>
  </si>
  <si>
    <r>
      <rPr>
        <sz val="10"/>
        <rFont val="ＭＳ 明朝"/>
        <family val="1"/>
        <charset val="128"/>
      </rPr>
      <t>処遇改善加算
⑤×1.7％（0.017）
（小数点以下四捨五入）</t>
    </r>
    <r>
      <rPr>
        <b/>
        <sz val="11"/>
        <rFont val="ＭＳ Ｐゴシック"/>
        <family val="3"/>
        <charset val="128"/>
        <scheme val="minor"/>
      </rPr>
      <t/>
    </r>
    <rPh sb="0" eb="2">
      <t>ショグウ</t>
    </rPh>
    <rPh sb="2" eb="4">
      <t>カイゼン</t>
    </rPh>
    <rPh sb="4" eb="6">
      <t>カサン</t>
    </rPh>
    <rPh sb="22" eb="25">
      <t>ショウスウテン</t>
    </rPh>
    <rPh sb="25" eb="27">
      <t>イカ</t>
    </rPh>
    <rPh sb="27" eb="31">
      <t>シシャゴニュウ</t>
    </rPh>
    <phoneticPr fontId="12"/>
  </si>
  <si>
    <t>（Ⅲ）</t>
    <phoneticPr fontId="17"/>
  </si>
  <si>
    <r>
      <rPr>
        <sz val="10"/>
        <rFont val="ＭＳ 明朝"/>
        <family val="1"/>
        <charset val="128"/>
      </rPr>
      <t>処遇改善加算
⑤×1.5％（0.015）
（小数点以下四捨五入）</t>
    </r>
    <r>
      <rPr>
        <b/>
        <sz val="11"/>
        <rFont val="ＭＳ Ｐゴシック"/>
        <family val="3"/>
        <charset val="128"/>
        <scheme val="minor"/>
      </rPr>
      <t/>
    </r>
    <rPh sb="0" eb="2">
      <t>ショグウ</t>
    </rPh>
    <rPh sb="2" eb="4">
      <t>カイゼン</t>
    </rPh>
    <rPh sb="4" eb="6">
      <t>カサン</t>
    </rPh>
    <rPh sb="22" eb="25">
      <t>ショウスウテン</t>
    </rPh>
    <rPh sb="25" eb="27">
      <t>イカ</t>
    </rPh>
    <rPh sb="27" eb="31">
      <t>シシャゴニュウ</t>
    </rPh>
    <phoneticPr fontId="12"/>
  </si>
  <si>
    <t>7-9</t>
    <phoneticPr fontId="17"/>
  </si>
  <si>
    <t>要介護度</t>
    <rPh sb="0" eb="1">
      <t>ヨウ</t>
    </rPh>
    <rPh sb="1" eb="3">
      <t>カイゴ</t>
    </rPh>
    <rPh sb="3" eb="4">
      <t>ド</t>
    </rPh>
    <phoneticPr fontId="12"/>
  </si>
  <si>
    <t>算定項目</t>
    <rPh sb="0" eb="2">
      <t>サンテイ</t>
    </rPh>
    <rPh sb="2" eb="4">
      <t>コウモク</t>
    </rPh>
    <phoneticPr fontId="12"/>
  </si>
  <si>
    <t>7-9時間　利用日数：</t>
    <rPh sb="3" eb="5">
      <t>ジカン</t>
    </rPh>
    <rPh sb="6" eb="8">
      <t>リヨウ</t>
    </rPh>
    <rPh sb="8" eb="10">
      <t>ニッスウ</t>
    </rPh>
    <phoneticPr fontId="12"/>
  </si>
  <si>
    <t>通所介護単位数</t>
    <rPh sb="0" eb="4">
      <t>ツウショカイゴ</t>
    </rPh>
    <rPh sb="4" eb="7">
      <t>タンイスウ</t>
    </rPh>
    <phoneticPr fontId="12"/>
  </si>
  <si>
    <t>単位</t>
    <rPh sb="0" eb="2">
      <t>タンイ</t>
    </rPh>
    <phoneticPr fontId="12"/>
  </si>
  <si>
    <t>要介護1</t>
    <rPh sb="0" eb="1">
      <t>ヨウ</t>
    </rPh>
    <rPh sb="1" eb="3">
      <t>カイゴ</t>
    </rPh>
    <phoneticPr fontId="12"/>
  </si>
  <si>
    <t>通所介護Ⅰ31</t>
    <phoneticPr fontId="12"/>
  </si>
  <si>
    <t>/1回</t>
    <rPh sb="2" eb="3">
      <t>カイ</t>
    </rPh>
    <phoneticPr fontId="12"/>
  </si>
  <si>
    <t>要介護2</t>
    <rPh sb="0" eb="1">
      <t>ヨウ</t>
    </rPh>
    <rPh sb="1" eb="3">
      <t>カイゴ</t>
    </rPh>
    <phoneticPr fontId="12"/>
  </si>
  <si>
    <t>通所介護Ⅰ32</t>
  </si>
  <si>
    <t>5-7時間　利用日数：</t>
    <rPh sb="3" eb="5">
      <t>ジカン</t>
    </rPh>
    <rPh sb="6" eb="8">
      <t>リヨウ</t>
    </rPh>
    <rPh sb="8" eb="10">
      <t>ニッスウ</t>
    </rPh>
    <phoneticPr fontId="12"/>
  </si>
  <si>
    <t>通所介護Ⅰ33</t>
  </si>
  <si>
    <t>要介護4</t>
    <rPh sb="0" eb="1">
      <t>ヨウ</t>
    </rPh>
    <rPh sb="1" eb="3">
      <t>カイゴ</t>
    </rPh>
    <phoneticPr fontId="12"/>
  </si>
  <si>
    <t>通所介護Ⅰ34</t>
  </si>
  <si>
    <t>3-5時間　利用日数：</t>
    <rPh sb="3" eb="5">
      <t>ジカン</t>
    </rPh>
    <rPh sb="6" eb="8">
      <t>リヨウ</t>
    </rPh>
    <rPh sb="8" eb="10">
      <t>ニッスウ</t>
    </rPh>
    <phoneticPr fontId="12"/>
  </si>
  <si>
    <t>要介護5</t>
    <rPh sb="0" eb="1">
      <t>ヨウ</t>
    </rPh>
    <rPh sb="1" eb="3">
      <t>カイゴ</t>
    </rPh>
    <phoneticPr fontId="12"/>
  </si>
  <si>
    <t>通所介護Ⅰ35</t>
  </si>
  <si>
    <t>2-3時間　利用日数：</t>
    <rPh sb="3" eb="5">
      <t>ジカン</t>
    </rPh>
    <rPh sb="6" eb="8">
      <t>リヨウ</t>
    </rPh>
    <rPh sb="8" eb="10">
      <t>ニッスウ</t>
    </rPh>
    <phoneticPr fontId="12"/>
  </si>
  <si>
    <t>5-7</t>
    <phoneticPr fontId="17"/>
  </si>
  <si>
    <t>通所介護Ⅰ21</t>
    <phoneticPr fontId="12"/>
  </si>
  <si>
    <t>　入浴回数　　　：</t>
    <rPh sb="1" eb="3">
      <t>ニュウヨク</t>
    </rPh>
    <rPh sb="3" eb="5">
      <t>カイスウ</t>
    </rPh>
    <phoneticPr fontId="12"/>
  </si>
  <si>
    <t>入浴加算単位数</t>
    <rPh sb="0" eb="2">
      <t>ニュウヨク</t>
    </rPh>
    <rPh sb="2" eb="4">
      <t>カサン</t>
    </rPh>
    <rPh sb="4" eb="7">
      <t>タンイスウ</t>
    </rPh>
    <phoneticPr fontId="12"/>
  </si>
  <si>
    <t>通所介護Ⅰ22</t>
    <phoneticPr fontId="17"/>
  </si>
  <si>
    <t>通所介護Ⅰ23</t>
    <phoneticPr fontId="17"/>
  </si>
  <si>
    <t>夜間サポート利用回数　
(送迎減算対象回数)　：</t>
    <rPh sb="0" eb="2">
      <t>ヤカン</t>
    </rPh>
    <rPh sb="6" eb="8">
      <t>リヨウ</t>
    </rPh>
    <rPh sb="8" eb="10">
      <t>カイスウ</t>
    </rPh>
    <rPh sb="13" eb="15">
      <t>ソウゲイ</t>
    </rPh>
    <rPh sb="15" eb="17">
      <t>ゲンサン</t>
    </rPh>
    <rPh sb="17" eb="19">
      <t>タイショウ</t>
    </rPh>
    <rPh sb="19" eb="21">
      <t>カイスウ</t>
    </rPh>
    <phoneticPr fontId="12"/>
  </si>
  <si>
    <t>送迎減算単位数</t>
    <rPh sb="0" eb="2">
      <t>ソウゲイ</t>
    </rPh>
    <rPh sb="2" eb="4">
      <t>ゲンサン</t>
    </rPh>
    <rPh sb="4" eb="7">
      <t>タンイスウ</t>
    </rPh>
    <phoneticPr fontId="12"/>
  </si>
  <si>
    <t>通所介護Ⅰ24</t>
    <phoneticPr fontId="17"/>
  </si>
  <si>
    <t>通所介護Ⅰ25</t>
    <phoneticPr fontId="17"/>
  </si>
  <si>
    <t>　　昼食数　　　：</t>
    <rPh sb="2" eb="4">
      <t>チュウショク</t>
    </rPh>
    <rPh sb="4" eb="5">
      <t>スウ</t>
    </rPh>
    <phoneticPr fontId="12"/>
  </si>
  <si>
    <t>総単位数
（①+②+③+④）</t>
    <rPh sb="0" eb="1">
      <t>ソウ</t>
    </rPh>
    <rPh sb="1" eb="4">
      <t>タンイスウ</t>
    </rPh>
    <phoneticPr fontId="12"/>
  </si>
  <si>
    <t>3-5</t>
    <phoneticPr fontId="17"/>
  </si>
  <si>
    <t>通所介護Ⅰ11</t>
    <phoneticPr fontId="12"/>
  </si>
  <si>
    <t>通所介護
サービス名称</t>
    <rPh sb="0" eb="2">
      <t>ツウショ</t>
    </rPh>
    <rPh sb="2" eb="4">
      <t>カイゴ</t>
    </rPh>
    <rPh sb="9" eb="11">
      <t>メイショウ</t>
    </rPh>
    <phoneticPr fontId="12"/>
  </si>
  <si>
    <t>料金</t>
    <rPh sb="0" eb="2">
      <t>リョウキン</t>
    </rPh>
    <phoneticPr fontId="12"/>
  </si>
  <si>
    <t>通所介護Ⅰ12</t>
    <phoneticPr fontId="17"/>
  </si>
  <si>
    <t>総合計単位数
⑤+⑥</t>
    <rPh sb="0" eb="1">
      <t>ソウ</t>
    </rPh>
    <rPh sb="1" eb="3">
      <t>ゴウケイ</t>
    </rPh>
    <rPh sb="3" eb="6">
      <t>タンイスウ</t>
    </rPh>
    <phoneticPr fontId="12"/>
  </si>
  <si>
    <t>通所介護Ⅰ13</t>
    <phoneticPr fontId="17"/>
  </si>
  <si>
    <t>昼食食材料費</t>
    <rPh sb="0" eb="2">
      <t>チュウショク</t>
    </rPh>
    <rPh sb="2" eb="3">
      <t>ショク</t>
    </rPh>
    <rPh sb="3" eb="6">
      <t>ザイリョウヒ</t>
    </rPh>
    <phoneticPr fontId="12"/>
  </si>
  <si>
    <t>1食</t>
    <rPh sb="1" eb="2">
      <t>ショク</t>
    </rPh>
    <phoneticPr fontId="12"/>
  </si>
  <si>
    <t>円</t>
    <rPh sb="0" eb="1">
      <t>エン</t>
    </rPh>
    <phoneticPr fontId="12"/>
  </si>
  <si>
    <t>通所介護Ⅰ14</t>
    <phoneticPr fontId="17"/>
  </si>
  <si>
    <t>×</t>
    <phoneticPr fontId="17"/>
  </si>
  <si>
    <t>通所介護Ⅰ15</t>
    <phoneticPr fontId="17"/>
  </si>
  <si>
    <t>（×地域単価）</t>
    <rPh sb="2" eb="4">
      <t>チイキ</t>
    </rPh>
    <rPh sb="4" eb="6">
      <t>タンカ</t>
    </rPh>
    <phoneticPr fontId="12"/>
  </si>
  <si>
    <r>
      <rPr>
        <sz val="9"/>
        <rFont val="ＭＳ 明朝"/>
        <family val="1"/>
        <charset val="128"/>
      </rPr>
      <t xml:space="preserve">介護報酬総額
</t>
    </r>
    <r>
      <rPr>
        <b/>
        <sz val="9"/>
        <rFont val="ＭＳ 明朝"/>
        <family val="1"/>
        <charset val="128"/>
      </rPr>
      <t>※10割負担</t>
    </r>
    <r>
      <rPr>
        <sz val="6"/>
        <rFont val="ＭＳ 明朝"/>
        <family val="1"/>
        <charset val="128"/>
      </rPr>
      <t xml:space="preserve">
（⑦小数点以下切り捨て）</t>
    </r>
    <rPh sb="0" eb="2">
      <t>カイゴ</t>
    </rPh>
    <rPh sb="2" eb="4">
      <t>ホウシュウ</t>
    </rPh>
    <rPh sb="4" eb="6">
      <t>ソウガク</t>
    </rPh>
    <rPh sb="10" eb="11">
      <t>ワリ</t>
    </rPh>
    <rPh sb="11" eb="13">
      <t>フタン</t>
    </rPh>
    <rPh sb="16" eb="19">
      <t>ショウスウテン</t>
    </rPh>
    <rPh sb="19" eb="21">
      <t>イカ</t>
    </rPh>
    <rPh sb="21" eb="22">
      <t>キ</t>
    </rPh>
    <rPh sb="23" eb="24">
      <t>ス</t>
    </rPh>
    <phoneticPr fontId="12"/>
  </si>
  <si>
    <t>2-3</t>
    <phoneticPr fontId="17"/>
  </si>
  <si>
    <t>通所介護Ⅰ11・時減</t>
    <rPh sb="8" eb="9">
      <t>ジ</t>
    </rPh>
    <rPh sb="9" eb="10">
      <t>ゲン</t>
    </rPh>
    <phoneticPr fontId="12"/>
  </si>
  <si>
    <r>
      <t xml:space="preserve">9割負担分
</t>
    </r>
    <r>
      <rPr>
        <sz val="6"/>
        <rFont val="ＭＳ 明朝"/>
        <family val="1"/>
        <charset val="128"/>
      </rPr>
      <t>（⑧×0.9　小数点以下切り捨て）</t>
    </r>
    <rPh sb="1" eb="2">
      <t>ワリ</t>
    </rPh>
    <rPh sb="2" eb="4">
      <t>フタン</t>
    </rPh>
    <rPh sb="4" eb="5">
      <t>ブン</t>
    </rPh>
    <rPh sb="13" eb="19">
      <t>ショウスウテンイカキ</t>
    </rPh>
    <rPh sb="20" eb="21">
      <t>ス</t>
    </rPh>
    <phoneticPr fontId="12"/>
  </si>
  <si>
    <t>⑩</t>
    <phoneticPr fontId="12"/>
  </si>
  <si>
    <t>通所介護Ⅰ12・時減</t>
    <phoneticPr fontId="17"/>
  </si>
  <si>
    <t>通所介護Ⅰ13・時減</t>
    <phoneticPr fontId="17"/>
  </si>
  <si>
    <r>
      <t>利用者負担分</t>
    </r>
    <r>
      <rPr>
        <b/>
        <sz val="9"/>
        <rFont val="ＭＳ 明朝"/>
        <family val="1"/>
        <charset val="128"/>
      </rPr>
      <t xml:space="preserve">※1割負担
</t>
    </r>
    <r>
      <rPr>
        <sz val="9"/>
        <rFont val="ＭＳ 明朝"/>
        <family val="1"/>
        <charset val="128"/>
      </rPr>
      <t>（⑨－⑩）</t>
    </r>
    <rPh sb="0" eb="3">
      <t>リヨウシャ</t>
    </rPh>
    <rPh sb="3" eb="5">
      <t>フタン</t>
    </rPh>
    <rPh sb="5" eb="6">
      <t>ブン</t>
    </rPh>
    <rPh sb="8" eb="9">
      <t>ワリ</t>
    </rPh>
    <rPh sb="9" eb="11">
      <t>フタン</t>
    </rPh>
    <phoneticPr fontId="12"/>
  </si>
  <si>
    <t>⑪</t>
    <phoneticPr fontId="17"/>
  </si>
  <si>
    <t>通所介護Ⅰ14・時減</t>
    <phoneticPr fontId="17"/>
  </si>
  <si>
    <t>通所介護Ⅰ15・時減</t>
    <phoneticPr fontId="17"/>
  </si>
  <si>
    <t>昼食費</t>
    <rPh sb="0" eb="3">
      <t>チュウショクヒ</t>
    </rPh>
    <phoneticPr fontId="12"/>
  </si>
  <si>
    <t>⑫</t>
    <phoneticPr fontId="17"/>
  </si>
  <si>
    <t>合計金額
⑪+⑫</t>
    <rPh sb="0" eb="2">
      <t>ゴウケイ</t>
    </rPh>
    <rPh sb="2" eb="4">
      <t>キンガク</t>
    </rPh>
    <phoneticPr fontId="12"/>
  </si>
  <si>
    <t>　電話：</t>
    <rPh sb="1" eb="3">
      <t>デンワ</t>
    </rPh>
    <phoneticPr fontId="17"/>
  </si>
  <si>
    <t>ＦＡＸ：</t>
    <phoneticPr fontId="17"/>
  </si>
  <si>
    <t>サービス提供時間</t>
    <rPh sb="4" eb="6">
      <t>テイキョウ</t>
    </rPh>
    <rPh sb="6" eb="8">
      <t>ジカン</t>
    </rPh>
    <phoneticPr fontId="12"/>
  </si>
  <si>
    <t>7時間以上9時間未満</t>
    <rPh sb="1" eb="5">
      <t>ジカンイジョウ</t>
    </rPh>
    <rPh sb="6" eb="8">
      <t>ジカン</t>
    </rPh>
    <rPh sb="8" eb="10">
      <t>ミマン</t>
    </rPh>
    <phoneticPr fontId="17"/>
  </si>
  <si>
    <t>5時間以上7時間未満</t>
    <rPh sb="1" eb="5">
      <t>ジカンイジョウ</t>
    </rPh>
    <rPh sb="6" eb="8">
      <t>ジカン</t>
    </rPh>
    <rPh sb="8" eb="10">
      <t>ミマン</t>
    </rPh>
    <phoneticPr fontId="17"/>
  </si>
  <si>
    <t>3時間以上5時間未満</t>
    <rPh sb="1" eb="5">
      <t>ジカンイジョウ</t>
    </rPh>
    <rPh sb="6" eb="8">
      <t>ジカン</t>
    </rPh>
    <rPh sb="8" eb="10">
      <t>ミマン</t>
    </rPh>
    <phoneticPr fontId="17"/>
  </si>
  <si>
    <t>2時間以上3時間未満</t>
    <rPh sb="1" eb="5">
      <t>ジカンイジョウ</t>
    </rPh>
    <rPh sb="6" eb="8">
      <t>ジカン</t>
    </rPh>
    <rPh sb="8" eb="10">
      <t>ミマン</t>
    </rPh>
    <phoneticPr fontId="17"/>
  </si>
  <si>
    <t>処遇改善加算
未取得</t>
    <rPh sb="0" eb="2">
      <t>ショグウ</t>
    </rPh>
    <rPh sb="2" eb="4">
      <t>カイゼン</t>
    </rPh>
    <rPh sb="4" eb="6">
      <t>カサン</t>
    </rPh>
    <rPh sb="7" eb="8">
      <t>ミ</t>
    </rPh>
    <rPh sb="8" eb="10">
      <t>シュトク</t>
    </rPh>
    <phoneticPr fontId="12"/>
  </si>
  <si>
    <t>　　　　　　年　　　月　　　日</t>
    <rPh sb="6" eb="7">
      <t>ネン</t>
    </rPh>
    <rPh sb="10" eb="11">
      <t>ツキ</t>
    </rPh>
    <rPh sb="14" eb="15">
      <t>ニチ</t>
    </rPh>
    <phoneticPr fontId="12"/>
  </si>
  <si>
    <t>〔弊社受付：　　　　　　　〕</t>
    <phoneticPr fontId="12"/>
  </si>
  <si>
    <t>◎　ご　利　用　相　談　予　約　票　◎</t>
    <rPh sb="4" eb="5">
      <t>リ</t>
    </rPh>
    <rPh sb="6" eb="7">
      <t>ヨウ</t>
    </rPh>
    <rPh sb="8" eb="9">
      <t>ソウ</t>
    </rPh>
    <rPh sb="10" eb="11">
      <t>ダン</t>
    </rPh>
    <rPh sb="12" eb="13">
      <t>ヨ</t>
    </rPh>
    <rPh sb="14" eb="15">
      <t>ヤク</t>
    </rPh>
    <rPh sb="16" eb="17">
      <t>ヒョウ</t>
    </rPh>
    <phoneticPr fontId="12"/>
  </si>
  <si>
    <t>※ご希望のサービスにチェックしてください（複数可）</t>
    <rPh sb="23" eb="24">
      <t>カ</t>
    </rPh>
    <phoneticPr fontId="12"/>
  </si>
  <si>
    <t>□</t>
    <phoneticPr fontId="12"/>
  </si>
  <si>
    <t>保険内でデイサービスを利用したい</t>
    <rPh sb="0" eb="2">
      <t>ホケン</t>
    </rPh>
    <rPh sb="2" eb="3">
      <t>ナイ</t>
    </rPh>
    <rPh sb="11" eb="13">
      <t>リヨウ</t>
    </rPh>
    <phoneticPr fontId="17"/>
  </si>
  <si>
    <t>保険内サービス</t>
    <rPh sb="0" eb="2">
      <t>ホケン</t>
    </rPh>
    <rPh sb="2" eb="3">
      <t>ナイ</t>
    </rPh>
    <phoneticPr fontId="17"/>
  </si>
  <si>
    <t>病院受診等の付き添いサービスを利用したい　　　　　　</t>
    <rPh sb="0" eb="2">
      <t>ビョウイン</t>
    </rPh>
    <rPh sb="2" eb="4">
      <t>ジュシン</t>
    </rPh>
    <rPh sb="4" eb="5">
      <t>トウ</t>
    </rPh>
    <rPh sb="6" eb="7">
      <t>ツ</t>
    </rPh>
    <rPh sb="8" eb="9">
      <t>ソ</t>
    </rPh>
    <rPh sb="15" eb="17">
      <t>リヨウ</t>
    </rPh>
    <phoneticPr fontId="17"/>
  </si>
  <si>
    <t>保険外サービス</t>
    <rPh sb="0" eb="2">
      <t>ホケン</t>
    </rPh>
    <rPh sb="2" eb="3">
      <t>ガイ</t>
    </rPh>
    <phoneticPr fontId="17"/>
  </si>
  <si>
    <t>早朝及び延長サービスを利用したい　</t>
    <rPh sb="0" eb="2">
      <t>ソウチョウ</t>
    </rPh>
    <rPh sb="2" eb="3">
      <t>オヨ</t>
    </rPh>
    <rPh sb="4" eb="6">
      <t>エンチョウ</t>
    </rPh>
    <rPh sb="11" eb="13">
      <t>リヨウ</t>
    </rPh>
    <phoneticPr fontId="12"/>
  </si>
  <si>
    <t>保険内サービス+延長加算</t>
    <rPh sb="0" eb="2">
      <t>ホケン</t>
    </rPh>
    <rPh sb="2" eb="3">
      <t>ナイ</t>
    </rPh>
    <rPh sb="8" eb="10">
      <t>エンチョウ</t>
    </rPh>
    <rPh sb="10" eb="12">
      <t>カサン</t>
    </rPh>
    <phoneticPr fontId="17"/>
  </si>
  <si>
    <t>定期的なデイサービスとお泊りサービスを利用したい　　</t>
    <rPh sb="12" eb="13">
      <t>トマ</t>
    </rPh>
    <rPh sb="19" eb="21">
      <t>リヨウ</t>
    </rPh>
    <phoneticPr fontId="17"/>
  </si>
  <si>
    <t>保険内サービス+夜間サポート</t>
    <rPh sb="0" eb="2">
      <t>ホケン</t>
    </rPh>
    <rPh sb="2" eb="3">
      <t>ナイ</t>
    </rPh>
    <rPh sb="8" eb="10">
      <t>ヤカン</t>
    </rPh>
    <phoneticPr fontId="17"/>
  </si>
  <si>
    <t>緊急時等、臨時で一時的に利用したい</t>
    <rPh sb="0" eb="3">
      <t>キンキュウジ</t>
    </rPh>
    <rPh sb="3" eb="4">
      <t>トウ</t>
    </rPh>
    <rPh sb="5" eb="7">
      <t>リンジ</t>
    </rPh>
    <rPh sb="8" eb="11">
      <t>イチジテキ</t>
    </rPh>
    <rPh sb="12" eb="14">
      <t>リヨウ</t>
    </rPh>
    <phoneticPr fontId="17"/>
  </si>
  <si>
    <t>スポット利用</t>
    <rPh sb="4" eb="6">
      <t>リヨウ</t>
    </rPh>
    <phoneticPr fontId="17"/>
  </si>
  <si>
    <t>デイ利用ペース</t>
    <rPh sb="2" eb="4">
      <t>リヨウ</t>
    </rPh>
    <phoneticPr fontId="12"/>
  </si>
  <si>
    <r>
      <t>毎日　・　１週間で</t>
    </r>
    <r>
      <rPr>
        <u/>
        <sz val="12"/>
        <rFont val="HGPｺﾞｼｯｸM"/>
        <family val="3"/>
        <charset val="128"/>
      </rPr>
      <t>　　　</t>
    </r>
    <r>
      <rPr>
        <sz val="12"/>
        <rFont val="HGPｺﾞｼｯｸM"/>
        <family val="3"/>
        <charset val="128"/>
      </rPr>
      <t>日位　・　１ヶ月間で</t>
    </r>
    <r>
      <rPr>
        <u/>
        <sz val="12"/>
        <rFont val="HGPｺﾞｼｯｸM"/>
        <family val="3"/>
        <charset val="128"/>
      </rPr>
      <t>　　　</t>
    </r>
    <r>
      <rPr>
        <sz val="12"/>
        <rFont val="HGPｺﾞｼｯｸM"/>
        <family val="3"/>
        <charset val="128"/>
      </rPr>
      <t>日位　・　不定期</t>
    </r>
    <rPh sb="0" eb="2">
      <t>マイニチ</t>
    </rPh>
    <phoneticPr fontId="12"/>
  </si>
  <si>
    <t>お泊り利用ペース</t>
    <rPh sb="1" eb="2">
      <t>トマ</t>
    </rPh>
    <rPh sb="3" eb="5">
      <t>リヨウ</t>
    </rPh>
    <phoneticPr fontId="12"/>
  </si>
  <si>
    <t>ご利用開始希望日</t>
    <rPh sb="1" eb="3">
      <t>リヨウ</t>
    </rPh>
    <rPh sb="3" eb="5">
      <t>カイシ</t>
    </rPh>
    <rPh sb="5" eb="7">
      <t>キボウ</t>
    </rPh>
    <rPh sb="7" eb="8">
      <t>ビ</t>
    </rPh>
    <phoneticPr fontId="12"/>
  </si>
  <si>
    <t>　　　　　　　　年　　　　月　　　　日　頃から　</t>
    <rPh sb="8" eb="9">
      <t>ネン</t>
    </rPh>
    <rPh sb="13" eb="14">
      <t>ツキ</t>
    </rPh>
    <rPh sb="18" eb="19">
      <t>ニチ</t>
    </rPh>
    <rPh sb="20" eb="21">
      <t>コロ</t>
    </rPh>
    <phoneticPr fontId="12"/>
  </si>
  <si>
    <t>利用者様
について</t>
    <rPh sb="0" eb="3">
      <t>リヨウシャ</t>
    </rPh>
    <rPh sb="3" eb="4">
      <t>サマ</t>
    </rPh>
    <phoneticPr fontId="12"/>
  </si>
  <si>
    <t>お名前</t>
    <rPh sb="1" eb="3">
      <t>なまえ</t>
    </rPh>
    <phoneticPr fontId="12" type="Hiragana" alignment="noControl"/>
  </si>
  <si>
    <t>連絡先</t>
    <rPh sb="0" eb="3">
      <t>レンラクサキ</t>
    </rPh>
    <phoneticPr fontId="12"/>
  </si>
  <si>
    <t>大・昭</t>
    <rPh sb="0" eb="1">
      <t>ダイ</t>
    </rPh>
    <rPh sb="2" eb="3">
      <t>ショウ</t>
    </rPh>
    <phoneticPr fontId="17"/>
  </si>
  <si>
    <t>(</t>
    <phoneticPr fontId="17"/>
  </si>
  <si>
    <t>歳)</t>
    <rPh sb="0" eb="1">
      <t>サイ</t>
    </rPh>
    <phoneticPr fontId="17"/>
  </si>
  <si>
    <t>性別</t>
    <rPh sb="0" eb="2">
      <t>セイベツ</t>
    </rPh>
    <phoneticPr fontId="12"/>
  </si>
  <si>
    <t>男　・　女</t>
    <rPh sb="0" eb="1">
      <t>オトコ</t>
    </rPh>
    <rPh sb="4" eb="5">
      <t>オンナ</t>
    </rPh>
    <phoneticPr fontId="17"/>
  </si>
  <si>
    <t>住所</t>
    <rPh sb="0" eb="2">
      <t>ジュウショ</t>
    </rPh>
    <phoneticPr fontId="12"/>
  </si>
  <si>
    <t>(郵便番号　　　　-　　　　)</t>
    <rPh sb="1" eb="3">
      <t>ユウビン</t>
    </rPh>
    <rPh sb="3" eb="5">
      <t>バンゴウ</t>
    </rPh>
    <phoneticPr fontId="17"/>
  </si>
  <si>
    <t>住居の種類</t>
    <rPh sb="0" eb="2">
      <t>ジュウキョ</t>
    </rPh>
    <rPh sb="3" eb="5">
      <t>シュルイ</t>
    </rPh>
    <phoneticPr fontId="12"/>
  </si>
  <si>
    <t>アパート　・　マンション　・　戸建て</t>
    <phoneticPr fontId="17"/>
  </si>
  <si>
    <t>１ ・ ２ ・ ３ ・ ４ ・ ５ ・申請中</t>
    <rPh sb="19" eb="22">
      <t>シンセイチュウ</t>
    </rPh>
    <phoneticPr fontId="12"/>
  </si>
  <si>
    <t>公費利用</t>
    <rPh sb="0" eb="2">
      <t>コウヒ</t>
    </rPh>
    <rPh sb="2" eb="4">
      <t>リヨウ</t>
    </rPh>
    <phoneticPr fontId="12"/>
  </si>
  <si>
    <t>あり　・　なし　</t>
    <phoneticPr fontId="17"/>
  </si>
  <si>
    <t>認知症</t>
    <rPh sb="0" eb="2">
      <t>ニンチ</t>
    </rPh>
    <rPh sb="2" eb="3">
      <t>ショウ</t>
    </rPh>
    <phoneticPr fontId="12"/>
  </si>
  <si>
    <t>なし ・ 軽度 ・ 重度 （認知症高齢者生活自立度　　　　　　　）</t>
    <rPh sb="5" eb="7">
      <t>ケイド</t>
    </rPh>
    <rPh sb="10" eb="12">
      <t>ジュウド</t>
    </rPh>
    <rPh sb="14" eb="17">
      <t>ニンチショウ</t>
    </rPh>
    <rPh sb="17" eb="20">
      <t>コウレイシャ</t>
    </rPh>
    <rPh sb="20" eb="22">
      <t>セイカツ</t>
    </rPh>
    <rPh sb="22" eb="25">
      <t>ジリツド</t>
    </rPh>
    <phoneticPr fontId="12"/>
  </si>
  <si>
    <t>在宅状況</t>
    <rPh sb="0" eb="2">
      <t>ザイタク</t>
    </rPh>
    <rPh sb="2" eb="4">
      <t>ジョウキョウ</t>
    </rPh>
    <phoneticPr fontId="12"/>
  </si>
  <si>
    <t>子供と同居・夫婦のみの世帯・独居（子供は近隣に居住）・独居（子供は遠隔地に居住）</t>
    <rPh sb="0" eb="2">
      <t>こども</t>
    </rPh>
    <rPh sb="3" eb="5">
      <t>どうきょ</t>
    </rPh>
    <rPh sb="6" eb="8">
      <t>ふうふ</t>
    </rPh>
    <rPh sb="11" eb="13">
      <t>せたい</t>
    </rPh>
    <rPh sb="14" eb="16">
      <t>どっきょ</t>
    </rPh>
    <rPh sb="17" eb="19">
      <t>こども</t>
    </rPh>
    <rPh sb="20" eb="22">
      <t>きんりん</t>
    </rPh>
    <rPh sb="23" eb="25">
      <t>きょじゅう</t>
    </rPh>
    <phoneticPr fontId="17" type="Hiragana" alignment="noControl"/>
  </si>
  <si>
    <t>その他(　　　　　　　　　　　　　　　　　　　　　　　　　　　　　)</t>
    <rPh sb="2" eb="3">
      <t>た</t>
    </rPh>
    <phoneticPr fontId="17" type="Hiragana" alignment="noControl"/>
  </si>
  <si>
    <t>主な介護者</t>
    <rPh sb="0" eb="1">
      <t>オモ</t>
    </rPh>
    <rPh sb="2" eb="4">
      <t>カイゴ</t>
    </rPh>
    <rPh sb="4" eb="5">
      <t>シャ</t>
    </rPh>
    <phoneticPr fontId="12"/>
  </si>
  <si>
    <t>配偶者　・　子供　・　その他の親族　・　無し</t>
    <rPh sb="0" eb="3">
      <t>ハイグウシャ</t>
    </rPh>
    <rPh sb="6" eb="8">
      <t>コドモ</t>
    </rPh>
    <rPh sb="13" eb="14">
      <t>タ</t>
    </rPh>
    <rPh sb="15" eb="17">
      <t>シンゾク</t>
    </rPh>
    <rPh sb="20" eb="21">
      <t>ナ</t>
    </rPh>
    <phoneticPr fontId="17"/>
  </si>
  <si>
    <t>特記事項</t>
    <rPh sb="0" eb="2">
      <t>トッキ</t>
    </rPh>
    <rPh sb="2" eb="4">
      <t>ジコウ</t>
    </rPh>
    <phoneticPr fontId="12"/>
  </si>
  <si>
    <t>質問事項</t>
    <rPh sb="0" eb="2">
      <t>シツモン</t>
    </rPh>
    <rPh sb="2" eb="4">
      <t>ジコウ</t>
    </rPh>
    <phoneticPr fontId="12"/>
  </si>
  <si>
    <t>担当
ケアマネ様</t>
    <rPh sb="0" eb="2">
      <t>タントウ</t>
    </rPh>
    <rPh sb="7" eb="8">
      <t>サマ</t>
    </rPh>
    <phoneticPr fontId="12"/>
  </si>
  <si>
    <t>氏名</t>
    <rPh sb="0" eb="1">
      <t>シ</t>
    </rPh>
    <rPh sb="1" eb="2">
      <t>メイ</t>
    </rPh>
    <phoneticPr fontId="12"/>
  </si>
  <si>
    <t>携帯</t>
    <rPh sb="0" eb="2">
      <t>ケイタイ</t>
    </rPh>
    <phoneticPr fontId="12"/>
  </si>
  <si>
    <t>事業所名</t>
    <rPh sb="0" eb="3">
      <t>ジギョウショ</t>
    </rPh>
    <rPh sb="3" eb="4">
      <t>メイ</t>
    </rPh>
    <phoneticPr fontId="12"/>
  </si>
  <si>
    <t>電話</t>
    <rPh sb="0" eb="2">
      <t>デンワ</t>
    </rPh>
    <phoneticPr fontId="12"/>
  </si>
  <si>
    <t>その他</t>
    <rPh sb="2" eb="3">
      <t>タ</t>
    </rPh>
    <phoneticPr fontId="12"/>
  </si>
  <si>
    <t>【お問い合わせ】</t>
    <phoneticPr fontId="12"/>
  </si>
  <si>
    <t>本利用相談予約票に記入し左記までＦＡＸ、もしくはお気軽にお電話をいただければ幸いです。
弊社担当より折り返しご連絡をさせて頂きます。</t>
    <rPh sb="5" eb="7">
      <t>ヨヤク</t>
    </rPh>
    <rPh sb="61" eb="62">
      <t>イタダ</t>
    </rPh>
    <phoneticPr fontId="12"/>
  </si>
  <si>
    <t>Ｆａｘ</t>
    <phoneticPr fontId="12"/>
  </si>
  <si>
    <t>担当</t>
    <rPh sb="0" eb="2">
      <t>タントウ</t>
    </rPh>
    <phoneticPr fontId="12"/>
  </si>
  <si>
    <t>←カスタマイズできます</t>
    <phoneticPr fontId="17"/>
  </si>
  <si>
    <t>※初日は朝からご利用され、最終日は夕方お送りするというケースの料金表ですので実際は多少前後します。　　　　　　　　　　　　　　　　　　　　　　　　　　　　　　　　　　　　　　　　　　　　　　　　　　　　　　　　　　　　　　　　　　　　　　　　　　　　　　　　　　　　　　　　</t>
    <rPh sb="1" eb="3">
      <t>ショニチ</t>
    </rPh>
    <rPh sb="4" eb="5">
      <t>アサ</t>
    </rPh>
    <rPh sb="8" eb="10">
      <t>リヨウ</t>
    </rPh>
    <rPh sb="13" eb="16">
      <t>サイシュウビ</t>
    </rPh>
    <rPh sb="17" eb="19">
      <t>ユウガタ</t>
    </rPh>
    <rPh sb="20" eb="21">
      <t>オク</t>
    </rPh>
    <rPh sb="31" eb="33">
      <t>リョウキン</t>
    </rPh>
    <rPh sb="33" eb="34">
      <t>ヒョウ</t>
    </rPh>
    <rPh sb="38" eb="40">
      <t>ジッサイ</t>
    </rPh>
    <rPh sb="41" eb="43">
      <t>タショウ</t>
    </rPh>
    <rPh sb="43" eb="45">
      <t>ゼンゴ</t>
    </rPh>
    <phoneticPr fontId="12"/>
  </si>
  <si>
    <t>1割負担</t>
  </si>
  <si>
    <t>要介護１</t>
    <rPh sb="0" eb="3">
      <t>ヨウカイゴ</t>
    </rPh>
    <phoneticPr fontId="12"/>
  </si>
  <si>
    <t>要介護２</t>
    <rPh sb="0" eb="3">
      <t>ヨウカイゴ</t>
    </rPh>
    <phoneticPr fontId="12"/>
  </si>
  <si>
    <t>要介護３</t>
    <rPh sb="0" eb="3">
      <t>ヨウカイゴ</t>
    </rPh>
    <phoneticPr fontId="12"/>
  </si>
  <si>
    <t>要介護４</t>
    <rPh sb="0" eb="3">
      <t>ヨウカイゴ</t>
    </rPh>
    <phoneticPr fontId="12"/>
  </si>
  <si>
    <t>要介護５</t>
    <rPh sb="0" eb="3">
      <t>ヨウカイゴ</t>
    </rPh>
    <phoneticPr fontId="12"/>
  </si>
  <si>
    <t>1泊2日</t>
    <rPh sb="1" eb="2">
      <t>パク</t>
    </rPh>
    <rPh sb="3" eb="4">
      <t>ニチ</t>
    </rPh>
    <phoneticPr fontId="12"/>
  </si>
  <si>
    <t>地域通所介護３１</t>
    <phoneticPr fontId="12"/>
  </si>
  <si>
    <t>地域通所介護３２</t>
  </si>
  <si>
    <t>地域通所介護３３</t>
  </si>
  <si>
    <t>地域通所介護３４</t>
  </si>
  <si>
    <t>地域通所介護３５</t>
  </si>
  <si>
    <t>保険算定</t>
    <rPh sb="0" eb="2">
      <t>ホケン</t>
    </rPh>
    <rPh sb="2" eb="4">
      <t>サンテイ</t>
    </rPh>
    <phoneticPr fontId="17"/>
  </si>
  <si>
    <t>入浴介助加算</t>
    <rPh sb="0" eb="2">
      <t>ニュウヨク</t>
    </rPh>
    <rPh sb="2" eb="4">
      <t>カイジョ</t>
    </rPh>
    <rPh sb="4" eb="6">
      <t>カサン</t>
    </rPh>
    <phoneticPr fontId="12"/>
  </si>
  <si>
    <t>昼食サービス</t>
    <rPh sb="0" eb="2">
      <t>チュウショク</t>
    </rPh>
    <phoneticPr fontId="12"/>
  </si>
  <si>
    <t>送迎減算</t>
    <phoneticPr fontId="12"/>
  </si>
  <si>
    <t>夜間サポートサービス</t>
    <rPh sb="0" eb="2">
      <t>ヤカン</t>
    </rPh>
    <phoneticPr fontId="12"/>
  </si>
  <si>
    <t>朝食サービス</t>
    <rPh sb="0" eb="2">
      <t>チョウショク</t>
    </rPh>
    <phoneticPr fontId="17"/>
  </si>
  <si>
    <t>夕食サービス</t>
    <rPh sb="0" eb="2">
      <t>ユウショク</t>
    </rPh>
    <phoneticPr fontId="12"/>
  </si>
  <si>
    <t>生活保護による控除</t>
    <rPh sb="0" eb="2">
      <t>セイカツ</t>
    </rPh>
    <rPh sb="2" eb="4">
      <t>ホゴ</t>
    </rPh>
    <rPh sb="7" eb="9">
      <t>コウジョ</t>
    </rPh>
    <phoneticPr fontId="17"/>
  </si>
  <si>
    <t>合計</t>
    <rPh sb="0" eb="2">
      <t>ゴウケイ</t>
    </rPh>
    <phoneticPr fontId="12"/>
  </si>
  <si>
    <t>2泊3日</t>
    <rPh sb="1" eb="2">
      <t>パク</t>
    </rPh>
    <rPh sb="3" eb="4">
      <t>ニチ</t>
    </rPh>
    <phoneticPr fontId="12"/>
  </si>
  <si>
    <t>地域通所介護３２</t>
    <phoneticPr fontId="12"/>
  </si>
  <si>
    <t>地域通所介護３３</t>
    <phoneticPr fontId="12"/>
  </si>
  <si>
    <t>地域通所介護３４</t>
    <phoneticPr fontId="12"/>
  </si>
  <si>
    <t>地域通所介護３５</t>
    <phoneticPr fontId="12"/>
  </si>
  <si>
    <t>7泊8日</t>
    <rPh sb="1" eb="2">
      <t>パク</t>
    </rPh>
    <rPh sb="3" eb="4">
      <t>ニチ</t>
    </rPh>
    <phoneticPr fontId="12"/>
  </si>
  <si>
    <t>サービス提供体制加算（Ⅰ）イ</t>
    <phoneticPr fontId="17"/>
  </si>
  <si>
    <t>サービス提供体制加算（Ⅰ）ロ</t>
    <phoneticPr fontId="17"/>
  </si>
  <si>
    <t>14泊15日</t>
    <rPh sb="2" eb="3">
      <t>ハク</t>
    </rPh>
    <rPh sb="5" eb="6">
      <t>ニチ</t>
    </rPh>
    <phoneticPr fontId="12"/>
  </si>
  <si>
    <t>サービス提供体制加算（Ⅱ）</t>
    <phoneticPr fontId="17"/>
  </si>
  <si>
    <t>30泊31日</t>
    <rPh sb="2" eb="3">
      <t>ハク</t>
    </rPh>
    <rPh sb="5" eb="6">
      <t>ニチ</t>
    </rPh>
    <phoneticPr fontId="12"/>
  </si>
  <si>
    <t>地域通所介護３１(24回）</t>
    <rPh sb="11" eb="12">
      <t>カイ</t>
    </rPh>
    <phoneticPr fontId="12"/>
  </si>
  <si>
    <t>地域通所介護３２(23回）</t>
    <rPh sb="11" eb="12">
      <t>カイ</t>
    </rPh>
    <phoneticPr fontId="12"/>
  </si>
  <si>
    <t>地域通所介護３３(27回）</t>
    <rPh sb="11" eb="12">
      <t>カイ</t>
    </rPh>
    <phoneticPr fontId="12"/>
  </si>
  <si>
    <t>地域通所介護３４(28回）</t>
    <rPh sb="11" eb="12">
      <t>カイ</t>
    </rPh>
    <phoneticPr fontId="12"/>
  </si>
  <si>
    <t>地域通所介護３５(29回）</t>
    <rPh sb="11" eb="12">
      <t>カイ</t>
    </rPh>
    <phoneticPr fontId="12"/>
  </si>
  <si>
    <t>入浴介助加算(24回）</t>
    <rPh sb="0" eb="2">
      <t>ニュウヨク</t>
    </rPh>
    <rPh sb="2" eb="4">
      <t>カイジョ</t>
    </rPh>
    <rPh sb="4" eb="6">
      <t>カサン</t>
    </rPh>
    <rPh sb="9" eb="10">
      <t>カイ</t>
    </rPh>
    <phoneticPr fontId="12"/>
  </si>
  <si>
    <t>入浴介助加算(23回）</t>
    <rPh sb="0" eb="2">
      <t>ニュウヨク</t>
    </rPh>
    <rPh sb="2" eb="4">
      <t>カイジョ</t>
    </rPh>
    <rPh sb="4" eb="6">
      <t>カサン</t>
    </rPh>
    <rPh sb="9" eb="10">
      <t>カイ</t>
    </rPh>
    <phoneticPr fontId="12"/>
  </si>
  <si>
    <t>入浴介助加算(27回）</t>
    <rPh sb="0" eb="2">
      <t>ニュウヨク</t>
    </rPh>
    <rPh sb="2" eb="4">
      <t>カイジョ</t>
    </rPh>
    <rPh sb="4" eb="6">
      <t>カサン</t>
    </rPh>
    <rPh sb="9" eb="10">
      <t>カイ</t>
    </rPh>
    <phoneticPr fontId="12"/>
  </si>
  <si>
    <t>入浴介助加算(28回）</t>
    <rPh sb="0" eb="2">
      <t>ニュウヨク</t>
    </rPh>
    <rPh sb="2" eb="4">
      <t>カイジョ</t>
    </rPh>
    <rPh sb="4" eb="6">
      <t>カサン</t>
    </rPh>
    <rPh sb="9" eb="10">
      <t>カイ</t>
    </rPh>
    <phoneticPr fontId="12"/>
  </si>
  <si>
    <t>入浴介助加算(29回）</t>
    <rPh sb="0" eb="2">
      <t>ニュウヨク</t>
    </rPh>
    <rPh sb="2" eb="4">
      <t>カイジョ</t>
    </rPh>
    <rPh sb="4" eb="6">
      <t>カサン</t>
    </rPh>
    <rPh sb="9" eb="10">
      <t>カイ</t>
    </rPh>
    <phoneticPr fontId="12"/>
  </si>
  <si>
    <t>保険外通所介護(7回）</t>
    <rPh sb="0" eb="2">
      <t>ホケン</t>
    </rPh>
    <rPh sb="2" eb="3">
      <t>ガイ</t>
    </rPh>
    <rPh sb="3" eb="5">
      <t>ツウショ</t>
    </rPh>
    <rPh sb="5" eb="7">
      <t>カイゴ</t>
    </rPh>
    <rPh sb="9" eb="10">
      <t>カイ</t>
    </rPh>
    <phoneticPr fontId="17"/>
  </si>
  <si>
    <t>保険外通所介護(8回）</t>
    <rPh sb="0" eb="2">
      <t>ホケン</t>
    </rPh>
    <rPh sb="2" eb="3">
      <t>ガイ</t>
    </rPh>
    <rPh sb="3" eb="5">
      <t>ツウショ</t>
    </rPh>
    <rPh sb="5" eb="7">
      <t>カイゴ</t>
    </rPh>
    <rPh sb="9" eb="10">
      <t>カイ</t>
    </rPh>
    <phoneticPr fontId="17"/>
  </si>
  <si>
    <t>保険外通所介護(4回）</t>
    <rPh sb="0" eb="2">
      <t>ホケン</t>
    </rPh>
    <rPh sb="2" eb="3">
      <t>ガイ</t>
    </rPh>
    <rPh sb="3" eb="5">
      <t>ツウショ</t>
    </rPh>
    <rPh sb="5" eb="7">
      <t>カイゴ</t>
    </rPh>
    <rPh sb="9" eb="10">
      <t>カイ</t>
    </rPh>
    <phoneticPr fontId="17"/>
  </si>
  <si>
    <t>保険外通所介護(3回）</t>
    <rPh sb="0" eb="2">
      <t>ホケン</t>
    </rPh>
    <rPh sb="2" eb="3">
      <t>ガイ</t>
    </rPh>
    <rPh sb="3" eb="5">
      <t>ツウショ</t>
    </rPh>
    <rPh sb="5" eb="7">
      <t>カイゴ</t>
    </rPh>
    <rPh sb="9" eb="10">
      <t>カイ</t>
    </rPh>
    <phoneticPr fontId="17"/>
  </si>
  <si>
    <t>保険外通所介護(2回）</t>
    <rPh sb="0" eb="2">
      <t>ホケン</t>
    </rPh>
    <rPh sb="2" eb="3">
      <t>ガイ</t>
    </rPh>
    <rPh sb="3" eb="5">
      <t>ツウショ</t>
    </rPh>
    <rPh sb="5" eb="7">
      <t>カイゴ</t>
    </rPh>
    <rPh sb="9" eb="10">
      <t>カイ</t>
    </rPh>
    <phoneticPr fontId="17"/>
  </si>
  <si>
    <t>※おむつ代、リハビリパンツ代、パッド代および通院が必要な場合の通院費用・医療費は別途必要です。</t>
    <rPh sb="4" eb="5">
      <t>ダイ</t>
    </rPh>
    <rPh sb="13" eb="14">
      <t>ダイ</t>
    </rPh>
    <rPh sb="18" eb="19">
      <t>ダイ</t>
    </rPh>
    <rPh sb="22" eb="24">
      <t>ツウイン</t>
    </rPh>
    <rPh sb="25" eb="27">
      <t>ヒツヨウ</t>
    </rPh>
    <rPh sb="28" eb="30">
      <t>バアイ</t>
    </rPh>
    <rPh sb="31" eb="33">
      <t>ツウイン</t>
    </rPh>
    <rPh sb="33" eb="35">
      <t>ヒヨウ</t>
    </rPh>
    <rPh sb="36" eb="39">
      <t>イリョウヒ</t>
    </rPh>
    <rPh sb="40" eb="42">
      <t>ベット</t>
    </rPh>
    <rPh sb="42" eb="44">
      <t>ヒツヨウ</t>
    </rPh>
    <phoneticPr fontId="12"/>
  </si>
  <si>
    <t>＊要介護４の30日31泊は、月の初日が保険外利用の場合の料金になります。（限度額の都合上、保険内利用の初日から送迎減算が発生しないと限度額オーバーしてしまう為です）</t>
    <rPh sb="1" eb="4">
      <t>ヨウカイゴ</t>
    </rPh>
    <rPh sb="8" eb="9">
      <t>ニチ</t>
    </rPh>
    <rPh sb="11" eb="12">
      <t>ハク</t>
    </rPh>
    <rPh sb="14" eb="15">
      <t>ツキ</t>
    </rPh>
    <rPh sb="16" eb="17">
      <t>ショ</t>
    </rPh>
    <rPh sb="17" eb="18">
      <t>ニチ</t>
    </rPh>
    <rPh sb="19" eb="21">
      <t>ホケン</t>
    </rPh>
    <rPh sb="21" eb="22">
      <t>ガイ</t>
    </rPh>
    <rPh sb="22" eb="24">
      <t>リヨウ</t>
    </rPh>
    <rPh sb="25" eb="27">
      <t>バアイ</t>
    </rPh>
    <rPh sb="28" eb="30">
      <t>リョウキン</t>
    </rPh>
    <rPh sb="37" eb="39">
      <t>ゲンド</t>
    </rPh>
    <rPh sb="39" eb="40">
      <t>ガク</t>
    </rPh>
    <rPh sb="41" eb="44">
      <t>ツゴウジョウ</t>
    </rPh>
    <rPh sb="45" eb="47">
      <t>ホケン</t>
    </rPh>
    <rPh sb="47" eb="48">
      <t>ナイ</t>
    </rPh>
    <rPh sb="48" eb="50">
      <t>リヨウ</t>
    </rPh>
    <rPh sb="51" eb="53">
      <t>ショニチ</t>
    </rPh>
    <rPh sb="55" eb="57">
      <t>ソウゲイ</t>
    </rPh>
    <rPh sb="57" eb="59">
      <t>ゲンサン</t>
    </rPh>
    <rPh sb="60" eb="62">
      <t>ハッセイ</t>
    </rPh>
    <rPh sb="66" eb="68">
      <t>ゲンド</t>
    </rPh>
    <rPh sb="68" eb="69">
      <t>ガク</t>
    </rPh>
    <rPh sb="78" eb="79">
      <t>タメ</t>
    </rPh>
    <phoneticPr fontId="17"/>
  </si>
  <si>
    <t>※保険単位については、</t>
    <rPh sb="1" eb="3">
      <t>ホケン</t>
    </rPh>
    <rPh sb="3" eb="5">
      <t>タンイ</t>
    </rPh>
    <phoneticPr fontId="12"/>
  </si>
  <si>
    <t>　計算となります。</t>
    <rPh sb="1" eb="3">
      <t>ケイサン</t>
    </rPh>
    <phoneticPr fontId="12"/>
  </si>
  <si>
    <t>※各種加算を算定する日は、1日当たり下記の料金が発生します。（生活保護の方の負担はありません。）＊概算</t>
    <rPh sb="1" eb="3">
      <t>カクシュ</t>
    </rPh>
    <rPh sb="3" eb="5">
      <t>カサン</t>
    </rPh>
    <rPh sb="6" eb="8">
      <t>サンテイ</t>
    </rPh>
    <rPh sb="10" eb="11">
      <t>ヒ</t>
    </rPh>
    <rPh sb="14" eb="15">
      <t>ニチ</t>
    </rPh>
    <rPh sb="15" eb="16">
      <t>ア</t>
    </rPh>
    <rPh sb="18" eb="20">
      <t>カキ</t>
    </rPh>
    <rPh sb="21" eb="23">
      <t>リョウキン</t>
    </rPh>
    <rPh sb="24" eb="26">
      <t>ハッセイ</t>
    </rPh>
    <rPh sb="31" eb="33">
      <t>セイカツ</t>
    </rPh>
    <rPh sb="33" eb="35">
      <t>ホゴ</t>
    </rPh>
    <rPh sb="36" eb="37">
      <t>カタ</t>
    </rPh>
    <rPh sb="38" eb="40">
      <t>フタン</t>
    </rPh>
    <rPh sb="49" eb="51">
      <t>ガイサン</t>
    </rPh>
    <phoneticPr fontId="12"/>
  </si>
  <si>
    <t>個別機能訓練加算Ⅰ</t>
  </si>
  <si>
    <t>個別機能訓練加算Ⅱ</t>
  </si>
  <si>
    <t>加算名</t>
    <rPh sb="0" eb="2">
      <t>カサン</t>
    </rPh>
    <rPh sb="2" eb="3">
      <t>メイ</t>
    </rPh>
    <phoneticPr fontId="17"/>
  </si>
  <si>
    <t>1日の料金</t>
    <rPh sb="1" eb="2">
      <t>ニチ</t>
    </rPh>
    <rPh sb="3" eb="5">
      <t>リョウキン</t>
    </rPh>
    <phoneticPr fontId="17"/>
  </si>
  <si>
    <t>１日の料金</t>
    <rPh sb="1" eb="2">
      <t>ニチ</t>
    </rPh>
    <rPh sb="3" eb="5">
      <t>リョウキン</t>
    </rPh>
    <phoneticPr fontId="17"/>
  </si>
  <si>
    <t>【お問合せ】</t>
    <rPh sb="2" eb="4">
      <t>トイアワ</t>
    </rPh>
    <phoneticPr fontId="12"/>
  </si>
  <si>
    <t>中重度ケア体制加算</t>
  </si>
  <si>
    <t>個別機能訓練加算Ⅰ</t>
    <rPh sb="0" eb="2">
      <t>コベツ</t>
    </rPh>
    <rPh sb="2" eb="4">
      <t>キノウ</t>
    </rPh>
    <rPh sb="4" eb="6">
      <t>クンレン</t>
    </rPh>
    <rPh sb="6" eb="8">
      <t>カサン</t>
    </rPh>
    <phoneticPr fontId="17"/>
  </si>
  <si>
    <t>個別機能訓練加算Ⅱ</t>
    <rPh sb="0" eb="2">
      <t>コベツ</t>
    </rPh>
    <rPh sb="2" eb="4">
      <t>キノウ</t>
    </rPh>
    <rPh sb="4" eb="6">
      <t>クンレン</t>
    </rPh>
    <rPh sb="6" eb="8">
      <t>カサン</t>
    </rPh>
    <phoneticPr fontId="17"/>
  </si>
  <si>
    <t>若年性認知症利用者受入加算</t>
    <rPh sb="0" eb="3">
      <t>ジャクネンセイ</t>
    </rPh>
    <rPh sb="3" eb="5">
      <t>ニンチ</t>
    </rPh>
    <rPh sb="5" eb="6">
      <t>ショウ</t>
    </rPh>
    <rPh sb="6" eb="9">
      <t>リヨウシャ</t>
    </rPh>
    <rPh sb="9" eb="11">
      <t>ウケイレ</t>
    </rPh>
    <rPh sb="11" eb="13">
      <t>カサン</t>
    </rPh>
    <phoneticPr fontId="17"/>
  </si>
  <si>
    <t>中重度ケア体制加算</t>
    <rPh sb="0" eb="1">
      <t>チュウ</t>
    </rPh>
    <rPh sb="1" eb="3">
      <t>ジュウド</t>
    </rPh>
    <rPh sb="5" eb="7">
      <t>タイセイ</t>
    </rPh>
    <rPh sb="7" eb="9">
      <t>カサン</t>
    </rPh>
    <phoneticPr fontId="17"/>
  </si>
  <si>
    <t>口腔機能向上加算</t>
    <rPh sb="0" eb="2">
      <t>コウクウ</t>
    </rPh>
    <rPh sb="2" eb="4">
      <t>キノウ</t>
    </rPh>
    <rPh sb="4" eb="6">
      <t>コウジョウ</t>
    </rPh>
    <rPh sb="6" eb="8">
      <t>カサン</t>
    </rPh>
    <phoneticPr fontId="17"/>
  </si>
  <si>
    <t>栄養改善加算</t>
    <rPh sb="0" eb="2">
      <t>エイヨウ</t>
    </rPh>
    <rPh sb="2" eb="4">
      <t>カイゼン</t>
    </rPh>
    <rPh sb="4" eb="6">
      <t>カサン</t>
    </rPh>
    <phoneticPr fontId="17"/>
  </si>
  <si>
    <t>電話：</t>
    <rPh sb="0" eb="2">
      <t>デンワ</t>
    </rPh>
    <phoneticPr fontId="12"/>
  </si>
  <si>
    <t>FAX：</t>
    <phoneticPr fontId="12"/>
  </si>
  <si>
    <t>認知症加算</t>
    <rPh sb="0" eb="2">
      <t>ニンチ</t>
    </rPh>
    <rPh sb="2" eb="3">
      <t>ショウ</t>
    </rPh>
    <rPh sb="3" eb="5">
      <t>カサン</t>
    </rPh>
    <phoneticPr fontId="17"/>
  </si>
  <si>
    <t>住所：</t>
    <rPh sb="0" eb="2">
      <t>ジュウショ</t>
    </rPh>
    <phoneticPr fontId="12"/>
  </si>
  <si>
    <t>区分支給限度基準の算定対象から除外</t>
    <phoneticPr fontId="17"/>
  </si>
  <si>
    <t>担当：</t>
    <rPh sb="0" eb="2">
      <t>タントウ</t>
    </rPh>
    <phoneticPr fontId="12"/>
  </si>
  <si>
    <t>サービス提供体制強化加算</t>
    <phoneticPr fontId="17"/>
  </si>
  <si>
    <t>取得なし</t>
    <rPh sb="0" eb="2">
      <t>シュトク</t>
    </rPh>
    <phoneticPr fontId="17"/>
  </si>
  <si>
    <t>処遇改善加算Ⅰ</t>
    <rPh sb="0" eb="2">
      <t>ショグウ</t>
    </rPh>
    <rPh sb="2" eb="4">
      <t>カイゼン</t>
    </rPh>
    <rPh sb="4" eb="6">
      <t>カサン</t>
    </rPh>
    <phoneticPr fontId="17"/>
  </si>
  <si>
    <t>1ヶ月の合計単位数×４．０％の単位数が加算されます</t>
    <rPh sb="2" eb="3">
      <t>ゲツ</t>
    </rPh>
    <rPh sb="4" eb="6">
      <t>ゴウケイ</t>
    </rPh>
    <rPh sb="6" eb="9">
      <t>タンイスウ</t>
    </rPh>
    <rPh sb="15" eb="18">
      <t>タンイスウ</t>
    </rPh>
    <rPh sb="19" eb="21">
      <t>カサン</t>
    </rPh>
    <phoneticPr fontId="17"/>
  </si>
  <si>
    <t>処遇改善加算Ⅱ</t>
    <rPh sb="0" eb="2">
      <t>ショグウ</t>
    </rPh>
    <rPh sb="2" eb="4">
      <t>カイゼン</t>
    </rPh>
    <rPh sb="4" eb="6">
      <t>カサン</t>
    </rPh>
    <phoneticPr fontId="17"/>
  </si>
  <si>
    <t>1ヶ月の合計単位数×２．２％の単位数が加算されます</t>
    <rPh sb="2" eb="3">
      <t>ゲツ</t>
    </rPh>
    <rPh sb="4" eb="6">
      <t>ゴウケイ</t>
    </rPh>
    <rPh sb="6" eb="9">
      <t>タンイスウ</t>
    </rPh>
    <rPh sb="15" eb="18">
      <t>タンイスウ</t>
    </rPh>
    <rPh sb="19" eb="21">
      <t>カサン</t>
    </rPh>
    <phoneticPr fontId="17"/>
  </si>
  <si>
    <t>処遇改善加算Ⅲ</t>
    <rPh sb="0" eb="2">
      <t>ショグウ</t>
    </rPh>
    <rPh sb="2" eb="4">
      <t>カイゼン</t>
    </rPh>
    <rPh sb="4" eb="6">
      <t>カサン</t>
    </rPh>
    <phoneticPr fontId="17"/>
  </si>
  <si>
    <t>1ヶ月の合計単位数×２．０％の単位数が加算されます</t>
    <rPh sb="2" eb="3">
      <t>ゲツ</t>
    </rPh>
    <rPh sb="4" eb="6">
      <t>ゴウケイ</t>
    </rPh>
    <rPh sb="6" eb="9">
      <t>タンイスウ</t>
    </rPh>
    <rPh sb="15" eb="18">
      <t>タンイスウ</t>
    </rPh>
    <rPh sb="19" eb="21">
      <t>カサン</t>
    </rPh>
    <phoneticPr fontId="17"/>
  </si>
  <si>
    <t>処遇改善加算Ⅳ</t>
    <rPh sb="0" eb="2">
      <t>ショグウ</t>
    </rPh>
    <rPh sb="2" eb="4">
      <t>カイゼン</t>
    </rPh>
    <rPh sb="4" eb="6">
      <t>カサン</t>
    </rPh>
    <phoneticPr fontId="17"/>
  </si>
  <si>
    <t>1ヶ月の合計単位数×１．８％の単位数が加算されます</t>
    <rPh sb="2" eb="3">
      <t>ゲツ</t>
    </rPh>
    <rPh sb="4" eb="6">
      <t>ゴウケイ</t>
    </rPh>
    <rPh sb="6" eb="9">
      <t>タンイスウ</t>
    </rPh>
    <rPh sb="15" eb="18">
      <t>タンイスウ</t>
    </rPh>
    <rPh sb="19" eb="21">
      <t>カサン</t>
    </rPh>
    <phoneticPr fontId="17"/>
  </si>
  <si>
    <t>処遇改善加算取得なし</t>
    <rPh sb="0" eb="2">
      <t>ショグウ</t>
    </rPh>
    <rPh sb="2" eb="4">
      <t>カイゼン</t>
    </rPh>
    <rPh sb="4" eb="6">
      <t>カサン</t>
    </rPh>
    <rPh sb="6" eb="8">
      <t>シュトク</t>
    </rPh>
    <phoneticPr fontId="17"/>
  </si>
  <si>
    <t>―</t>
    <phoneticPr fontId="17"/>
  </si>
  <si>
    <t>※おむつ代、リハビリパンツ代、パッド代および通院が必要な場合の通院費用・医療費は別途必要です。</t>
    <phoneticPr fontId="12"/>
  </si>
  <si>
    <t>通所介護利用料金表</t>
    <rPh sb="0" eb="2">
      <t>ツウショ</t>
    </rPh>
    <rPh sb="2" eb="4">
      <t>カイゴ</t>
    </rPh>
    <rPh sb="4" eb="6">
      <t>リヨウ</t>
    </rPh>
    <rPh sb="6" eb="8">
      <t>リョウキン</t>
    </rPh>
    <rPh sb="8" eb="9">
      <t>ヒョウ</t>
    </rPh>
    <phoneticPr fontId="51"/>
  </si>
  <si>
    <t>地域区分：</t>
    <phoneticPr fontId="51"/>
  </si>
  <si>
    <t>通所介護</t>
    <rPh sb="0" eb="2">
      <t>ツウショ</t>
    </rPh>
    <rPh sb="2" eb="4">
      <t>カイゴ</t>
    </rPh>
    <phoneticPr fontId="51"/>
  </si>
  <si>
    <t>減　算</t>
    <rPh sb="0" eb="1">
      <t>ゲン</t>
    </rPh>
    <rPh sb="2" eb="3">
      <t>サン</t>
    </rPh>
    <phoneticPr fontId="51"/>
  </si>
  <si>
    <t>介護度</t>
    <rPh sb="0" eb="2">
      <t>カイゴ</t>
    </rPh>
    <rPh sb="2" eb="3">
      <t>ド</t>
    </rPh>
    <phoneticPr fontId="51"/>
  </si>
  <si>
    <t>3時間以上4時間未満</t>
    <rPh sb="1" eb="5">
      <t>ジカンイジョウ</t>
    </rPh>
    <rPh sb="6" eb="8">
      <t>ジカン</t>
    </rPh>
    <rPh sb="8" eb="10">
      <t>ミマン</t>
    </rPh>
    <phoneticPr fontId="51"/>
  </si>
  <si>
    <t>（減算）</t>
    <rPh sb="1" eb="3">
      <t>ゲンサン</t>
    </rPh>
    <phoneticPr fontId="51"/>
  </si>
  <si>
    <t>単位数</t>
  </si>
  <si>
    <t>利用料</t>
  </si>
  <si>
    <t>要介護１</t>
    <rPh sb="0" eb="1">
      <t>ヨウ</t>
    </rPh>
    <rPh sb="1" eb="3">
      <t>カイゴ</t>
    </rPh>
    <phoneticPr fontId="2"/>
  </si>
  <si>
    <t>通所介護Ⅰ11</t>
    <phoneticPr fontId="17"/>
  </si>
  <si>
    <t>片道</t>
    <rPh sb="0" eb="2">
      <t>カタミチ</t>
    </rPh>
    <phoneticPr fontId="51"/>
  </si>
  <si>
    <t>要介護２</t>
    <rPh sb="0" eb="1">
      <t>ヨウ</t>
    </rPh>
    <rPh sb="1" eb="3">
      <t>カイゴ</t>
    </rPh>
    <phoneticPr fontId="2"/>
  </si>
  <si>
    <t>要介護３</t>
    <rPh sb="0" eb="1">
      <t>ヨウ</t>
    </rPh>
    <rPh sb="1" eb="3">
      <t>カイゴ</t>
    </rPh>
    <phoneticPr fontId="2"/>
  </si>
  <si>
    <t>加　算</t>
    <rPh sb="0" eb="1">
      <t>カ</t>
    </rPh>
    <rPh sb="2" eb="3">
      <t>サン</t>
    </rPh>
    <phoneticPr fontId="51"/>
  </si>
  <si>
    <t>要介護４</t>
    <rPh sb="0" eb="1">
      <t>ヨウ</t>
    </rPh>
    <rPh sb="1" eb="3">
      <t>カイゴ</t>
    </rPh>
    <phoneticPr fontId="2"/>
  </si>
  <si>
    <t>加算体制</t>
  </si>
  <si>
    <t>要介護５</t>
    <rPh sb="0" eb="1">
      <t>ヨウ</t>
    </rPh>
    <rPh sb="1" eb="3">
      <t>カイゴ</t>
    </rPh>
    <phoneticPr fontId="2"/>
  </si>
  <si>
    <t>4時間以上5時間未満</t>
    <rPh sb="1" eb="3">
      <t>ジカン</t>
    </rPh>
    <rPh sb="3" eb="5">
      <t>イジョウ</t>
    </rPh>
    <rPh sb="6" eb="8">
      <t>ジカン</t>
    </rPh>
    <rPh sb="8" eb="10">
      <t>ミマン</t>
    </rPh>
    <phoneticPr fontId="51"/>
  </si>
  <si>
    <t>通所介護Ⅰ21</t>
    <phoneticPr fontId="17"/>
  </si>
  <si>
    <t>5時間以上6時間未満</t>
    <rPh sb="1" eb="5">
      <t>ジカンイジョウ</t>
    </rPh>
    <rPh sb="6" eb="8">
      <t>ジカン</t>
    </rPh>
    <rPh sb="8" eb="10">
      <t>ミマン</t>
    </rPh>
    <phoneticPr fontId="51"/>
  </si>
  <si>
    <t>通所介護Ⅰ31</t>
    <phoneticPr fontId="17"/>
  </si>
  <si>
    <t>通所介護Ⅰ32</t>
    <phoneticPr fontId="17"/>
  </si>
  <si>
    <t>通所介護Ⅰ33</t>
    <phoneticPr fontId="17"/>
  </si>
  <si>
    <t>通所介護Ⅰ34</t>
    <phoneticPr fontId="17"/>
  </si>
  <si>
    <t>通所介護Ⅰ35</t>
    <phoneticPr fontId="17"/>
  </si>
  <si>
    <t>6時間以上7時間未満</t>
    <rPh sb="1" eb="5">
      <t>ジカンイジョウ</t>
    </rPh>
    <rPh sb="6" eb="8">
      <t>ジカン</t>
    </rPh>
    <rPh sb="8" eb="10">
      <t>ミマン</t>
    </rPh>
    <phoneticPr fontId="51"/>
  </si>
  <si>
    <t>通所介護Ⅰ41</t>
    <phoneticPr fontId="17"/>
  </si>
  <si>
    <t>通所介護Ⅰ42</t>
    <phoneticPr fontId="17"/>
  </si>
  <si>
    <t>通所介護Ⅰ43</t>
    <phoneticPr fontId="17"/>
  </si>
  <si>
    <t>通所介護Ⅰ44</t>
    <phoneticPr fontId="17"/>
  </si>
  <si>
    <t>通所介護Ⅰ45</t>
    <phoneticPr fontId="17"/>
  </si>
  <si>
    <t>7時間以上8時間未満</t>
    <rPh sb="1" eb="5">
      <t>ジカンイジョウ</t>
    </rPh>
    <rPh sb="6" eb="8">
      <t>ジカン</t>
    </rPh>
    <rPh sb="8" eb="10">
      <t>ミマン</t>
    </rPh>
    <phoneticPr fontId="51"/>
  </si>
  <si>
    <t>通所介護Ⅰ51</t>
    <phoneticPr fontId="17"/>
  </si>
  <si>
    <t>通所介護Ⅰ52</t>
    <phoneticPr fontId="17"/>
  </si>
  <si>
    <t>通所介護Ⅰ53</t>
    <phoneticPr fontId="17"/>
  </si>
  <si>
    <t>通所介護Ⅰ54</t>
    <phoneticPr fontId="17"/>
  </si>
  <si>
    <t>通所介護Ⅰ55</t>
    <phoneticPr fontId="17"/>
  </si>
  <si>
    <t>8時間以上9時間未満</t>
    <rPh sb="1" eb="5">
      <t>ジカンイジョウ</t>
    </rPh>
    <rPh sb="6" eb="8">
      <t>ジカン</t>
    </rPh>
    <rPh sb="8" eb="10">
      <t>ミマン</t>
    </rPh>
    <phoneticPr fontId="51"/>
  </si>
  <si>
    <t>通所介護付随サービス</t>
    <rPh sb="0" eb="2">
      <t>ツウショ</t>
    </rPh>
    <rPh sb="2" eb="4">
      <t>カイゴ</t>
    </rPh>
    <rPh sb="4" eb="6">
      <t>フズイ</t>
    </rPh>
    <phoneticPr fontId="51"/>
  </si>
  <si>
    <t>通所介護Ⅰ61</t>
    <phoneticPr fontId="17"/>
  </si>
  <si>
    <t>サービス名</t>
    <rPh sb="4" eb="5">
      <t>メイ</t>
    </rPh>
    <phoneticPr fontId="51"/>
  </si>
  <si>
    <t>内容</t>
    <rPh sb="0" eb="2">
      <t>ナイヨウ</t>
    </rPh>
    <phoneticPr fontId="51"/>
  </si>
  <si>
    <t>料金</t>
    <rPh sb="0" eb="2">
      <t>リョウキン</t>
    </rPh>
    <phoneticPr fontId="51"/>
  </si>
  <si>
    <t>通所介護Ⅰ62</t>
  </si>
  <si>
    <t>朝食サービス</t>
    <rPh sb="0" eb="2">
      <t>チョウショク</t>
    </rPh>
    <phoneticPr fontId="51"/>
  </si>
  <si>
    <t>通所介護Ⅰ63</t>
  </si>
  <si>
    <t>通所介護Ⅰ64</t>
  </si>
  <si>
    <t>昼食サービス</t>
    <rPh sb="0" eb="2">
      <t>チュウショク</t>
    </rPh>
    <phoneticPr fontId="51"/>
  </si>
  <si>
    <t>通所介護Ⅰ65</t>
  </si>
  <si>
    <t>夕食サービス</t>
    <rPh sb="0" eb="2">
      <t>ユウショク</t>
    </rPh>
    <phoneticPr fontId="51"/>
  </si>
  <si>
    <t>介護保険外サービス</t>
    <rPh sb="0" eb="2">
      <t>カイゴ</t>
    </rPh>
    <rPh sb="2" eb="4">
      <t>ホケン</t>
    </rPh>
    <rPh sb="4" eb="5">
      <t>ガイ</t>
    </rPh>
    <phoneticPr fontId="51"/>
  </si>
  <si>
    <t>夜間サポートサービス</t>
    <phoneticPr fontId="51"/>
  </si>
  <si>
    <t>付き添いサービス</t>
    <rPh sb="0" eb="1">
      <t>ツ</t>
    </rPh>
    <rPh sb="2" eb="3">
      <t>ソ</t>
    </rPh>
    <phoneticPr fontId="51"/>
  </si>
  <si>
    <t>主にご家庭で通院介助ができない場合、代行して通院介助を行います。
※ただし、公共の交通機関もしくは介護タクシーを使用します。（別途、実費相当額を徴収いたします。）</t>
    <phoneticPr fontId="51"/>
  </si>
  <si>
    <t>時間外サービス</t>
    <rPh sb="0" eb="2">
      <t>ジカン</t>
    </rPh>
    <rPh sb="2" eb="3">
      <t>ガイ</t>
    </rPh>
    <phoneticPr fontId="51"/>
  </si>
  <si>
    <t>おむつサービス</t>
    <phoneticPr fontId="51"/>
  </si>
  <si>
    <t>おむつ・リハビリパンツ</t>
    <phoneticPr fontId="51"/>
  </si>
  <si>
    <t>パッド</t>
    <phoneticPr fontId="51"/>
  </si>
  <si>
    <t>電話：</t>
    <rPh sb="0" eb="2">
      <t>デンワ</t>
    </rPh>
    <phoneticPr fontId="17"/>
  </si>
  <si>
    <t>FAX：</t>
    <phoneticPr fontId="17"/>
  </si>
  <si>
    <t>担当：</t>
    <rPh sb="0" eb="2">
      <t>タントウ</t>
    </rPh>
    <phoneticPr fontId="17"/>
  </si>
  <si>
    <t>お泊まり利用料金概算見積一覧表</t>
    <rPh sb="1" eb="2">
      <t>ト</t>
    </rPh>
    <rPh sb="4" eb="6">
      <t>リヨウ</t>
    </rPh>
    <rPh sb="6" eb="8">
      <t>リョウキン</t>
    </rPh>
    <rPh sb="8" eb="10">
      <t>ガイサン</t>
    </rPh>
    <rPh sb="10" eb="12">
      <t>ミツモリ</t>
    </rPh>
    <rPh sb="12" eb="14">
      <t>イチラン</t>
    </rPh>
    <rPh sb="14" eb="15">
      <t>ヒョウ</t>
    </rPh>
    <phoneticPr fontId="51"/>
  </si>
  <si>
    <t>※初日は朝からご利用され、最終日は夕方お送りするというケースの料金表ですので実際は多少前後します。　</t>
    <phoneticPr fontId="51"/>
  </si>
  <si>
    <t>ご利用者の負担割合</t>
    <rPh sb="1" eb="4">
      <t>リヨウシャ</t>
    </rPh>
    <rPh sb="5" eb="7">
      <t>フタン</t>
    </rPh>
    <rPh sb="7" eb="9">
      <t>ワリアイ</t>
    </rPh>
    <phoneticPr fontId="51"/>
  </si>
  <si>
    <t>1割負担</t>
    <rPh sb="1" eb="2">
      <t>ワリ</t>
    </rPh>
    <rPh sb="2" eb="4">
      <t>フタン</t>
    </rPh>
    <phoneticPr fontId="0"/>
  </si>
  <si>
    <t>地域区分</t>
    <rPh sb="0" eb="2">
      <t>チイキ</t>
    </rPh>
    <rPh sb="2" eb="4">
      <t>クブン</t>
    </rPh>
    <phoneticPr fontId="0"/>
  </si>
  <si>
    <t>↓【マスター】からリンク↓</t>
    <phoneticPr fontId="51"/>
  </si>
  <si>
    <t>生活保護</t>
    <rPh sb="0" eb="2">
      <t>セイカツ</t>
    </rPh>
    <rPh sb="2" eb="4">
      <t>ホゴ</t>
    </rPh>
    <phoneticPr fontId="0"/>
  </si>
  <si>
    <t>10割</t>
    <rPh sb="2" eb="3">
      <t>ワリ</t>
    </rPh>
    <phoneticPr fontId="155"/>
  </si>
  <si>
    <t>通所介護Ⅰ61</t>
    <phoneticPr fontId="51"/>
  </si>
  <si>
    <t>通所介護Ⅰ62</t>
    <phoneticPr fontId="17"/>
  </si>
  <si>
    <t>通所介護Ⅰ63</t>
    <phoneticPr fontId="17"/>
  </si>
  <si>
    <t>通所介護Ⅰ64</t>
    <phoneticPr fontId="17"/>
  </si>
  <si>
    <t>通所介護Ⅰ65</t>
    <phoneticPr fontId="17"/>
  </si>
  <si>
    <t>9割</t>
    <rPh sb="1" eb="2">
      <t>ワリ</t>
    </rPh>
    <phoneticPr fontId="155"/>
  </si>
  <si>
    <t>2割負担</t>
    <rPh sb="1" eb="2">
      <t>ワリ</t>
    </rPh>
    <rPh sb="2" eb="4">
      <t>フタン</t>
    </rPh>
    <phoneticPr fontId="0"/>
  </si>
  <si>
    <t>8割</t>
    <rPh sb="1" eb="2">
      <t>ワリ</t>
    </rPh>
    <phoneticPr fontId="155"/>
  </si>
  <si>
    <t>送迎減算</t>
    <rPh sb="0" eb="2">
      <t>ソウゲイ</t>
    </rPh>
    <rPh sb="2" eb="4">
      <t>ゲンサン</t>
    </rPh>
    <phoneticPr fontId="51"/>
  </si>
  <si>
    <t>3割負担</t>
    <rPh sb="1" eb="2">
      <t>ワリ</t>
    </rPh>
    <rPh sb="2" eb="4">
      <t>フタン</t>
    </rPh>
    <phoneticPr fontId="0"/>
  </si>
  <si>
    <t>7割</t>
    <rPh sb="1" eb="2">
      <t>ワリ</t>
    </rPh>
    <phoneticPr fontId="155"/>
  </si>
  <si>
    <t>生活保護による控除</t>
    <rPh sb="0" eb="2">
      <t>セイカツ</t>
    </rPh>
    <rPh sb="2" eb="4">
      <t>ホゴ</t>
    </rPh>
    <rPh sb="7" eb="9">
      <t>コウジョ</t>
    </rPh>
    <phoneticPr fontId="51"/>
  </si>
  <si>
    <t>夜間サポートサービス</t>
    <rPh sb="0" eb="2">
      <t>ヤカン</t>
    </rPh>
    <phoneticPr fontId="51"/>
  </si>
  <si>
    <t>合計</t>
    <rPh sb="0" eb="2">
      <t>ゴウケイ</t>
    </rPh>
    <phoneticPr fontId="51"/>
  </si>
  <si>
    <t>通所介護Ⅰ61</t>
  </si>
  <si>
    <t>昼食</t>
    <rPh sb="0" eb="2">
      <t>チュウショク</t>
    </rPh>
    <phoneticPr fontId="51"/>
  </si>
  <si>
    <t>朝食</t>
    <rPh sb="0" eb="2">
      <t>チョウショク</t>
    </rPh>
    <phoneticPr fontId="51"/>
  </si>
  <si>
    <t>夕食</t>
    <rPh sb="0" eb="2">
      <t>ユウショク</t>
    </rPh>
    <phoneticPr fontId="51"/>
  </si>
  <si>
    <t>夜間</t>
    <rPh sb="0" eb="2">
      <t>ヤカン</t>
    </rPh>
    <phoneticPr fontId="51"/>
  </si>
  <si>
    <t>区分支給限度額</t>
    <rPh sb="0" eb="2">
      <t>クブン</t>
    </rPh>
    <rPh sb="2" eb="4">
      <t>シキュウ</t>
    </rPh>
    <rPh sb="4" eb="6">
      <t>ゲンド</t>
    </rPh>
    <rPh sb="6" eb="7">
      <t>ガク</t>
    </rPh>
    <phoneticPr fontId="17"/>
  </si>
  <si>
    <t>MAX利用時</t>
    <rPh sb="3" eb="5">
      <t>リヨウ</t>
    </rPh>
    <rPh sb="5" eb="6">
      <t>ジ</t>
    </rPh>
    <phoneticPr fontId="17"/>
  </si>
  <si>
    <t>10割負担</t>
    <rPh sb="2" eb="3">
      <t>ワリ</t>
    </rPh>
    <rPh sb="3" eb="5">
      <t>フタン</t>
    </rPh>
    <phoneticPr fontId="17"/>
  </si>
  <si>
    <t>※おむつ代、リハビリパンツ代、パッド代および通院が必要な場合の通院費用・医療費は別途必要です。</t>
    <phoneticPr fontId="0"/>
  </si>
  <si>
    <t>※各種加算を算定する日は、1日当たり以下の料金が発生します。（生活保護の方の負担はありません。）＊概算</t>
    <rPh sb="18" eb="20">
      <t>イカ</t>
    </rPh>
    <phoneticPr fontId="0"/>
  </si>
  <si>
    <t>各種加算</t>
    <rPh sb="0" eb="2">
      <t>カクシュ</t>
    </rPh>
    <rPh sb="2" eb="4">
      <t>カサン</t>
    </rPh>
    <phoneticPr fontId="0"/>
  </si>
  <si>
    <t>加算名</t>
    <rPh sb="0" eb="2">
      <t>カサン</t>
    </rPh>
    <rPh sb="2" eb="3">
      <t>メイ</t>
    </rPh>
    <phoneticPr fontId="0"/>
  </si>
  <si>
    <t>処遇改善加算</t>
    <rPh sb="0" eb="6">
      <t>ショグウカイゼンカサン</t>
    </rPh>
    <phoneticPr fontId="0"/>
  </si>
  <si>
    <t>特定処遇改善加算</t>
    <rPh sb="0" eb="2">
      <t>トクテイ</t>
    </rPh>
    <rPh sb="2" eb="8">
      <t>ショグウカイゼンカサン</t>
    </rPh>
    <phoneticPr fontId="0"/>
  </si>
  <si>
    <t>10割負担分</t>
  </si>
  <si>
    <t>通所介護重要事項説明書</t>
  </si>
  <si>
    <t>（事業の目的）</t>
    <phoneticPr fontId="17"/>
  </si>
  <si>
    <t>（運営の方針）</t>
    <phoneticPr fontId="17"/>
  </si>
  <si>
    <t>　事業所の通所介護従業者は、要介護状態等の心身の特徴を踏まえて、利用者が可能な限りその居宅において、その有する能力に応じ自立した日常生活を営むことができるよう、更に利用者の社会的孤立感の解消及び心身機能の維持並びに家族の身体的・精神的負担の軽減を図るために、必要な日常生活上の世話及び機能訓練等の介護、その他必要な援助を行います。
　事業の実施にあたっては、利用者がお住まいの市区町村、居宅介護支援事業者、在宅介護支援センター、地域包括支援センター、地域の保健・医療・福祉サービスとの綿密な連携を図り、総合的なサービスの提供に努めます。</t>
  </si>
  <si>
    <t>（事業所の名称等）</t>
    <rPh sb="1" eb="4">
      <t>ジギョウショ</t>
    </rPh>
    <rPh sb="5" eb="7">
      <t>メイショウ</t>
    </rPh>
    <rPh sb="7" eb="8">
      <t>トウ</t>
    </rPh>
    <phoneticPr fontId="17"/>
  </si>
  <si>
    <t>通所介護事業者（法人）の概要</t>
  </si>
  <si>
    <t>通常規模型通所介護（</t>
    <rPh sb="0" eb="2">
      <t>ツウジョウ</t>
    </rPh>
    <rPh sb="2" eb="4">
      <t>キボ</t>
    </rPh>
    <rPh sb="4" eb="5">
      <t>ガタ</t>
    </rPh>
    <phoneticPr fontId="17"/>
  </si>
  <si>
    <t>看 護 職 員</t>
    <rPh sb="0" eb="1">
      <t>ミ</t>
    </rPh>
    <rPh sb="2" eb="3">
      <t>マモル</t>
    </rPh>
    <rPh sb="4" eb="5">
      <t>ショク</t>
    </rPh>
    <rPh sb="6" eb="7">
      <t>イン</t>
    </rPh>
    <phoneticPr fontId="17"/>
  </si>
  <si>
    <t>看護職員欄追加</t>
    <rPh sb="0" eb="2">
      <t>カンゴ</t>
    </rPh>
    <rPh sb="2" eb="4">
      <t>ショクイン</t>
    </rPh>
    <rPh sb="4" eb="5">
      <t>ラン</t>
    </rPh>
    <rPh sb="5" eb="7">
      <t>ツイカ</t>
    </rPh>
    <phoneticPr fontId="17"/>
  </si>
  <si>
    <t>（サービスの内容と費用）　※費用については別表の通り</t>
    <rPh sb="9" eb="11">
      <t>ヒヨウ</t>
    </rPh>
    <rPh sb="14" eb="16">
      <t>ヒヨウ</t>
    </rPh>
    <rPh sb="21" eb="23">
      <t>ベッピョウ</t>
    </rPh>
    <rPh sb="24" eb="25">
      <t>トオ</t>
    </rPh>
    <phoneticPr fontId="17"/>
  </si>
  <si>
    <t>個人浴槽です。介助が必要な方には職員が個別対応します。</t>
    <phoneticPr fontId="17"/>
  </si>
  <si>
    <t>利用者の状況に応じて適切な排泄介助を行うと共に、排泄の自立についても適切な援助を行います。</t>
  </si>
  <si>
    <t>利用者の生活面での指導・援助を行います。
各種レクリエーションや健康体操等を実施します。</t>
    <phoneticPr fontId="17"/>
  </si>
  <si>
    <t>血圧測定等利用者の全身状態の把握を行います。</t>
  </si>
  <si>
    <t>利用者と利用者の家族からの各種ご相談に問題解決に向けて取り組みます。</t>
  </si>
  <si>
    <t>ご自宅から施設内までの送迎を行います。但し、ご希望があれば、利用者の家族が行なうことも可能です。</t>
  </si>
  <si>
    <t>：</t>
    <phoneticPr fontId="17"/>
  </si>
  <si>
    <t>（事業所の特色等）</t>
    <phoneticPr fontId="17"/>
  </si>
  <si>
    <t>　わたしたちは、利用者様を尊敬し、その命を守り、責任を持って介護を行ないます。</t>
  </si>
  <si>
    <t>（サービス内容に関する苦情等相談窓口）</t>
    <phoneticPr fontId="17"/>
  </si>
  <si>
    <t>相談窓口</t>
    <phoneticPr fontId="17"/>
  </si>
  <si>
    <t>（高齢者虐待防止について）</t>
    <phoneticPr fontId="17"/>
  </si>
  <si>
    <t>　事業者は、利用者等の人権の擁護・虐待の防止のために、次に掲げるとおり必要な措置を講じます。</t>
  </si>
  <si>
    <t>　研修等を通じて、従業者の人権意識の向上や知識、技術の向上に努めます。</t>
    <phoneticPr fontId="17"/>
  </si>
  <si>
    <t>　個別支援計画の作成など適切な支援の実施に努めます。</t>
    <phoneticPr fontId="17"/>
  </si>
  <si>
    <t>　従業者が支援にあたっての悩みや苦労を相談できる体制を整えるほか、従業者が利用者等の権利擁護に取り組める環境の整備に努めます。</t>
  </si>
  <si>
    <t>（身体的拘束等について）</t>
    <rPh sb="3" eb="4">
      <t>テキ</t>
    </rPh>
    <rPh sb="6" eb="7">
      <t>ナド</t>
    </rPh>
    <phoneticPr fontId="17"/>
  </si>
  <si>
    <t>　事業者は、サービス提供にあたり身体的拘束等その他利用者の行動を制限する行為を行いません。但し、利用者又は他の利用者等の生命又は身体を保護するため緊急やむを得ない場合は、この限りではありません。</t>
    <rPh sb="21" eb="22">
      <t>ナド</t>
    </rPh>
    <phoneticPr fontId="17"/>
  </si>
  <si>
    <t>　前項ただし書きの規定に基づき身体的拘束等の行為を行った場合には、事業者は、直ちに、その日時、態様、利用者の心身の状況、緊急やむを得なかった理由、当該行為が必要と判断した職員等及び当該行為を行った職員等の氏名その他必要な事項について、サービス提供記録等に記録します。</t>
  </si>
  <si>
    <t>（その他運営についての留意事項）</t>
    <phoneticPr fontId="17"/>
  </si>
  <si>
    <t>　事業者は、業務上知り得た利用者またはその家族の秘密を保持します。また、従業者であった者に、業務上知り得た利用者またはその家族の秘密を保持するため、従業者でなくなった後においてもこれらの秘密を保持するべき旨を雇用契約の内容に明記します。</t>
  </si>
  <si>
    <t>　指定通所介護の提供により、利用者に賠償すべき事故が発生した場合、損害賠償を速やかに行います。</t>
  </si>
  <si>
    <t>　事業所は、この事業を行うため、ケース記録、利用決定調書、利用者負担金徴収簿、その他必要な帳簿を整備します。</t>
  </si>
  <si>
    <t>施設内での他の利用者に対する執拗な宗教活動及び政治活動はご遠慮ください。</t>
  </si>
  <si>
    <t>通常規模型通所介護　運営規程</t>
    <rPh sb="0" eb="2">
      <t>ツウジョウ</t>
    </rPh>
    <rPh sb="2" eb="4">
      <t>キボ</t>
    </rPh>
    <rPh sb="4" eb="5">
      <t>ガタ</t>
    </rPh>
    <rPh sb="10" eb="12">
      <t>ウンエイ</t>
    </rPh>
    <rPh sb="12" eb="14">
      <t>キテイ</t>
    </rPh>
    <phoneticPr fontId="17"/>
  </si>
  <si>
    <t>　事業所の通所介護従業者は、要介護状態等の心身の特徴を踏まえて、利用者が可能な限りその居宅において、その有する能力に応じ自立した日常生活を営むことができるよう、生活機能の維持又は向上を目指し、更に利用者の社会的孤立感の解消及び心身機能の維持並びに家族の身体的・精神的負担の軽減を図るために、必要な日常生活上の世話及び機能訓練等の介護、その他必要な援助を行う。</t>
    <phoneticPr fontId="17"/>
  </si>
  <si>
    <t>　利用者の要介護状態の軽減若しくは悪化の防止に努め、その目標を設定し計画的に行う。</t>
    <phoneticPr fontId="17"/>
  </si>
  <si>
    <t>　利用者の意見及び人格を尊重し、常に利用者の立場でサービスの提供に努めるものとする。</t>
    <phoneticPr fontId="17"/>
  </si>
  <si>
    <t>　事業の実施にあたっては、利用者がお住まいの市区町村、居宅介護支援事業者、在宅介護支援センター、地域包括支援センター、地域の保健・医療・福祉サービスとの綿密な連携を図り、総合的なサービスの提供に努める。</t>
    <phoneticPr fontId="17"/>
  </si>
  <si>
    <t>　指定通所介護の提供に当たっては、懇切丁寧に行うことを旨とし、利用者又はその家族に対し、サービスの提供方法等について、理解しやすいように説明を行い、指定通所介護の提供の終了に際しては、利用者又はその家族に対し、適切な指導を行うと共に居宅介護支援事業者への情報の提供を行う。</t>
  </si>
  <si>
    <t>（事業所の名称等）</t>
    <phoneticPr fontId="17"/>
  </si>
  <si>
    <t>　事業を行う事業所の名称及び所在地は、次のとおりとする。</t>
    <phoneticPr fontId="17"/>
  </si>
  <si>
    <t>名　称</t>
    <rPh sb="0" eb="1">
      <t>ナ</t>
    </rPh>
    <rPh sb="2" eb="3">
      <t>ショウ</t>
    </rPh>
    <phoneticPr fontId="17"/>
  </si>
  <si>
    <t>所在地</t>
    <rPh sb="0" eb="3">
      <t>ショザイチ</t>
    </rPh>
    <phoneticPr fontId="17"/>
  </si>
  <si>
    <t>（職員の職種、員数及び職務内容）</t>
    <phoneticPr fontId="17"/>
  </si>
  <si>
    <t>　事業所に勤務する職種、員数及び職務内容は次のとおりとする。</t>
    <phoneticPr fontId="17"/>
  </si>
  <si>
    <t>　管理者は、従業者の管理及び業務の管理を一元的に行うと共に、法令等において規定されている指定通所介護の実施に関し、事業所の従業者に対し法令等を遵守させるために必要な指揮命令を行う。</t>
  </si>
  <si>
    <t>生活相談員</t>
    <phoneticPr fontId="17"/>
  </si>
  <si>
    <t>1名以上</t>
    <phoneticPr fontId="17"/>
  </si>
  <si>
    <t>　生活相談員は、指定通所介護の利用申込にかかる調整、利用者の生活相談、面接、身上調査、他の通所介護従業者に対する相談援助及び助言を行い、また、他の従業者と協力して通所介護計画の作成等を行う。また、利用者に対し日常生活上の介護その他必要な業務の提供にあたる。</t>
  </si>
  <si>
    <t>介護職員</t>
    <phoneticPr fontId="17"/>
  </si>
  <si>
    <t>2名以上</t>
    <phoneticPr fontId="17"/>
  </si>
  <si>
    <t>　介護職員は利用者の心身の状況等を的確に把握し、必要な日常生活上の介護や健康管理、その他必要な業務の提供にあたる。</t>
    <phoneticPr fontId="17"/>
  </si>
  <si>
    <t>機能訓練指導員</t>
    <phoneticPr fontId="17"/>
  </si>
  <si>
    <t>１名以上</t>
    <rPh sb="1" eb="2">
      <t>メイ</t>
    </rPh>
    <phoneticPr fontId="17"/>
  </si>
  <si>
    <t>　機能訓練指導員は、日常生活を営むのに必要な機能の減退を防止するための訓練指導、助言を行う。</t>
    <phoneticPr fontId="17"/>
  </si>
  <si>
    <t>（５）</t>
    <phoneticPr fontId="17"/>
  </si>
  <si>
    <t>　看護職員は、利用者の健康管理及び心身状態の把握、その他介護業務を行う。</t>
    <rPh sb="1" eb="3">
      <t>カンゴ</t>
    </rPh>
    <rPh sb="3" eb="5">
      <t>ショクイン</t>
    </rPh>
    <rPh sb="7" eb="10">
      <t>リヨウシャ</t>
    </rPh>
    <rPh sb="11" eb="13">
      <t>ケンコウ</t>
    </rPh>
    <rPh sb="13" eb="15">
      <t>カンリ</t>
    </rPh>
    <rPh sb="15" eb="16">
      <t>オヨ</t>
    </rPh>
    <rPh sb="17" eb="19">
      <t>シンシン</t>
    </rPh>
    <rPh sb="19" eb="21">
      <t>ジョウタイ</t>
    </rPh>
    <rPh sb="22" eb="24">
      <t>ハアク</t>
    </rPh>
    <rPh sb="27" eb="28">
      <t>タ</t>
    </rPh>
    <rPh sb="28" eb="30">
      <t>カイゴ</t>
    </rPh>
    <rPh sb="30" eb="32">
      <t>ギョウム</t>
    </rPh>
    <rPh sb="33" eb="34">
      <t>オコナ</t>
    </rPh>
    <phoneticPr fontId="17"/>
  </si>
  <si>
    <t>（営業日及び営業時間）</t>
    <phoneticPr fontId="17"/>
  </si>
  <si>
    <t>　事業所の営業日及び営業時間は、次のとおりとする。</t>
    <phoneticPr fontId="17"/>
  </si>
  <si>
    <t>営業日</t>
    <rPh sb="0" eb="3">
      <t>エイギョウビ</t>
    </rPh>
    <phoneticPr fontId="21"/>
  </si>
  <si>
    <t>営業時間</t>
    <rPh sb="0" eb="2">
      <t>エイギョウ</t>
    </rPh>
    <rPh sb="2" eb="4">
      <t>ジカン</t>
    </rPh>
    <phoneticPr fontId="21"/>
  </si>
  <si>
    <t>サービス提供時間</t>
    <rPh sb="4" eb="6">
      <t>テイキョウ</t>
    </rPh>
    <rPh sb="6" eb="8">
      <t>ジカン</t>
    </rPh>
    <phoneticPr fontId="20"/>
  </si>
  <si>
    <t>のうち、最長５時間まで対応</t>
    <phoneticPr fontId="17"/>
  </si>
  <si>
    <t>（利用定員）</t>
    <phoneticPr fontId="17"/>
  </si>
  <si>
    <t>　事業所の利用者の定員は、下記のとおりとする。</t>
    <phoneticPr fontId="17"/>
  </si>
  <si>
    <t>１単位</t>
    <rPh sb="1" eb="3">
      <t>タンイ</t>
    </rPh>
    <phoneticPr fontId="17"/>
  </si>
  <si>
    <t>（指定通所介護の提供方法、内容）</t>
  </si>
  <si>
    <t>　指定通所介護の内容は、居宅サービス計画に基づいてサービスを行うものとする。但し、緊急を要する場合にあっては、居宅サービス計画作成前であってもサービスを利用できるものとし、次に掲げるサービスから利用者が選定したサービスを提供する。</t>
  </si>
  <si>
    <t>身体介護に関すること</t>
    <phoneticPr fontId="17"/>
  </si>
  <si>
    <t>　日常生活動作能力の程度により、必要な支援及びサービスを提供する。</t>
    <phoneticPr fontId="17"/>
  </si>
  <si>
    <t>（排泄の介助、移動・移乗の介助、養護、その他必要な身体の介護）</t>
    <phoneticPr fontId="17"/>
  </si>
  <si>
    <t>入浴に関すること</t>
    <phoneticPr fontId="17"/>
  </si>
  <si>
    <t>　家庭において入浴することが困難な利用者に対して、必要な入浴サービスを提供する。</t>
    <phoneticPr fontId="17"/>
  </si>
  <si>
    <t>（衣類着脱の介護、身体の清拭、整髪、洗身、その他必要な入浴の介助）</t>
    <phoneticPr fontId="17"/>
  </si>
  <si>
    <t>食事に関すること</t>
    <phoneticPr fontId="17"/>
  </si>
  <si>
    <t>　給食を希望する利用者に対して、必要な食事のサービスを提供する。</t>
    <phoneticPr fontId="17"/>
  </si>
  <si>
    <t>（食事の準備、配膳下膳の介助、食事摂取の介助、その他必要な食事の介助）</t>
    <phoneticPr fontId="17"/>
  </si>
  <si>
    <t>機能訓練に関すること</t>
    <phoneticPr fontId="17"/>
  </si>
  <si>
    <t>　体力や機能の低下を防ぐために必要な訓練及び日常生活に必要な基本的動作を獲得するための訓練を行う。</t>
    <phoneticPr fontId="17"/>
  </si>
  <si>
    <t>アクティビティ・サービスに関すること</t>
    <phoneticPr fontId="17"/>
  </si>
  <si>
    <t>　利用者が、生きがいのある快適で豊かな日常生活を送ることができるよう、アクティビティ・サービスを実施する。これらの活動を通じて仲間づくり、老いや障害の受容、心身機能の維持・向上、自信の回復や情緒安定を図る。</t>
    <phoneticPr fontId="17"/>
  </si>
  <si>
    <t>（レクリエーション、生活リハビリテーション、音楽活動、制作活動、行事的活動、体操）</t>
    <phoneticPr fontId="17"/>
  </si>
  <si>
    <t>送迎に関すること</t>
    <phoneticPr fontId="17"/>
  </si>
  <si>
    <t>　送迎を必要とする利用者に対し送迎サービスを提供する。送迎時は利用者の状況に応じ必要な介護を行う。</t>
    <phoneticPr fontId="17"/>
  </si>
  <si>
    <t>（送迎、移動、移乗動作の介助）</t>
    <phoneticPr fontId="17"/>
  </si>
  <si>
    <t>相談・助言に関すること</t>
    <phoneticPr fontId="17"/>
  </si>
  <si>
    <t>　利用者及びその家族の日常生活における介護等に関する相談及び助言を行う。</t>
    <phoneticPr fontId="17"/>
  </si>
  <si>
    <t>（指定居宅介護支援事業者との連携等）</t>
    <phoneticPr fontId="17"/>
  </si>
  <si>
    <t>　指定通所介護の提供にあたっては、利用者にかかる指定居宅介護支援事業者が開催するサービス担当者会議等を通じて、利用者の心身の状況、その置かれている環境、他の保健・医療・福祉サービスの利用状況等の把握に努める。</t>
  </si>
  <si>
    <t>　利用者の生活状況の変化、サービス利用方法・内容の変更希望があった場合、当該利用者担当の指定居宅介護支援事業者に連絡すると共に、綿密な連携に努める。</t>
    <phoneticPr fontId="17"/>
  </si>
  <si>
    <t>　正当な理由なく指定通所介護の提供を拒まない。但し、通常の事業実施地域等を勘案し、利用希望者に対して通所介護の提供が困難と認めた場合、当該利用者にかかる指定居宅介護支援事業者と連携し、必要な措置を講ずる。</t>
  </si>
  <si>
    <t>（通所介護計画の作成等）</t>
  </si>
  <si>
    <t>　通所介護計画の作成・変更の際には、利用者又は家族に対し、当該計画の内容を説明し、同意を得る。</t>
    <phoneticPr fontId="17"/>
  </si>
  <si>
    <t>　利用者に対し、通所介護計画に基づいて各種サービスを提供すると共に、継続的なサービスの管理、評価を行う。</t>
    <phoneticPr fontId="17"/>
  </si>
  <si>
    <t>（サービスの提供記録の記載）</t>
    <phoneticPr fontId="17"/>
  </si>
  <si>
    <t>　通所介護従業者は、指定通所介護を提供した際には、その提供日・内容、当該指定通所介護について、利用者に代わって支払いを受ける保険給付の額、その他必要な記録を所定の書面に記載する。</t>
    <phoneticPr fontId="17"/>
  </si>
  <si>
    <t>（指定通所介護の利用料等及び支払いの方法）</t>
  </si>
  <si>
    <t>　指定通所介護を提供した場合の利用料の額は、介護報酬告示上の額とし、介護保険の適用がある場合は、原則として料金表別表の通りの負担額となる。
　ただし、次に掲げる項目については、別に利用料金の支払いを受けるものとする。</t>
    <phoneticPr fontId="17"/>
  </si>
  <si>
    <t>　第１２条に定める通常の事業の実施地域以外の地域に居住する利用者に対して行う介護サービスの送迎に要した交通費は、通常の事業実施地域を越えた地点から１ｋｍ毎に２０円を徴収する。</t>
    <rPh sb="69" eb="71">
      <t>チテン</t>
    </rPh>
    <phoneticPr fontId="17"/>
  </si>
  <si>
    <t>３</t>
  </si>
  <si>
    <t>４</t>
  </si>
  <si>
    <t>　おむつ代については、以下の通り徴収する。</t>
    <rPh sb="4" eb="5">
      <t>ダイ</t>
    </rPh>
    <rPh sb="11" eb="13">
      <t>イカ</t>
    </rPh>
    <rPh sb="14" eb="15">
      <t>トオ</t>
    </rPh>
    <rPh sb="16" eb="18">
      <t>チョウシュウ</t>
    </rPh>
    <phoneticPr fontId="17"/>
  </si>
  <si>
    <t>　その他、指定通所介護において提供される便宜のうち、日常生活においても通常必要となるものに係る費用で、利用者が負担することが適当と認められる費用については、実費を徴収する。</t>
  </si>
  <si>
    <t>　前１～６項の利用料の支払いを受けたときは、利用料とその他の費用（個別の費用毎に区分）について記載した領収書を交付する。</t>
    <phoneticPr fontId="17"/>
  </si>
  <si>
    <t>　指定通所介護の提供の開始に際し、あらかじめ利用者又はその家族に対し、利用料並びにその他の費用の内容及び金額に関し事前に説明した上で、支払に関する同意を得る。</t>
  </si>
  <si>
    <t>　費用を変更する場合には、あらかじめ前項と同様に利用者又はその家族に対して事前に文章で説明した上で、支払に関する同意を得る。</t>
    <phoneticPr fontId="17"/>
  </si>
  <si>
    <t>１０</t>
    <phoneticPr fontId="17"/>
  </si>
  <si>
    <t>　法定代理受領サービスに該当しない指定通所介護に係る利用料の支払を受けた場合は、提供した指定通所介護の内容、費用の額その他必要と認められた事項を記載したサービス提供証明書を利用者に対して交付する。</t>
  </si>
  <si>
    <t>１１</t>
    <phoneticPr fontId="17"/>
  </si>
  <si>
    <t>　指定通所介護の利用者は、事業所の定める期日に、別途契約書で指定する方法により利用料等を納入することとする。</t>
  </si>
  <si>
    <t>（通常の事業の実施地域）</t>
    <phoneticPr fontId="17"/>
  </si>
  <si>
    <t>　通常の事業の実施地域は以下のとおりとする。</t>
    <phoneticPr fontId="17"/>
  </si>
  <si>
    <t>（</t>
    <phoneticPr fontId="17"/>
  </si>
  <si>
    <t>（契約書の作成）</t>
    <phoneticPr fontId="17"/>
  </si>
  <si>
    <t>　通所介護従業者は、指定通所介護を実施中に利用者の病状等に急変、その他緊急事態が生じたときは、速やかに主治医に連絡する等の措置を講ずると共に、管理者及び主治医に報告し、その指示に従って適切に対応しなければならない。主治医への連絡が困難な場合は、緊急搬送等の必要な措置を講じるものとする。</t>
  </si>
  <si>
    <t>　指定通所介護を実施中に天災その他の災害が発生した場合、利用者の避難等の措置を講ずるほか、管理者に連絡の上その指示に従うものとする。</t>
  </si>
  <si>
    <t>　利用者に対する指定通所介護の提供により事故が発生した場合は、市区町村、利用者の家族、居宅介護支援事業者等に連絡すると共に必要な措置を講じるものとする。</t>
  </si>
  <si>
    <t>　利用者に対する指定通所介護の提供により賠償すべき事故が発生した場合に備え、損害保険に加入し速やかに対応を行う。</t>
  </si>
  <si>
    <t>　事業所は、前各項に関する内容を記録し保存するものとする。</t>
    <phoneticPr fontId="17"/>
  </si>
  <si>
    <t>（非常災害対策）</t>
    <phoneticPr fontId="17"/>
  </si>
  <si>
    <t>　事業所は、非常災害に備えるため、消防計画・非常災害時マニュアルを作成し避難訓練等を次の通り行うと共に必要な設備を備える。</t>
    <phoneticPr fontId="17"/>
  </si>
  <si>
    <t>防火責任者</t>
    <rPh sb="0" eb="2">
      <t>ボウカ</t>
    </rPh>
    <rPh sb="2" eb="5">
      <t>セキニンシャ</t>
    </rPh>
    <phoneticPr fontId="48"/>
  </si>
  <si>
    <t>管理者</t>
    <rPh sb="0" eb="3">
      <t>カンリシャ</t>
    </rPh>
    <phoneticPr fontId="48"/>
  </si>
  <si>
    <t>総合防災訓練</t>
    <rPh sb="0" eb="2">
      <t>ソウゴウ</t>
    </rPh>
    <rPh sb="2" eb="4">
      <t>ボウサイ</t>
    </rPh>
    <rPh sb="4" eb="6">
      <t>クンレン</t>
    </rPh>
    <phoneticPr fontId="48"/>
  </si>
  <si>
    <t>年１回</t>
    <rPh sb="0" eb="1">
      <t>ネン</t>
    </rPh>
    <rPh sb="2" eb="3">
      <t>カイ</t>
    </rPh>
    <phoneticPr fontId="48"/>
  </si>
  <si>
    <t>消火訓練</t>
    <rPh sb="0" eb="2">
      <t>ショウカ</t>
    </rPh>
    <rPh sb="2" eb="4">
      <t>クンレン</t>
    </rPh>
    <phoneticPr fontId="48"/>
  </si>
  <si>
    <t>年２回</t>
    <rPh sb="0" eb="1">
      <t>ネン</t>
    </rPh>
    <rPh sb="2" eb="3">
      <t>カイ</t>
    </rPh>
    <phoneticPr fontId="48"/>
  </si>
  <si>
    <t>通報訓練</t>
    <rPh sb="0" eb="2">
      <t>ツウホウ</t>
    </rPh>
    <rPh sb="2" eb="4">
      <t>クンレン</t>
    </rPh>
    <phoneticPr fontId="48"/>
  </si>
  <si>
    <t>避難誘導訓練</t>
    <rPh sb="0" eb="2">
      <t>ヒナン</t>
    </rPh>
    <rPh sb="2" eb="4">
      <t>ユウドウ</t>
    </rPh>
    <rPh sb="4" eb="6">
      <t>クンレン</t>
    </rPh>
    <phoneticPr fontId="48"/>
  </si>
  <si>
    <t>（衛生管理及び従業者等の健康管理等）</t>
  </si>
  <si>
    <t>　通所介護従業者に対し感染症等に関する基礎知識の習得に努めると共に、年１回以上の健康診断を受診させるものとする。</t>
  </si>
  <si>
    <t>　事業所において感染症が発生し、又はまん延しないように必要な措置を講じると共に、必要に応じ保健所の助言、指導を求めるものとする。</t>
    <phoneticPr fontId="17"/>
  </si>
  <si>
    <t>（サービス利用にあたっての留意事項）</t>
    <phoneticPr fontId="17"/>
  </si>
  <si>
    <t>　利用者が入浴室及び機能訓練室等を利用する場合は、職員立会いのもとで使用すること。又、体調が思わしくない利用者にはその旨を説明し安全指導を図る。</t>
    <phoneticPr fontId="17"/>
  </si>
  <si>
    <t>　利用者は指定通所介護の提供を受ける際には、医師の診断や日常生活上の留意事項、利用当日の健康状態等を通所介護従業者に連絡し、心身の状況に応じたサービスの提供を受けるよう留意する。</t>
  </si>
  <si>
    <t>（相談・苦情対応）</t>
    <phoneticPr fontId="17"/>
  </si>
  <si>
    <t>　指定通所介護の提供に係る利用者及びその家族からの相談、苦情等に迅速かつ適切に対応するため、窓口及び担当者を置き、事実関係の調査を実施し、改善措置を講じ、利用者及び家族に説明するものとする。</t>
    <phoneticPr fontId="17"/>
  </si>
  <si>
    <t>　事業所は、前項の相談、苦情の内容等について記録し保存する。</t>
    <phoneticPr fontId="17"/>
  </si>
  <si>
    <t>　事業所は、提供した指定通所介護に関し、法第２３条の規定により市区町村が行う文書その他の物件の提供若しくは提示の求め又は当該市区町村から指導又は助言を受けた場合は、当該指導又は助言に従って必要な改善を行うものとする。</t>
  </si>
  <si>
    <t>　事業所は、提供した指定通所介護に係る利用者からの苦情に関して国民健康保険団体連合会の調査に協力すると共に、国民健康保険団体連合会から指導又は助言を受けた場合は、当該指導又は助言に従って必要な改善を行うものとする。</t>
  </si>
  <si>
    <t>（個人情報の保護）</t>
    <phoneticPr fontId="17"/>
  </si>
  <si>
    <t>　事業所は、利用者の個人情報について「個人情報の保護に関する法律」及び厚生労働省が策定した「医療・介護関係事業者における個人情報の適切な取り扱いのためのガイダンス」を遵守し適切な取り扱いに努めるものとする。</t>
    <phoneticPr fontId="17"/>
  </si>
  <si>
    <t>　事業者が得た利用者の個人情報については、事業所での介護サービスの提供以外の目的では原則的に利用しないものとし、外部への情報提供については必要に応じて利用者またはその家族、代理人の了解を得るものとする。</t>
    <phoneticPr fontId="17"/>
  </si>
  <si>
    <t>（虐待防止に関する事項）</t>
    <phoneticPr fontId="17"/>
  </si>
  <si>
    <t>　事業所は、利用者の人権の擁護・虐待の防止のために次の措置を講ずるものとする。</t>
    <phoneticPr fontId="17"/>
  </si>
  <si>
    <t>虐待を防止するための従業者に対する研修の実施</t>
    <rPh sb="0" eb="2">
      <t>ギャクタイ</t>
    </rPh>
    <rPh sb="3" eb="5">
      <t>ボウシ</t>
    </rPh>
    <rPh sb="10" eb="13">
      <t>ジュウギョウシャ</t>
    </rPh>
    <rPh sb="14" eb="15">
      <t>タイ</t>
    </rPh>
    <rPh sb="17" eb="19">
      <t>ケンシュウ</t>
    </rPh>
    <rPh sb="20" eb="22">
      <t>ジッシ</t>
    </rPh>
    <phoneticPr fontId="21"/>
  </si>
  <si>
    <t>利用者及びその家族からの苦情対応体制の整備</t>
    <rPh sb="0" eb="2">
      <t>リヨウ</t>
    </rPh>
    <rPh sb="2" eb="3">
      <t>シャ</t>
    </rPh>
    <rPh sb="3" eb="4">
      <t>オヨ</t>
    </rPh>
    <rPh sb="7" eb="9">
      <t>カゾク</t>
    </rPh>
    <rPh sb="16" eb="18">
      <t>タイセイ</t>
    </rPh>
    <rPh sb="19" eb="21">
      <t>セイビ</t>
    </rPh>
    <phoneticPr fontId="21"/>
  </si>
  <si>
    <t>その他虐待防止のために必要な措置</t>
    <rPh sb="2" eb="3">
      <t>タ</t>
    </rPh>
    <rPh sb="3" eb="5">
      <t>ギャクタイ</t>
    </rPh>
    <rPh sb="5" eb="7">
      <t>ボウシ</t>
    </rPh>
    <rPh sb="11" eb="13">
      <t>ヒツヨウ</t>
    </rPh>
    <rPh sb="14" eb="16">
      <t>ソチ</t>
    </rPh>
    <phoneticPr fontId="20"/>
  </si>
  <si>
    <t>　事業所は、サービス提供中に、当該事業所従業者及び養護者（利用者の家族等高齢者を現に養護する者）による虐待を受けたと思われる利用者を発見した場合は、速やかに、これを市区町村に通報するものとする。</t>
    <phoneticPr fontId="17"/>
  </si>
  <si>
    <t>（身体的拘束等の禁止に関する事項）</t>
    <phoneticPr fontId="17"/>
  </si>
  <si>
    <t>　事業所は、サービス提供にあたり身体的拘束等その他利用者の行動を制限する行為を行わない。但し利用者本人又は他の利用者等の生命又は身体を保護するため緊急やむを得ない場合はこの限りではない。</t>
    <rPh sb="21" eb="22">
      <t>トウ</t>
    </rPh>
    <phoneticPr fontId="17"/>
  </si>
  <si>
    <t>　前項但し書きの規定に基づき身体的拘束等の行為を行った場合には、事業者は、直ちに、その日時、態様、利用者の心身の状況、緊急やむを得なかった理由、当該行為が必要と判断した職員等及び当該行為を行った職員等の氏名その他必要な事項について、サービス提供記録等に記録するものとする。</t>
    <rPh sb="3" eb="4">
      <t>タダ</t>
    </rPh>
    <phoneticPr fontId="17"/>
  </si>
  <si>
    <t>（暴力団排除に関する事項）</t>
    <rPh sb="1" eb="4">
      <t>ボウリョクダン</t>
    </rPh>
    <rPh sb="4" eb="6">
      <t>ハイジョ</t>
    </rPh>
    <rPh sb="7" eb="8">
      <t>カン</t>
    </rPh>
    <rPh sb="10" eb="12">
      <t>ジコウ</t>
    </rPh>
    <phoneticPr fontId="17"/>
  </si>
  <si>
    <t xml:space="preserve">　事業を運営する事業者の役員及び指定通所介護事業所の管理者その他の従業者は、暴力団（暴力団員による不当な行為の防止等に関する法律（平成３年法律第７７号）第２条第６項に規定する暴力団をいう。次項において同じ。）であってはならない。
</t>
    <rPh sb="8" eb="11">
      <t>ジギョウシャ</t>
    </rPh>
    <phoneticPr fontId="17"/>
  </si>
  <si>
    <t>　事業所は、その運営について、暴力団員の支配を受けてはならない。</t>
    <phoneticPr fontId="17"/>
  </si>
  <si>
    <t>　通所介護従業者の質的向上を図るため研修の機会を次のとおり設けるものとし、業務体制を整備する。</t>
  </si>
  <si>
    <t>採用時研修</t>
    <rPh sb="0" eb="3">
      <t>サイヨウジ</t>
    </rPh>
    <rPh sb="3" eb="5">
      <t>ケンシュウ</t>
    </rPh>
    <phoneticPr fontId="21"/>
  </si>
  <si>
    <t>採用後１ヶ月以内</t>
    <rPh sb="0" eb="3">
      <t>サイヨウゴ</t>
    </rPh>
    <rPh sb="5" eb="6">
      <t>ゲツ</t>
    </rPh>
    <rPh sb="6" eb="8">
      <t>イナイ</t>
    </rPh>
    <phoneticPr fontId="21"/>
  </si>
  <si>
    <t>本部全体研修</t>
    <rPh sb="0" eb="2">
      <t>ホンブ</t>
    </rPh>
    <rPh sb="2" eb="4">
      <t>ゼンタイ</t>
    </rPh>
    <rPh sb="4" eb="6">
      <t>ケンシュウ</t>
    </rPh>
    <phoneticPr fontId="21"/>
  </si>
  <si>
    <t>年２回以上</t>
    <rPh sb="0" eb="1">
      <t>ネン</t>
    </rPh>
    <rPh sb="2" eb="3">
      <t>カイ</t>
    </rPh>
    <rPh sb="3" eb="5">
      <t>イジョウ</t>
    </rPh>
    <phoneticPr fontId="21"/>
  </si>
  <si>
    <t>事業所内研修</t>
    <rPh sb="0" eb="3">
      <t>ジギョウショ</t>
    </rPh>
    <rPh sb="3" eb="4">
      <t>ナイ</t>
    </rPh>
    <rPh sb="4" eb="6">
      <t>ケンシュウ</t>
    </rPh>
    <phoneticPr fontId="21"/>
  </si>
  <si>
    <t>年１２回</t>
    <rPh sb="0" eb="1">
      <t>ネン</t>
    </rPh>
    <rPh sb="3" eb="4">
      <t>カイ</t>
    </rPh>
    <phoneticPr fontId="21"/>
  </si>
  <si>
    <t>　事業者は、業務上知り得た利用者又はその家族の秘密を保持する。又、従業者であった者に、業務上知り得た利用者又はその家族の秘密を保持するため、従業者でなくなった後においてもこれらの秘密を保持するべき旨を雇用契約の内容に明記する。</t>
  </si>
  <si>
    <t>　事業所は、この事業を行うため、ケース記録、利用決定調書、利用者負担金徴収簿、その他必要な帳簿を整備し、その完結の日から５年間保存するものとする。</t>
    <phoneticPr fontId="17"/>
  </si>
  <si>
    <t>附　則</t>
    <rPh sb="0" eb="1">
      <t>フ</t>
    </rPh>
    <rPh sb="2" eb="3">
      <t>ノリ</t>
    </rPh>
    <phoneticPr fontId="17"/>
  </si>
  <si>
    <t>この規程は、</t>
    <rPh sb="2" eb="4">
      <t>キテイ</t>
    </rPh>
    <phoneticPr fontId="17"/>
  </si>
  <si>
    <t>から施行する。</t>
    <rPh sb="2" eb="4">
      <t>セコウ</t>
    </rPh>
    <phoneticPr fontId="17"/>
  </si>
  <si>
    <t>　事業所の介護サポートサービス従業者は、要介護状態等の心身の特徴を踏まえて、利用者が可能な限りその居宅において、その有する能力に応じ自立した日常生活を営むことができるよう、更に利用者の社会的孤立感の解消及び心身機能の維持並びに家族の身体的・精神的負担の軽減を図るために、必要な日常生活上の世話及び機能訓練等の介護、その他必要な援助を行います。</t>
  </si>
  <si>
    <t>　事業の実施にあたっては、利用者がお住まいの市区町村、居宅介護支援事業者、在宅介護支援センター、地域包括支援センター、地域の保健・医療・福祉サービスとの綿密な連携を図り、総合的なサービスの提供に努めます。</t>
    <phoneticPr fontId="17"/>
  </si>
  <si>
    <t>介護サポートサービス事業者（法人）の概要</t>
    <phoneticPr fontId="17"/>
  </si>
  <si>
    <t>事業所名称及び所在地</t>
    <rPh sb="7" eb="10">
      <t>ショザイチ</t>
    </rPh>
    <phoneticPr fontId="17"/>
  </si>
  <si>
    <t>（サービスの内容と費用）</t>
    <rPh sb="9" eb="11">
      <t>ヒヨウ</t>
    </rPh>
    <phoneticPr fontId="17"/>
  </si>
  <si>
    <t>おむつ・リハビリパンツ</t>
    <phoneticPr fontId="17"/>
  </si>
  <si>
    <t>夜間サポート
サービス</t>
    <rPh sb="0" eb="1">
      <t>ヨル</t>
    </rPh>
    <rPh sb="1" eb="2">
      <t>アイダ</t>
    </rPh>
    <phoneticPr fontId="17"/>
  </si>
  <si>
    <t>主にご家庭で通院介助ができない場合、代行して通院介助を行います。
※ただし、公共の交通機関もしくは介護タクシーを使用します。（別途、実費相当額を徴収いたします。）</t>
    <phoneticPr fontId="17"/>
  </si>
  <si>
    <t>利用料等のお支払い方法については</t>
    <phoneticPr fontId="17"/>
  </si>
  <si>
    <t>その他のお支払い方法についてはご相談ください。</t>
    <phoneticPr fontId="17"/>
  </si>
  <si>
    <t>サービス内容に関する苦情等相談窓口</t>
    <phoneticPr fontId="17"/>
  </si>
  <si>
    <t>当事業所
お客様
相談窓口</t>
    <rPh sb="0" eb="1">
      <t>トウ</t>
    </rPh>
    <rPh sb="1" eb="4">
      <t>ジギョウショ</t>
    </rPh>
    <rPh sb="6" eb="8">
      <t>キャクサマ</t>
    </rPh>
    <rPh sb="9" eb="11">
      <t>ソウダン</t>
    </rPh>
    <rPh sb="11" eb="13">
      <t>マドグチ</t>
    </rPh>
    <phoneticPr fontId="17"/>
  </si>
  <si>
    <t>　従業者が支援にあたっての悩みや苦労を相談できる体制を整えるほか、従業者が利用者等の権利擁護に取り組める環境の整備に努めます。</t>
    <phoneticPr fontId="17"/>
  </si>
  <si>
    <t>　指定通所介護の提供により、利用者に賠償すべき事故が発生した場合、損害賠償を速やかに行います。</t>
    <phoneticPr fontId="17"/>
  </si>
  <si>
    <t>　事業所は、この事業を行うため、ケース記録、利用決定調書、利用者負担金徴収簿、その他必要な帳簿を整備します。</t>
    <phoneticPr fontId="17"/>
  </si>
  <si>
    <t>介護サポートサービス　運営規程</t>
    <rPh sb="0" eb="2">
      <t>カイゴ</t>
    </rPh>
    <rPh sb="11" eb="13">
      <t>ウンエイ</t>
    </rPh>
    <rPh sb="13" eb="15">
      <t>キテイ</t>
    </rPh>
    <phoneticPr fontId="17"/>
  </si>
  <si>
    <t>　事業所の従業者は、要介護状態等の心身の特徴を踏まえて、利用者が可能な限りその居宅において、その有する能力に応じ自立した日常生活を営むことができるよう、更に利用者の社会的孤立感の解消及び心身機能の維持並びに家族の身体的・精神的負担の軽減を図るために、必要な日常生活上の世話及び機能訓練等の介護、その他必要な援助を行う。</t>
  </si>
  <si>
    <t>　介護サポートサービスの提供に当たっては、懇切丁寧に行うことを旨とし、利用者又はその家族に対し、サービスの提供方法等について、理解しやすいように説明を行い、介護サポートサービスの提供の終了に際しては、利用者又はその家族に対し、適切な指導を行うと共に居宅介護支援事業者への情報の提供を行う。</t>
    <rPh sb="1" eb="3">
      <t>カイゴ</t>
    </rPh>
    <phoneticPr fontId="17"/>
  </si>
  <si>
    <t>　事業に従事する従業者の職種、員数及び職務内容は次のとおりとする。</t>
    <phoneticPr fontId="17"/>
  </si>
  <si>
    <t>夜間帯の夜間サポートサービス従業者（介護職員）</t>
    <rPh sb="0" eb="2">
      <t>ヤカン</t>
    </rPh>
    <rPh sb="2" eb="3">
      <t>タイ</t>
    </rPh>
    <rPh sb="4" eb="6">
      <t>ヤカン</t>
    </rPh>
    <rPh sb="14" eb="17">
      <t>ジュウギョウシャ</t>
    </rPh>
    <rPh sb="18" eb="20">
      <t>カイゴ</t>
    </rPh>
    <rPh sb="20" eb="22">
      <t>ショクイン</t>
    </rPh>
    <phoneticPr fontId="17"/>
  </si>
  <si>
    <t>　夜間サポートサービス利用者の食事準備、食事介助、排泄介助、就寝準備、更衣介助、見守り等生活全般の支援を行う。</t>
    <phoneticPr fontId="17"/>
  </si>
  <si>
    <t>繁忙時間帯</t>
    <rPh sb="0" eb="2">
      <t>ハンボウ</t>
    </rPh>
    <rPh sb="2" eb="4">
      <t>ジカン</t>
    </rPh>
    <rPh sb="4" eb="5">
      <t>タイ</t>
    </rPh>
    <phoneticPr fontId="20"/>
  </si>
  <si>
    <t>夕食及び朝食時間帯等</t>
    <rPh sb="0" eb="1">
      <t>ユウ</t>
    </rPh>
    <rPh sb="1" eb="2">
      <t>ショク</t>
    </rPh>
    <rPh sb="2" eb="3">
      <t>オヨ</t>
    </rPh>
    <rPh sb="4" eb="6">
      <t>チョウショク</t>
    </rPh>
    <rPh sb="6" eb="8">
      <t>ジカン</t>
    </rPh>
    <rPh sb="8" eb="9">
      <t>タイ</t>
    </rPh>
    <rPh sb="9" eb="10">
      <t>トウ</t>
    </rPh>
    <phoneticPr fontId="16"/>
  </si>
  <si>
    <t>職員配置２名以上</t>
    <rPh sb="0" eb="2">
      <t>ショクイン</t>
    </rPh>
    <rPh sb="2" eb="4">
      <t>ハイチ</t>
    </rPh>
    <rPh sb="5" eb="6">
      <t>メイ</t>
    </rPh>
    <rPh sb="6" eb="8">
      <t>イジョウ</t>
    </rPh>
    <phoneticPr fontId="16"/>
  </si>
  <si>
    <t>夜間就寝時間帯</t>
    <rPh sb="0" eb="2">
      <t>ヤカン</t>
    </rPh>
    <rPh sb="2" eb="4">
      <t>シュウシン</t>
    </rPh>
    <rPh sb="4" eb="6">
      <t>ジカン</t>
    </rPh>
    <rPh sb="6" eb="7">
      <t>タイ</t>
    </rPh>
    <phoneticPr fontId="20"/>
  </si>
  <si>
    <t>２０：００～翌朝８：００</t>
    <phoneticPr fontId="17"/>
  </si>
  <si>
    <t>職員配置１名</t>
    <rPh sb="0" eb="2">
      <t>ショクイン</t>
    </rPh>
    <rPh sb="2" eb="4">
      <t>ハイチ</t>
    </rPh>
    <rPh sb="5" eb="6">
      <t>メイ</t>
    </rPh>
    <phoneticPr fontId="16"/>
  </si>
  <si>
    <t>夜間帯の夜間サポートサービス以外の従業者</t>
    <rPh sb="4" eb="6">
      <t>ヤカン</t>
    </rPh>
    <phoneticPr fontId="17"/>
  </si>
  <si>
    <t>　介護保険サービス提供時間前後のサービス、付き添いサービスを提供する。</t>
    <rPh sb="21" eb="22">
      <t>ツ</t>
    </rPh>
    <rPh sb="23" eb="24">
      <t>ソ</t>
    </rPh>
    <phoneticPr fontId="17"/>
  </si>
  <si>
    <t>管理者</t>
    <rPh sb="0" eb="3">
      <t>カンリシャ</t>
    </rPh>
    <phoneticPr fontId="20"/>
  </si>
  <si>
    <t>１名</t>
    <phoneticPr fontId="17"/>
  </si>
  <si>
    <t>　事業所の従業者の管理及び業務の管理を一元的に行う。</t>
    <phoneticPr fontId="17"/>
  </si>
  <si>
    <t>　介護サポートサービスの営業日及び営業時間は、次のとおりとする。</t>
    <rPh sb="1" eb="3">
      <t>カイゴ</t>
    </rPh>
    <phoneticPr fontId="17"/>
  </si>
  <si>
    <t>※夜間帯の時間外サービス</t>
    <rPh sb="1" eb="3">
      <t>ヤカン</t>
    </rPh>
    <rPh sb="3" eb="4">
      <t>タイ</t>
    </rPh>
    <rPh sb="5" eb="8">
      <t>ジカンガイ</t>
    </rPh>
    <phoneticPr fontId="16"/>
  </si>
  <si>
    <t>　介護サポートサービスの利用者の定員は、下記のとおりとする。</t>
    <phoneticPr fontId="17"/>
  </si>
  <si>
    <t>夜間サポートサービス</t>
    <rPh sb="0" eb="2">
      <t>ヤカン</t>
    </rPh>
    <phoneticPr fontId="17"/>
  </si>
  <si>
    <t>その他のサービス</t>
    <rPh sb="2" eb="3">
      <t>タ</t>
    </rPh>
    <phoneticPr fontId="17"/>
  </si>
  <si>
    <t>通所介護の利用定員まで</t>
    <rPh sb="0" eb="2">
      <t>ツウショ</t>
    </rPh>
    <rPh sb="2" eb="4">
      <t>カイゴ</t>
    </rPh>
    <rPh sb="5" eb="7">
      <t>リヨウ</t>
    </rPh>
    <rPh sb="7" eb="9">
      <t>テイイン</t>
    </rPh>
    <phoneticPr fontId="17"/>
  </si>
  <si>
    <t>（介護サポートサービスの提供方法、内容）</t>
    <phoneticPr fontId="17"/>
  </si>
  <si>
    <t>　介護サポートサービスの内容は、次に掲げるサービスから利用者が選定したサービスを提供する。</t>
    <phoneticPr fontId="17"/>
  </si>
  <si>
    <t>介護</t>
    <rPh sb="0" eb="2">
      <t>カイゴ</t>
    </rPh>
    <phoneticPr fontId="17"/>
  </si>
  <si>
    <t>　事業者は、利用者の心身の状況に応じ、利用者の自立の支援と日常生活の充実に資するよう、適切な技術をもって介護を行う。</t>
    <phoneticPr fontId="17"/>
  </si>
  <si>
    <t>　事業者は、利用者の心身の状況に応じ、適切な方法により、排泄の自立について必要な援助を行う。</t>
    <phoneticPr fontId="17"/>
  </si>
  <si>
    <t>　事業者は、おむつを使用せざるを得ない利用者のおむつを適切に取り換える。</t>
    <phoneticPr fontId="17"/>
  </si>
  <si>
    <t>　事業者は、夜間サポートサービスを利用される利用者の見守り及び巡回を１時間に１回程度実施する。</t>
    <rPh sb="6" eb="8">
      <t>ヤカン</t>
    </rPh>
    <rPh sb="17" eb="19">
      <t>リヨウ</t>
    </rPh>
    <rPh sb="22" eb="25">
      <t>リヨウシャ</t>
    </rPh>
    <rPh sb="26" eb="28">
      <t>ミマモ</t>
    </rPh>
    <rPh sb="29" eb="30">
      <t>オヨ</t>
    </rPh>
    <rPh sb="31" eb="33">
      <t>ジュンカイ</t>
    </rPh>
    <rPh sb="35" eb="37">
      <t>ジカン</t>
    </rPh>
    <rPh sb="39" eb="40">
      <t>カイ</t>
    </rPh>
    <rPh sb="40" eb="42">
      <t>テイド</t>
    </rPh>
    <rPh sb="42" eb="44">
      <t>ジッシ</t>
    </rPh>
    <phoneticPr fontId="17"/>
  </si>
  <si>
    <t>　事業者は、①から④までに定めるほか、利用者に対し、離床、着替え、整容その他日常生活上の支援を適切に行う。</t>
    <phoneticPr fontId="17"/>
  </si>
  <si>
    <t>　事業者は、栄養並びに利用者の心身の状況及び嗜好を考慮した食事を適切な時間に提供する。</t>
    <phoneticPr fontId="17"/>
  </si>
  <si>
    <t>　事業者は、利用者が適切な場所で食事を摂ることを支援する。</t>
    <phoneticPr fontId="17"/>
  </si>
  <si>
    <t>健康への配慮</t>
    <phoneticPr fontId="17"/>
  </si>
  <si>
    <t>　事業者は、指定通所介護事業所において把握している利用者の健康に資する情報に基づき、必要に応じて主治医や居宅介護支援事業所等と連携し、常に利用者の状況に配慮して適切なサービスを提供する。</t>
    <phoneticPr fontId="17"/>
  </si>
  <si>
    <t>相談及び援助</t>
    <phoneticPr fontId="17"/>
  </si>
  <si>
    <t>　事業者は、指定通所介護事業所において把握している利用者の健康に資する情報に基づき、必要に応じて主治医や居宅介護支援事業所等と連携し、常に利用者の状況に配慮して適切な介護サポートサービスを提供する。</t>
    <rPh sb="83" eb="85">
      <t>カイゴ</t>
    </rPh>
    <phoneticPr fontId="17"/>
  </si>
  <si>
    <t>　介護サポートサービスの内、指定通所介護サービス提供時間帯に提供する場合は、介護保険サービスの提供に支障がないよう留意する。</t>
    <phoneticPr fontId="17"/>
  </si>
  <si>
    <t>（介護保険外サービス計画の作成等）</t>
    <phoneticPr fontId="17"/>
  </si>
  <si>
    <t>　介護サポートサービスの提供を開始する際には、利用者の心身の状況、希望及びその置かれている状況並びに家族等介護者の状況を十分把握し、計画を作成する。又、既に居宅サービス計画が作成されている場合は、その内容に沿った介護保険外サービス計画を作成する。</t>
  </si>
  <si>
    <t>　利用者に対し、介護保険外サービス計画に基づいて各種サービスを提供するとともに、継続的なサービスの管理、評価を行う。</t>
  </si>
  <si>
    <t>（勤務体制の確保）</t>
    <phoneticPr fontId="17"/>
  </si>
  <si>
    <t>　事業者は、利用者に対し適切なサービスを提供できるよう、従業者の勤務体制を定めておく。</t>
    <phoneticPr fontId="17"/>
  </si>
  <si>
    <t>　事業者は、当該従業者によってサービスを提供する。ただし、利用者の処遇に直接影響を及ぼさない業務については、この限りではない。</t>
    <phoneticPr fontId="17"/>
  </si>
  <si>
    <t>　事業者は、介護サポートサービスを提供した際には、提供日、提供した具体的な内容及び利用者の心身の状況その他必要な事項を記録するとともに、利用者から申し出があった場合には、文書の交付その他適切な方法により、その情報を提供する。</t>
    <phoneticPr fontId="17"/>
  </si>
  <si>
    <t>（介護サポートサービスの利用料等及び支払いの方法）</t>
    <phoneticPr fontId="17"/>
  </si>
  <si>
    <t>１</t>
    <phoneticPr fontId="17"/>
  </si>
  <si>
    <t>　食事の提供に要する費用については、以下の通り徴収する。</t>
    <rPh sb="18" eb="20">
      <t>イカ</t>
    </rPh>
    <rPh sb="21" eb="22">
      <t>トオ</t>
    </rPh>
    <phoneticPr fontId="17"/>
  </si>
  <si>
    <t>５</t>
  </si>
  <si>
    <t>６</t>
  </si>
  <si>
    <t>　その他、介護サポートサービスにおいて提供される便宜のうち、日常生活においても通常必要となるものに係る費用で、利用者が負担することが適当と認められる費用については、実費を徴収する。</t>
    <phoneticPr fontId="17"/>
  </si>
  <si>
    <t>７</t>
  </si>
  <si>
    <t>　介護サポートサービスの提供の開始に際し、あらかじめ利用者又はその家族に対し、利用料並びにその他の費用の内容及び金額に関し事前に説明した上で、支払に関する同意を得る。</t>
    <phoneticPr fontId="17"/>
  </si>
  <si>
    <t>　介護サポートサービスの利用者は、事業所の定める期日に、別途契約書で指定する方法により利用料等を納入することとする。</t>
    <phoneticPr fontId="17"/>
  </si>
  <si>
    <t>　事業の実施地域は当該指定通所介護事業所に準じるが、可能な限り柔軟に対応する。</t>
    <phoneticPr fontId="17"/>
  </si>
  <si>
    <t>　介護サポートサービスの提供を開始するにあたって、本規程に沿った事業内容の詳細について、利用者に契約書の書面をもって説明し、同意を得た上で署名（記名押印）を受けることとする。</t>
    <phoneticPr fontId="17"/>
  </si>
  <si>
    <t>　従業者は、介護サポートサービスを実施中に利用者の病状等に急変、その他緊急事態が生じたときは、速やかに主治医に連絡する等の措置を講ずると共に、管理者及び主治医に報告し、その指示に従って適切に対応しなければならない。主治医への連絡が困難な場合は、緊急搬送等の必要な措置を講じるものとする。</t>
    <rPh sb="2" eb="3">
      <t>ギョウ</t>
    </rPh>
    <phoneticPr fontId="17"/>
  </si>
  <si>
    <t>　介護サポートサービスを実施中に天災その他の災害が発生した場合、利用者の避難等の措置を講ずるほか、管理者に連絡の上その指示に従うものとする。</t>
    <phoneticPr fontId="17"/>
  </si>
  <si>
    <t>　利用者に対する介護サポートサービスの提供により事故が発生した場合は、市区町村、利用者の家族、関連機関等に連絡すると共に必要な措置を講じるものとする。又、事故の状況及び事故に際して採った処置について記録すること。</t>
  </si>
  <si>
    <t>　利用者に対する介護サポートサービスの提供により賠償すべき事故が発生した場合に備え、損害保険に加入し速やかに対応を行う。</t>
    <phoneticPr fontId="17"/>
  </si>
  <si>
    <t>　事業者は、非常災害に備えるため、消防計画・非常災害時マニュアルに準じて避難訓練等を次の通り行うと共に必要な設備を備える。</t>
    <rPh sb="1" eb="4">
      <t>ジギョウシャ</t>
    </rPh>
    <rPh sb="33" eb="34">
      <t>ジュン</t>
    </rPh>
    <phoneticPr fontId="17"/>
  </si>
  <si>
    <t>夜間想定避難誘導訓練</t>
    <rPh sb="0" eb="2">
      <t>ヤカン</t>
    </rPh>
    <rPh sb="2" eb="4">
      <t>ソウテイ</t>
    </rPh>
    <rPh sb="4" eb="6">
      <t>ヒナン</t>
    </rPh>
    <rPh sb="6" eb="8">
      <t>ユウドウ</t>
    </rPh>
    <rPh sb="8" eb="10">
      <t>クンレン</t>
    </rPh>
    <phoneticPr fontId="48"/>
  </si>
  <si>
    <t>（苦情対応）</t>
  </si>
  <si>
    <t>　介護サポートサービスの提供に係る利用者及びその家族からの苦情に迅速かつ適切に対応するため、担当窓口を置き、事実関係調査を実施し、改善措置を講じる。</t>
    <rPh sb="1" eb="3">
      <t>カイゴ</t>
    </rPh>
    <rPh sb="12" eb="14">
      <t>テイキョウ</t>
    </rPh>
    <phoneticPr fontId="17"/>
  </si>
  <si>
    <t>　事業者は、苦情を受け付けた場合には、当該苦情の内容等を記録する。</t>
    <phoneticPr fontId="17"/>
  </si>
  <si>
    <t>　介護サポートサービスに使用する備品等は清潔に保持し、定期的な消毒を施すなど常に衛生管理に十分留意するものとする。</t>
    <phoneticPr fontId="17"/>
  </si>
  <si>
    <t>　従業者に対し感染症等に関する基礎知識の習得に努めると共に、年１回以上の健康診断を受診させるものとする。</t>
  </si>
  <si>
    <t>　利用者は介護サポートサービスの提供を受ける際には、主治医の診断や日常生活上の留意事項、利用当日の健康状態等を従業者に連絡し、心身の状況に応じたサービスの提供を受けるよう留意する。</t>
    <phoneticPr fontId="17"/>
  </si>
  <si>
    <t>　事業者は、利用者の個人情報について「個人情報の保護に関する法律」及び厚生労働省が策定した「医療・介護関係事業者における個人情報の適切な取り扱いのためのガイドライン」を遵守し適切な取り扱いに努めるものとする。</t>
    <phoneticPr fontId="17"/>
  </si>
  <si>
    <t>　事業者が得た利用者の個人情報については、事業所での介護サポートサービスの提供以外の目的では原則的に利用しないものとし、外部への情報提供については必要に応じて利用者またはその家族、代理人の了解を得るものとする。</t>
    <phoneticPr fontId="17"/>
  </si>
  <si>
    <t>（秘密保持等の体制）</t>
    <phoneticPr fontId="17"/>
  </si>
  <si>
    <t>　従業者は、正当な理由なく、その業務上知り得た利用者又はその家族の秘密を漏らさないものとする。</t>
    <phoneticPr fontId="17"/>
  </si>
  <si>
    <t>　事業者は、介護サポートサービス従業者であった者が、正当な理由がなく、業務上知り得た利用者又はその家族の秘密を漏らすことがないよう、必要な措置を講じる。</t>
    <phoneticPr fontId="17"/>
  </si>
  <si>
    <t>　事業者は、指定居宅介護支援事業者等との連携において、事業所における利用者の個人の情報を用いる場合は利用者の同意を、利用者の家族の個人情報を用いる場合は当該家族の同意をあらかじめ文書により得ておく。</t>
    <phoneticPr fontId="17"/>
  </si>
  <si>
    <t>（虐待防止のために必要な措置）</t>
    <phoneticPr fontId="17"/>
  </si>
  <si>
    <t>　事業者は、介護サポートサービス提供中に、当該従業者及び養護者（利用者の家族等高齢者を現に養護する者）による虐待を受けたと思われる利用者を発見した場合は、速やかに、これを市区町村に通報するものとする。</t>
    <phoneticPr fontId="17"/>
  </si>
  <si>
    <t>（掲示）</t>
    <rPh sb="1" eb="3">
      <t>ケイジ</t>
    </rPh>
    <phoneticPr fontId="17"/>
  </si>
  <si>
    <t>　事業者は、当該介護サポートサービス事業所の見えやすい場所に、本規程の概要、責任者の氏名、従業者等の勤務の体制、苦情対応の概要その他、利用申込者のサービスの選択に資すると認められる重要事項を掲示する。</t>
  </si>
  <si>
    <t>第２３条</t>
    <phoneticPr fontId="17"/>
  </si>
  <si>
    <t>　従業者の質的向上を図るため研修の機会を設けるものとし、業務体制を整備する。</t>
  </si>
  <si>
    <t>　事業者は、この事業を行うため、ケース記録、利用者負担金徴収簿、その他必要な帳簿を整備し、その完結の日から５年間保存するものとする。</t>
    <phoneticPr fontId="17"/>
  </si>
  <si>
    <t>　事業所は、当該事業所について広告をする場合においては、その内容に虚偽又は誇大なものとしない。</t>
    <phoneticPr fontId="17"/>
  </si>
  <si>
    <t>　事業者は利用者の心身の状況を踏まえ、妥当かつ適切なサービスが行われているかどうかを確認するために都道府県及び市町村が行う調査に協力するとともに、指導又は助言を受けた場合には必要な改善を行う。</t>
    <phoneticPr fontId="17"/>
  </si>
  <si>
    <t>個人情報に関する基本方針</t>
    <rPh sb="0" eb="2">
      <t>コジン</t>
    </rPh>
    <rPh sb="2" eb="4">
      <t>ジョウホウ</t>
    </rPh>
    <rPh sb="5" eb="6">
      <t>カン</t>
    </rPh>
    <rPh sb="8" eb="10">
      <t>キホン</t>
    </rPh>
    <rPh sb="10" eb="12">
      <t>ホウシン</t>
    </rPh>
    <phoneticPr fontId="51"/>
  </si>
  <si>
    <t>　事業者が、保有する利用者等の個人情報に関し、適正かつ適切な取り扱いに努力すると共に、広く社会からの信頼を得る為に、自主的なルール及び体制を確立し、秘密保持及び、個人情報の保護を図ることをここに宣言します。</t>
  </si>
  <si>
    <t>秘密保持等の体制及び個人情報に関する基本方針</t>
    <phoneticPr fontId="17"/>
  </si>
  <si>
    <t>《秘密保持等の体制》</t>
    <phoneticPr fontId="17"/>
  </si>
  <si>
    <t>（１）</t>
    <phoneticPr fontId="15"/>
  </si>
  <si>
    <t>事業者及びその従業者は、正当な理由なく、その業務上知り得た利用者またはその家族の秘密を漏らしません。</t>
    <phoneticPr fontId="17"/>
  </si>
  <si>
    <t>　　　　</t>
    <phoneticPr fontId="17"/>
  </si>
  <si>
    <t>（２）</t>
    <phoneticPr fontId="15"/>
  </si>
  <si>
    <t>事業者は、従業者であった者が、正当な理由なく、業務上知り得た利用者、またはその家族の秘密を漏らすことがないよう、必要な措置を講じます。</t>
    <phoneticPr fontId="17"/>
  </si>
  <si>
    <t>（３）</t>
    <phoneticPr fontId="15"/>
  </si>
  <si>
    <t>《個人情報に関する基本方針》</t>
    <rPh sb="6" eb="7">
      <t>カン</t>
    </rPh>
    <rPh sb="9" eb="11">
      <t>キホン</t>
    </rPh>
    <rPh sb="11" eb="13">
      <t>ホウシン</t>
    </rPh>
    <phoneticPr fontId="15"/>
  </si>
  <si>
    <t>　事業者は、保有する利用者等の個人情報に関し、適正かつ適切な取扱いに努力するとともに、広く社会からの信頼を得る為に以下のルール及び体制を確立し、個人情報に関連する法令、その他関係法令及び厚生労働省のガイドラインを遵守し、個人情報の保護を図ります。</t>
    <rPh sb="1" eb="4">
      <t>ジギョウシャ</t>
    </rPh>
    <rPh sb="45" eb="47">
      <t>シャカイ</t>
    </rPh>
    <phoneticPr fontId="15"/>
  </si>
  <si>
    <t>個人情報の取得にあたり、利用目的を明示した上で、必要な範囲の情報を取得し、利用目的を通知または公表し、その範囲内で利用することとします。</t>
    <phoneticPr fontId="17"/>
  </si>
  <si>
    <t>個人情報の取得・利用・第三者提供にあたり、本人の同意を得ることとします。</t>
    <phoneticPr fontId="17"/>
  </si>
  <si>
    <t>③</t>
    <phoneticPr fontId="15"/>
  </si>
  <si>
    <t>事業者が依託をする医療・介護関係事業者は、業務の委託にあたり、個人情報保護法と厚生労働省ガイドラインの趣旨を理解し、それに沿った対応を行う事業者を選定し、かつ個人情報に関わる契約を締結した上で情報提供し、委託先への適切な監督をすることとします。</t>
    <phoneticPr fontId="17"/>
  </si>
  <si>
    <t>①</t>
    <phoneticPr fontId="15"/>
  </si>
  <si>
    <t>事業者は、個人情報保護の取組みを全役職員等に周知徹底させるために、個人情報に関する規則類を整備し、必要な教育を継続的に行うこと。</t>
    <phoneticPr fontId="17"/>
  </si>
  <si>
    <t>　　　　</t>
    <phoneticPr fontId="15"/>
  </si>
  <si>
    <t>個人情報への不正アクセス、個人情報の漏洩、滅失、または棄損の予防及び訂正のため、事業所内において規則類を整備し安全対策に努めることとします。</t>
    <phoneticPr fontId="17"/>
  </si>
  <si>
    <t>事業者は、本人が自己の個人情報について、開示・訂正・更新・利用停止・削除・第三者提供の停止等の申し出がある場合には、速やかに対応することとします。</t>
    <phoneticPr fontId="17"/>
  </si>
  <si>
    <t>　　　</t>
    <phoneticPr fontId="15"/>
  </si>
  <si>
    <t>事業者は、個人情報取扱に関する苦情に対し、適切かつ迅速に対応することとします。</t>
    <phoneticPr fontId="17"/>
  </si>
  <si>
    <t>《個人情報の利用目的》</t>
    <phoneticPr fontId="17"/>
  </si>
  <si>
    <t>　　事業者が利用者及びその家族の個人情報を利用する目的は以下の通りとします。</t>
    <rPh sb="2" eb="5">
      <t>ジギョウシャ</t>
    </rPh>
    <phoneticPr fontId="15"/>
  </si>
  <si>
    <t>事業者</t>
    <phoneticPr fontId="17"/>
  </si>
  <si>
    <t>運 行 記 録 簿</t>
    <rPh sb="0" eb="1">
      <t>ウン</t>
    </rPh>
    <rPh sb="2" eb="3">
      <t>ギョウ</t>
    </rPh>
    <rPh sb="4" eb="5">
      <t>キ</t>
    </rPh>
    <rPh sb="6" eb="7">
      <t>ロク</t>
    </rPh>
    <rPh sb="8" eb="9">
      <t>ボ</t>
    </rPh>
    <phoneticPr fontId="12"/>
  </si>
  <si>
    <t>月分</t>
    <rPh sb="0" eb="1">
      <t>ガツ</t>
    </rPh>
    <rPh sb="1" eb="2">
      <t>ブン</t>
    </rPh>
    <phoneticPr fontId="12"/>
  </si>
  <si>
    <t>日時</t>
    <rPh sb="0" eb="2">
      <t>ニチジ</t>
    </rPh>
    <phoneticPr fontId="12"/>
  </si>
  <si>
    <t>曜</t>
    <rPh sb="0" eb="1">
      <t>ヒカリ</t>
    </rPh>
    <phoneticPr fontId="12"/>
  </si>
  <si>
    <t>出発時間</t>
    <rPh sb="0" eb="2">
      <t>シュッパツ</t>
    </rPh>
    <rPh sb="2" eb="4">
      <t>ジカン</t>
    </rPh>
    <phoneticPr fontId="12"/>
  </si>
  <si>
    <t>到着時間</t>
    <rPh sb="0" eb="2">
      <t>トウチャク</t>
    </rPh>
    <rPh sb="2" eb="4">
      <t>ジカン</t>
    </rPh>
    <phoneticPr fontId="12"/>
  </si>
  <si>
    <t>出発(ﾒｰﾀｰ)</t>
    <rPh sb="0" eb="2">
      <t>シュッパツ</t>
    </rPh>
    <phoneticPr fontId="12"/>
  </si>
  <si>
    <t>到着(ﾒｰﾀｰ)</t>
    <rPh sb="0" eb="2">
      <t>トウチャク</t>
    </rPh>
    <phoneticPr fontId="12"/>
  </si>
  <si>
    <t>合計送迎者数</t>
    <rPh sb="0" eb="2">
      <t>ゴウケイ</t>
    </rPh>
    <rPh sb="2" eb="5">
      <t>ソウゲイシャ</t>
    </rPh>
    <rPh sb="5" eb="6">
      <t>スウ</t>
    </rPh>
    <phoneticPr fontId="12"/>
  </si>
  <si>
    <t>運転手名</t>
    <rPh sb="0" eb="3">
      <t>ウンテンシュ</t>
    </rPh>
    <rPh sb="3" eb="4">
      <t>メイ</t>
    </rPh>
    <phoneticPr fontId="12"/>
  </si>
  <si>
    <t>：</t>
    <phoneticPr fontId="12"/>
  </si>
  <si>
    <t>Km</t>
    <phoneticPr fontId="12"/>
  </si>
  <si>
    <t>人</t>
    <rPh sb="0" eb="1">
      <t>ニン</t>
    </rPh>
    <phoneticPr fontId="12"/>
  </si>
  <si>
    <t>送迎記録</t>
    <rPh sb="0" eb="2">
      <t>ソウゲイ</t>
    </rPh>
    <rPh sb="2" eb="4">
      <t>キロク</t>
    </rPh>
    <phoneticPr fontId="12"/>
  </si>
  <si>
    <t>№</t>
    <phoneticPr fontId="12"/>
  </si>
  <si>
    <t>日付</t>
    <rPh sb="0" eb="2">
      <t>ヒヅケ</t>
    </rPh>
    <phoneticPr fontId="12"/>
  </si>
  <si>
    <t>迎え</t>
    <phoneticPr fontId="12"/>
  </si>
  <si>
    <t>送り</t>
    <rPh sb="0" eb="1">
      <t>オク</t>
    </rPh>
    <phoneticPr fontId="12"/>
  </si>
  <si>
    <t>利用者氏名</t>
    <rPh sb="0" eb="3">
      <t>リヨウシャ</t>
    </rPh>
    <rPh sb="3" eb="5">
      <t>シメイ</t>
    </rPh>
    <phoneticPr fontId="12"/>
  </si>
  <si>
    <t>迎え担当者名</t>
    <phoneticPr fontId="12"/>
  </si>
  <si>
    <t>資格</t>
    <rPh sb="0" eb="2">
      <t>シカク</t>
    </rPh>
    <phoneticPr fontId="12"/>
  </si>
  <si>
    <t>送り担当者名</t>
    <phoneticPr fontId="12"/>
  </si>
  <si>
    <t>居宅内介助</t>
    <rPh sb="0" eb="2">
      <t>キョタク</t>
    </rPh>
    <rPh sb="2" eb="3">
      <t>ナイ</t>
    </rPh>
    <rPh sb="3" eb="5">
      <t>カイジョ</t>
    </rPh>
    <phoneticPr fontId="12"/>
  </si>
  <si>
    <t>1/1</t>
    <phoneticPr fontId="13"/>
  </si>
  <si>
    <t>105010701_001_150801</t>
  </si>
  <si>
    <t>介護経過表</t>
    <rPh sb="0" eb="1">
      <t>スケ</t>
    </rPh>
    <rPh sb="1" eb="2">
      <t>マモル</t>
    </rPh>
    <rPh sb="2" eb="3">
      <t>ヘ</t>
    </rPh>
    <rPh sb="3" eb="4">
      <t>カ</t>
    </rPh>
    <rPh sb="4" eb="5">
      <t>ヒョウ</t>
    </rPh>
    <phoneticPr fontId="12"/>
  </si>
  <si>
    <t>氏名：</t>
    <rPh sb="0" eb="2">
      <t>シメイ</t>
    </rPh>
    <phoneticPr fontId="12"/>
  </si>
  <si>
    <t>様</t>
    <rPh sb="0" eb="1">
      <t>サマ</t>
    </rPh>
    <phoneticPr fontId="12"/>
  </si>
  <si>
    <t>出力ご利用者様番号</t>
    <rPh sb="0" eb="2">
      <t>シュツリョク</t>
    </rPh>
    <rPh sb="3" eb="5">
      <t>リヨウ</t>
    </rPh>
    <rPh sb="5" eb="7">
      <t>シャサマ</t>
    </rPh>
    <rPh sb="7" eb="9">
      <t>バンゴウ</t>
    </rPh>
    <phoneticPr fontId="17"/>
  </si>
  <si>
    <t>※ご利用者様名の左にある数字を入力してください</t>
    <rPh sb="2" eb="4">
      <t>リヨウ</t>
    </rPh>
    <rPh sb="4" eb="6">
      <t>シャサマ</t>
    </rPh>
    <rPh sb="6" eb="7">
      <t>メイ</t>
    </rPh>
    <rPh sb="8" eb="9">
      <t>ヒダリ</t>
    </rPh>
    <rPh sb="12" eb="14">
      <t>スウジ</t>
    </rPh>
    <rPh sb="15" eb="17">
      <t>ニュウリョク</t>
    </rPh>
    <phoneticPr fontId="17"/>
  </si>
  <si>
    <t>利用状況</t>
    <rPh sb="0" eb="2">
      <t>リヨウ</t>
    </rPh>
    <rPh sb="2" eb="4">
      <t>ジョウキョウ</t>
    </rPh>
    <phoneticPr fontId="12"/>
  </si>
  <si>
    <t>利用</t>
    <rPh sb="0" eb="2">
      <t>リヨウ</t>
    </rPh>
    <phoneticPr fontId="12"/>
  </si>
  <si>
    <t>・</t>
  </si>
  <si>
    <t>キャンセル</t>
  </si>
  <si>
    <t>送迎状況</t>
    <rPh sb="0" eb="2">
      <t>ソウゲイ</t>
    </rPh>
    <rPh sb="2" eb="4">
      <t>ジョウキョウ</t>
    </rPh>
    <phoneticPr fontId="12"/>
  </si>
  <si>
    <t>送り</t>
    <rPh sb="0" eb="1">
      <t>オク</t>
    </rPh>
    <phoneticPr fontId="51"/>
  </si>
  <si>
    <t>有・Fa・無</t>
    <rPh sb="0" eb="1">
      <t>ア</t>
    </rPh>
    <rPh sb="5" eb="6">
      <t>ナ</t>
    </rPh>
    <phoneticPr fontId="51"/>
  </si>
  <si>
    <t>迎え</t>
    <rPh sb="0" eb="1">
      <t>ムカ</t>
    </rPh>
    <phoneticPr fontId="51"/>
  </si>
  <si>
    <t>該当日</t>
    <rPh sb="0" eb="2">
      <t>ガイトウ</t>
    </rPh>
    <rPh sb="2" eb="3">
      <t>ビ</t>
    </rPh>
    <phoneticPr fontId="17"/>
  </si>
  <si>
    <t>到着時バイタル</t>
    <rPh sb="0" eb="2">
      <t>トウチャク</t>
    </rPh>
    <rPh sb="2" eb="3">
      <t>ジ</t>
    </rPh>
    <phoneticPr fontId="12"/>
  </si>
  <si>
    <t>入浴実施時間</t>
    <rPh sb="0" eb="2">
      <t>ニュウヨク</t>
    </rPh>
    <rPh sb="2" eb="4">
      <t>ジッシ</t>
    </rPh>
    <rPh sb="4" eb="6">
      <t>ジカン</t>
    </rPh>
    <phoneticPr fontId="12"/>
  </si>
  <si>
    <t>入浴前バイタル</t>
    <rPh sb="0" eb="2">
      <t>ニュウヨク</t>
    </rPh>
    <rPh sb="2" eb="3">
      <t>マエ</t>
    </rPh>
    <phoneticPr fontId="12"/>
  </si>
  <si>
    <r>
      <t>活動内容</t>
    </r>
    <r>
      <rPr>
        <sz val="9"/>
        <rFont val="ＭＳ 明朝"/>
        <family val="1"/>
        <charset val="128"/>
      </rPr>
      <t>　（中止の場合には、中止理由）</t>
    </r>
    <rPh sb="0" eb="2">
      <t>カツドウ</t>
    </rPh>
    <rPh sb="2" eb="4">
      <t>ナイヨウ</t>
    </rPh>
    <rPh sb="6" eb="8">
      <t>チュウシ</t>
    </rPh>
    <rPh sb="9" eb="11">
      <t>バアイ</t>
    </rPh>
    <rPh sb="14" eb="16">
      <t>チュウシ</t>
    </rPh>
    <rPh sb="16" eb="18">
      <t>リユウ</t>
    </rPh>
    <phoneticPr fontId="12"/>
  </si>
  <si>
    <t>血圧</t>
    <rPh sb="0" eb="2">
      <t>ケツアツ</t>
    </rPh>
    <phoneticPr fontId="12"/>
  </si>
  <si>
    <t>/</t>
  </si>
  <si>
    <t>：</t>
  </si>
  <si>
    <t>脈</t>
    <rPh sb="0" eb="1">
      <t>ミャク</t>
    </rPh>
    <phoneticPr fontId="12"/>
  </si>
  <si>
    <t>※中止理由</t>
    <rPh sb="1" eb="3">
      <t>チュウシ</t>
    </rPh>
    <rPh sb="3" eb="5">
      <t>リユウ</t>
    </rPh>
    <phoneticPr fontId="12"/>
  </si>
  <si>
    <t>特変内容</t>
    <rPh sb="0" eb="1">
      <t>トク</t>
    </rPh>
    <rPh sb="1" eb="2">
      <t>ヘン</t>
    </rPh>
    <rPh sb="2" eb="4">
      <t>ナイヨウ</t>
    </rPh>
    <phoneticPr fontId="12"/>
  </si>
  <si>
    <t>体温</t>
    <rPh sb="0" eb="2">
      <t>タイオン</t>
    </rPh>
    <phoneticPr fontId="12"/>
  </si>
  <si>
    <t>℃</t>
  </si>
  <si>
    <t>食事提供</t>
    <rPh sb="0" eb="2">
      <t>ショクジ</t>
    </rPh>
    <rPh sb="2" eb="4">
      <t>テイキョウ</t>
    </rPh>
    <phoneticPr fontId="12"/>
  </si>
  <si>
    <t>夕食</t>
    <rPh sb="0" eb="2">
      <t>ユウショク</t>
    </rPh>
    <phoneticPr fontId="12"/>
  </si>
  <si>
    <t>服　薬</t>
    <rPh sb="0" eb="1">
      <t>フク</t>
    </rPh>
    <rPh sb="2" eb="3">
      <t>クスリ</t>
    </rPh>
    <phoneticPr fontId="12"/>
  </si>
  <si>
    <t>朝食前</t>
    <rPh sb="0" eb="2">
      <t>チョウショク</t>
    </rPh>
    <rPh sb="2" eb="3">
      <t>マエ</t>
    </rPh>
    <phoneticPr fontId="17"/>
  </si>
  <si>
    <t>朝食後</t>
    <rPh sb="0" eb="2">
      <t>チョウショク</t>
    </rPh>
    <rPh sb="2" eb="3">
      <t>ゴ</t>
    </rPh>
    <phoneticPr fontId="17"/>
  </si>
  <si>
    <t>昼食前</t>
    <rPh sb="0" eb="2">
      <t>チュウショク</t>
    </rPh>
    <rPh sb="2" eb="3">
      <t>マエ</t>
    </rPh>
    <phoneticPr fontId="17"/>
  </si>
  <si>
    <t>昼食後</t>
    <rPh sb="0" eb="3">
      <t>チュウショクゴゴ</t>
    </rPh>
    <phoneticPr fontId="17"/>
  </si>
  <si>
    <t>夕食前</t>
    <rPh sb="0" eb="2">
      <t>ユウショク</t>
    </rPh>
    <rPh sb="2" eb="3">
      <t>マエ</t>
    </rPh>
    <phoneticPr fontId="17"/>
  </si>
  <si>
    <t>夕食後</t>
    <rPh sb="0" eb="3">
      <t>ユウショクゴゴ</t>
    </rPh>
    <phoneticPr fontId="17"/>
  </si>
  <si>
    <t>延長加算算定時間</t>
    <rPh sb="0" eb="2">
      <t>エンチョウ</t>
    </rPh>
    <rPh sb="2" eb="4">
      <t>カサン</t>
    </rPh>
    <rPh sb="4" eb="6">
      <t>サンテイ</t>
    </rPh>
    <rPh sb="6" eb="8">
      <t>ジカン</t>
    </rPh>
    <phoneticPr fontId="17"/>
  </si>
  <si>
    <t>時間</t>
    <rPh sb="0" eb="2">
      <t>ジカン</t>
    </rPh>
    <phoneticPr fontId="12"/>
  </si>
  <si>
    <t>居宅内介助</t>
    <rPh sb="0" eb="2">
      <t>キョタク</t>
    </rPh>
    <rPh sb="2" eb="3">
      <t>ナイ</t>
    </rPh>
    <rPh sb="3" eb="5">
      <t>カイジョ</t>
    </rPh>
    <phoneticPr fontId="17"/>
  </si>
  <si>
    <t>排　尿</t>
    <rPh sb="0" eb="1">
      <t>ハイ</t>
    </rPh>
    <rPh sb="2" eb="3">
      <t>ニョウ</t>
    </rPh>
    <phoneticPr fontId="12"/>
  </si>
  <si>
    <t>迎え</t>
    <rPh sb="0" eb="1">
      <t>ムカ</t>
    </rPh>
    <phoneticPr fontId="17"/>
  </si>
  <si>
    <t>送り</t>
    <rPh sb="0" eb="1">
      <t>オク</t>
    </rPh>
    <phoneticPr fontId="17"/>
  </si>
  <si>
    <t>排　便</t>
    <rPh sb="0" eb="1">
      <t>ハイ</t>
    </rPh>
    <rPh sb="2" eb="3">
      <t>ビン</t>
    </rPh>
    <phoneticPr fontId="12"/>
  </si>
  <si>
    <t>オムツ</t>
    <phoneticPr fontId="12"/>
  </si>
  <si>
    <t>水　分</t>
    <rPh sb="0" eb="1">
      <t>スイ</t>
    </rPh>
    <rPh sb="2" eb="3">
      <t>ブン</t>
    </rPh>
    <phoneticPr fontId="12"/>
  </si>
  <si>
    <t>項目</t>
    <rPh sb="0" eb="2">
      <t>コウモク</t>
    </rPh>
    <phoneticPr fontId="12"/>
  </si>
  <si>
    <t>内容（様子）</t>
    <rPh sb="0" eb="1">
      <t>ウチ</t>
    </rPh>
    <rPh sb="1" eb="2">
      <t>カタチ</t>
    </rPh>
    <rPh sb="3" eb="4">
      <t>サマ</t>
    </rPh>
    <rPh sb="4" eb="5">
      <t>コ</t>
    </rPh>
    <phoneticPr fontId="12"/>
  </si>
  <si>
    <t>管理者印</t>
    <rPh sb="0" eb="3">
      <t>カンリシャ</t>
    </rPh>
    <rPh sb="3" eb="4">
      <t>イン</t>
    </rPh>
    <phoneticPr fontId="12"/>
  </si>
  <si>
    <t>105010702_001_150801</t>
  </si>
  <si>
    <t>介護Ｓ経過表</t>
    <rPh sb="0" eb="1">
      <t>スケ</t>
    </rPh>
    <rPh sb="1" eb="2">
      <t>マモル</t>
    </rPh>
    <rPh sb="3" eb="4">
      <t>ヘ</t>
    </rPh>
    <rPh sb="4" eb="5">
      <t>カ</t>
    </rPh>
    <rPh sb="5" eb="6">
      <t>ヒョウ</t>
    </rPh>
    <phoneticPr fontId="12"/>
  </si>
  <si>
    <t>キャンセル</t>
    <phoneticPr fontId="12"/>
  </si>
  <si>
    <t>迎</t>
    <rPh sb="0" eb="1">
      <t>ムカ</t>
    </rPh>
    <phoneticPr fontId="12"/>
  </si>
  <si>
    <t>送</t>
    <rPh sb="0" eb="1">
      <t>ソウ</t>
    </rPh>
    <phoneticPr fontId="12"/>
  </si>
  <si>
    <t>/</t>
    <phoneticPr fontId="12"/>
  </si>
  <si>
    <t>℃</t>
    <phoneticPr fontId="12"/>
  </si>
  <si>
    <t>朝食</t>
    <rPh sb="0" eb="2">
      <t>チョウショク</t>
    </rPh>
    <phoneticPr fontId="12"/>
  </si>
  <si>
    <t>服薬</t>
    <rPh sb="0" eb="2">
      <t>フクヤク</t>
    </rPh>
    <phoneticPr fontId="12"/>
  </si>
  <si>
    <t>朝</t>
    <rPh sb="0" eb="1">
      <t>アサ</t>
    </rPh>
    <phoneticPr fontId="12"/>
  </si>
  <si>
    <t>昼</t>
    <rPh sb="0" eb="1">
      <t>ヒル</t>
    </rPh>
    <phoneticPr fontId="17"/>
  </si>
  <si>
    <t>夕</t>
    <rPh sb="0" eb="1">
      <t>ユウ</t>
    </rPh>
    <phoneticPr fontId="12"/>
  </si>
  <si>
    <t>就</t>
    <rPh sb="0" eb="1">
      <t>シュウ</t>
    </rPh>
    <phoneticPr fontId="12"/>
  </si>
  <si>
    <t>巡　回</t>
    <rPh sb="0" eb="1">
      <t>ジュン</t>
    </rPh>
    <rPh sb="2" eb="3">
      <t>カイ</t>
    </rPh>
    <phoneticPr fontId="12"/>
  </si>
  <si>
    <t>夜間Ｓ</t>
    <rPh sb="0" eb="2">
      <t>ヤカン</t>
    </rPh>
    <phoneticPr fontId="12"/>
  </si>
  <si>
    <t>有</t>
    <rPh sb="0" eb="1">
      <t>アリ</t>
    </rPh>
    <phoneticPr fontId="12"/>
  </si>
  <si>
    <t>夜間Ｓのみ</t>
    <rPh sb="0" eb="2">
      <t>ヤカン</t>
    </rPh>
    <phoneticPr fontId="12"/>
  </si>
  <si>
    <t>付き添いサービス</t>
    <rPh sb="0" eb="1">
      <t>ツ</t>
    </rPh>
    <rPh sb="2" eb="3">
      <t>ソ</t>
    </rPh>
    <phoneticPr fontId="12"/>
  </si>
  <si>
    <t>内容（様子）</t>
    <rPh sb="0" eb="2">
      <t>ナイヨウ</t>
    </rPh>
    <rPh sb="3" eb="5">
      <t>ヨウス</t>
    </rPh>
    <phoneticPr fontId="12"/>
  </si>
  <si>
    <t>○</t>
  </si>
  <si>
    <t>９：００</t>
    <phoneticPr fontId="17"/>
  </si>
  <si>
    <t>１７：００</t>
    <phoneticPr fontId="17"/>
  </si>
  <si>
    <t>入浴介助加算(Ⅰ）</t>
    <phoneticPr fontId="17"/>
  </si>
  <si>
    <t>入浴介助加算（Ⅱ）</t>
    <phoneticPr fontId="17"/>
  </si>
  <si>
    <t>個別機能訓練加算（Ⅰ）イ</t>
    <rPh sb="0" eb="1">
      <t>コ</t>
    </rPh>
    <rPh sb="1" eb="2">
      <t>ベツ</t>
    </rPh>
    <rPh sb="2" eb="3">
      <t>キ</t>
    </rPh>
    <rPh sb="3" eb="4">
      <t>ノウ</t>
    </rPh>
    <rPh sb="4" eb="5">
      <t>クン</t>
    </rPh>
    <rPh sb="5" eb="6">
      <t>ネリ</t>
    </rPh>
    <rPh sb="6" eb="7">
      <t>カ</t>
    </rPh>
    <rPh sb="7" eb="8">
      <t>カゾ</t>
    </rPh>
    <phoneticPr fontId="12"/>
  </si>
  <si>
    <t>個別機能訓練加算（Ⅰ）ロ</t>
    <rPh sb="0" eb="1">
      <t>コ</t>
    </rPh>
    <rPh sb="1" eb="2">
      <t>ベツ</t>
    </rPh>
    <rPh sb="2" eb="3">
      <t>キ</t>
    </rPh>
    <rPh sb="3" eb="4">
      <t>ノウ</t>
    </rPh>
    <rPh sb="4" eb="5">
      <t>クン</t>
    </rPh>
    <rPh sb="5" eb="6">
      <t>ネリ</t>
    </rPh>
    <rPh sb="6" eb="7">
      <t>カ</t>
    </rPh>
    <rPh sb="7" eb="8">
      <t>カゾ</t>
    </rPh>
    <phoneticPr fontId="12"/>
  </si>
  <si>
    <t>個別機能訓練加算（Ⅱ）/月</t>
    <rPh sb="0" eb="1">
      <t>コ</t>
    </rPh>
    <rPh sb="1" eb="2">
      <t>ベツ</t>
    </rPh>
    <rPh sb="2" eb="3">
      <t>キ</t>
    </rPh>
    <rPh sb="3" eb="4">
      <t>ノウ</t>
    </rPh>
    <rPh sb="4" eb="5">
      <t>クン</t>
    </rPh>
    <rPh sb="5" eb="6">
      <t>ネリ</t>
    </rPh>
    <rPh sb="6" eb="7">
      <t>カ</t>
    </rPh>
    <rPh sb="7" eb="8">
      <t>カゾ</t>
    </rPh>
    <rPh sb="12" eb="13">
      <t>ツキ</t>
    </rPh>
    <phoneticPr fontId="12"/>
  </si>
  <si>
    <t>栄養アセスメント加算/月</t>
    <rPh sb="0" eb="1">
      <t>エイ</t>
    </rPh>
    <rPh sb="1" eb="2">
      <t>マモル</t>
    </rPh>
    <rPh sb="8" eb="10">
      <t>カサン</t>
    </rPh>
    <rPh sb="11" eb="12">
      <t>ツキ</t>
    </rPh>
    <phoneticPr fontId="12"/>
  </si>
  <si>
    <t>口腔・栄養スクリーニング加算（Ⅰ）</t>
    <rPh sb="0" eb="2">
      <t>コウクウ</t>
    </rPh>
    <rPh sb="3" eb="5">
      <t>エイヨウ</t>
    </rPh>
    <rPh sb="12" eb="14">
      <t>カサン</t>
    </rPh>
    <phoneticPr fontId="12"/>
  </si>
  <si>
    <t>口腔・栄養スクリーニング加算（Ⅱ）</t>
    <rPh sb="0" eb="2">
      <t>コウクウ</t>
    </rPh>
    <rPh sb="3" eb="5">
      <t>エイヨウ</t>
    </rPh>
    <rPh sb="12" eb="14">
      <t>カサン</t>
    </rPh>
    <phoneticPr fontId="12"/>
  </si>
  <si>
    <t>口腔機能向上加算（Ⅰ）</t>
    <rPh sb="0" eb="1">
      <t>クチ</t>
    </rPh>
    <rPh sb="1" eb="2">
      <t>コウ</t>
    </rPh>
    <rPh sb="2" eb="3">
      <t>キ</t>
    </rPh>
    <rPh sb="3" eb="4">
      <t>ノウ</t>
    </rPh>
    <rPh sb="4" eb="5">
      <t>ムケ</t>
    </rPh>
    <rPh sb="5" eb="6">
      <t>ウエ</t>
    </rPh>
    <rPh sb="6" eb="7">
      <t>カ</t>
    </rPh>
    <rPh sb="7" eb="8">
      <t>サン</t>
    </rPh>
    <phoneticPr fontId="12"/>
  </si>
  <si>
    <t>口腔機能向上加算（Ⅱ）</t>
    <rPh sb="0" eb="1">
      <t>クチ</t>
    </rPh>
    <rPh sb="1" eb="2">
      <t>コウ</t>
    </rPh>
    <rPh sb="2" eb="3">
      <t>キ</t>
    </rPh>
    <rPh sb="3" eb="4">
      <t>ノウ</t>
    </rPh>
    <rPh sb="4" eb="5">
      <t>ムケ</t>
    </rPh>
    <rPh sb="5" eb="6">
      <t>ウエ</t>
    </rPh>
    <rPh sb="6" eb="7">
      <t>カ</t>
    </rPh>
    <rPh sb="7" eb="8">
      <t>サン</t>
    </rPh>
    <phoneticPr fontId="12"/>
  </si>
  <si>
    <t>生活機能向上連携加算（Ⅰ）/月</t>
    <rPh sb="14" eb="15">
      <t>ツキ</t>
    </rPh>
    <phoneticPr fontId="17"/>
  </si>
  <si>
    <t>生活機能向上連携加算（Ⅱ）/月</t>
    <rPh sb="14" eb="15">
      <t>ツキ</t>
    </rPh>
    <phoneticPr fontId="17"/>
  </si>
  <si>
    <t>入浴介助加算（Ⅰ）</t>
    <phoneticPr fontId="17"/>
  </si>
  <si>
    <t>栄養アセスメント加算</t>
    <rPh sb="0" eb="2">
      <t>エイヨウ</t>
    </rPh>
    <rPh sb="8" eb="10">
      <t>カサン</t>
    </rPh>
    <phoneticPr fontId="17"/>
  </si>
  <si>
    <t>生活機能向上連携加算（Ⅰ）</t>
    <rPh sb="0" eb="2">
      <t>セイカツ</t>
    </rPh>
    <rPh sb="2" eb="4">
      <t>キノウ</t>
    </rPh>
    <rPh sb="4" eb="6">
      <t>コウジョウ</t>
    </rPh>
    <rPh sb="6" eb="8">
      <t>レンケイ</t>
    </rPh>
    <rPh sb="8" eb="10">
      <t>カサン</t>
    </rPh>
    <phoneticPr fontId="17"/>
  </si>
  <si>
    <t>生活機能向上連携加算（Ⅱ）</t>
    <rPh sb="0" eb="2">
      <t>セイカツ</t>
    </rPh>
    <rPh sb="2" eb="4">
      <t>キノウ</t>
    </rPh>
    <rPh sb="4" eb="6">
      <t>コウジョウ</t>
    </rPh>
    <rPh sb="6" eb="8">
      <t>レンケイ</t>
    </rPh>
    <rPh sb="8" eb="10">
      <t>カサン</t>
    </rPh>
    <phoneticPr fontId="17"/>
  </si>
  <si>
    <t>←ハラスメント防止対策について追記</t>
    <rPh sb="7" eb="9">
      <t>ボウシ</t>
    </rPh>
    <rPh sb="9" eb="11">
      <t>タイサク</t>
    </rPh>
    <rPh sb="15" eb="17">
      <t>ツイキ</t>
    </rPh>
    <phoneticPr fontId="17"/>
  </si>
  <si>
    <r>
      <t>法人住所</t>
    </r>
    <r>
      <rPr>
        <sz val="8"/>
        <rFont val="ＭＳ Ｐゴシック"/>
        <family val="3"/>
        <charset val="128"/>
      </rPr>
      <t>※マンション名等がある場合は2段目を使用</t>
    </r>
    <rPh sb="0" eb="2">
      <t>ホウジン</t>
    </rPh>
    <rPh sb="2" eb="4">
      <t>ジュウショ</t>
    </rPh>
    <rPh sb="10" eb="11">
      <t>メイ</t>
    </rPh>
    <rPh sb="11" eb="12">
      <t>トウ</t>
    </rPh>
    <rPh sb="15" eb="17">
      <t>バアイ</t>
    </rPh>
    <rPh sb="19" eb="21">
      <t>ダンメ</t>
    </rPh>
    <rPh sb="22" eb="24">
      <t>シヨウ</t>
    </rPh>
    <phoneticPr fontId="17"/>
  </si>
  <si>
    <t>栄養アセスメント加算</t>
    <rPh sb="0" eb="1">
      <t>エイ</t>
    </rPh>
    <rPh sb="1" eb="2">
      <t>マモル</t>
    </rPh>
    <rPh sb="8" eb="10">
      <t>カサン</t>
    </rPh>
    <phoneticPr fontId="12"/>
  </si>
  <si>
    <t>生活機能向上連携加算（Ⅰ）</t>
    <phoneticPr fontId="17"/>
  </si>
  <si>
    <t>その場合、利用者は料金表の利用料金全額をお支払いください。利用料のお支払いと引き換えにサービス提供証明書と領収証を発行します。
発行されたサービス提供証明書と領収書を保険者介護保険窓口に持参すると、必要な手続きを行った後に法定の介護給付費分が返還されます。</t>
    <rPh sb="99" eb="101">
      <t>ヒツヨウ</t>
    </rPh>
    <rPh sb="102" eb="104">
      <t>テツヅ</t>
    </rPh>
    <rPh sb="106" eb="107">
      <t>オコナ</t>
    </rPh>
    <rPh sb="109" eb="110">
      <t>アト</t>
    </rPh>
    <phoneticPr fontId="17"/>
  </si>
  <si>
    <t>上記料金算定の基本となる時間は、実際にサービス提供に要した時間ではなく、利用者の居宅サービス計画に定められたサービスにかかる
標準的な時間を基準とします。</t>
    <phoneticPr fontId="17"/>
  </si>
  <si>
    <t>入浴介助加算（Ⅰ）</t>
  </si>
  <si>
    <t>生活機能向上連携加算（Ⅱ）</t>
    <phoneticPr fontId="17"/>
  </si>
  <si>
    <t>栄養アセスメント加算</t>
    <rPh sb="0" eb="1">
      <t>エイ</t>
    </rPh>
    <rPh sb="1" eb="2">
      <t>マモル</t>
    </rPh>
    <rPh sb="8" eb="9">
      <t>カ</t>
    </rPh>
    <rPh sb="9" eb="10">
      <t>サン</t>
    </rPh>
    <phoneticPr fontId="12"/>
  </si>
  <si>
    <t>口腔機能向上加算（Ⅰ）</t>
    <rPh sb="0" eb="2">
      <t>コウクウ</t>
    </rPh>
    <rPh sb="2" eb="4">
      <t>キノウ</t>
    </rPh>
    <rPh sb="4" eb="6">
      <t>コウジョウ</t>
    </rPh>
    <rPh sb="6" eb="8">
      <t>カサン</t>
    </rPh>
    <phoneticPr fontId="12"/>
  </si>
  <si>
    <t>口腔機能向上加算（Ⅱ）</t>
    <rPh sb="0" eb="2">
      <t>コウクウ</t>
    </rPh>
    <rPh sb="2" eb="4">
      <t>キノウ</t>
    </rPh>
    <rPh sb="4" eb="6">
      <t>コウジョウ</t>
    </rPh>
    <rPh sb="6" eb="8">
      <t>カサン</t>
    </rPh>
    <phoneticPr fontId="12"/>
  </si>
  <si>
    <t>ＡＤＬ維持等加算（Ⅲ）</t>
    <phoneticPr fontId="17"/>
  </si>
  <si>
    <t>科学的介護推進体制加算</t>
    <rPh sb="0" eb="5">
      <t>カガクテキカイゴ</t>
    </rPh>
    <rPh sb="5" eb="7">
      <t>スイシン</t>
    </rPh>
    <rPh sb="7" eb="9">
      <t>タイセイ</t>
    </rPh>
    <rPh sb="9" eb="11">
      <t>カサン</t>
    </rPh>
    <phoneticPr fontId="17"/>
  </si>
  <si>
    <t>科学的介護推進体制加算</t>
    <rPh sb="0" eb="3">
      <t>カガクテキ</t>
    </rPh>
    <rPh sb="3" eb="7">
      <t>カイゴスイシン</t>
    </rPh>
    <rPh sb="7" eb="11">
      <t>タイセイカサン</t>
    </rPh>
    <phoneticPr fontId="17"/>
  </si>
  <si>
    <t>科学的介護推進体制加算</t>
    <rPh sb="0" eb="2">
      <t>カガク</t>
    </rPh>
    <rPh sb="2" eb="3">
      <t>テキ</t>
    </rPh>
    <rPh sb="3" eb="5">
      <t>カイゴ</t>
    </rPh>
    <rPh sb="5" eb="7">
      <t>スイシン</t>
    </rPh>
    <rPh sb="7" eb="9">
      <t>タイセイ</t>
    </rPh>
    <rPh sb="9" eb="11">
      <t>カサン</t>
    </rPh>
    <phoneticPr fontId="17"/>
  </si>
  <si>
    <t>科学的介護推進体制加算</t>
    <rPh sb="0" eb="11">
      <t>カガクテキカイゴスイシンタイセイカサン</t>
    </rPh>
    <phoneticPr fontId="17"/>
  </si>
  <si>
    <t>サービス提供体制強化加算（Ⅰ）</t>
    <phoneticPr fontId="17"/>
  </si>
  <si>
    <t>サービス提供体制強化加算（Ⅲ）</t>
    <phoneticPr fontId="17"/>
  </si>
  <si>
    <t>（Ⅰ）</t>
    <phoneticPr fontId="12"/>
  </si>
  <si>
    <t>（Ⅲ）</t>
    <phoneticPr fontId="12"/>
  </si>
  <si>
    <t>（Ⅱ）</t>
    <phoneticPr fontId="12"/>
  </si>
  <si>
    <t>入浴介助加算（Ⅰ）</t>
    <phoneticPr fontId="12"/>
  </si>
  <si>
    <t>入浴介助加算（Ⅱ）</t>
    <phoneticPr fontId="12"/>
  </si>
  <si>
    <t>生活機能向上連携加算（Ⅰ）</t>
    <phoneticPr fontId="12"/>
  </si>
  <si>
    <t>生活機能向上連携加算（Ⅱ）</t>
    <phoneticPr fontId="121"/>
  </si>
  <si>
    <t>個別機能訓練加算（Ⅰ）イ</t>
    <phoneticPr fontId="12"/>
  </si>
  <si>
    <t>個別機能訓練加算（Ⅰ）ロ</t>
    <phoneticPr fontId="12"/>
  </si>
  <si>
    <t>ＡＤＬ維持等加算（Ⅲ）</t>
    <phoneticPr fontId="12"/>
  </si>
  <si>
    <t>栄養アセスメント加算</t>
    <rPh sb="0" eb="2">
      <t>エイヨウ</t>
    </rPh>
    <rPh sb="8" eb="10">
      <t>カサン</t>
    </rPh>
    <phoneticPr fontId="12"/>
  </si>
  <si>
    <t>月</t>
    <rPh sb="0" eb="1">
      <t>ツキ</t>
    </rPh>
    <phoneticPr fontId="12"/>
  </si>
  <si>
    <t>口腔機能向上加算（Ⅰ）</t>
    <phoneticPr fontId="12"/>
  </si>
  <si>
    <t>口腔機能向上加算（Ⅱ）</t>
    <phoneticPr fontId="12"/>
  </si>
  <si>
    <t>※6カ月に1回限度</t>
    <rPh sb="3" eb="4">
      <t>ゲツ</t>
    </rPh>
    <rPh sb="6" eb="7">
      <t>カイ</t>
    </rPh>
    <rPh sb="7" eb="9">
      <t>ゲンド</t>
    </rPh>
    <phoneticPr fontId="121"/>
  </si>
  <si>
    <t>通所介護Ⅰ２１・時減</t>
    <phoneticPr fontId="17"/>
  </si>
  <si>
    <t>通所介護Ⅰ１１</t>
    <phoneticPr fontId="17"/>
  </si>
  <si>
    <t>朝食サービス</t>
    <phoneticPr fontId="17"/>
  </si>
  <si>
    <t>昼食サービス</t>
    <phoneticPr fontId="17"/>
  </si>
  <si>
    <t>夕食サービス</t>
    <rPh sb="0" eb="1">
      <t>ユウ</t>
    </rPh>
    <phoneticPr fontId="17"/>
  </si>
  <si>
    <t>延長加算及び時間外サービスを利用中の朝食提供。栄養バランスの取れた温かい食事を摂っていただけます。</t>
    <phoneticPr fontId="17"/>
  </si>
  <si>
    <t>通所介護及び保険外通所介護サービスを利用中の昼食提供。栄養バランスの取れた温かい食事を摂っていただけます。</t>
    <phoneticPr fontId="17"/>
  </si>
  <si>
    <t>(ハラスメント防止対策について)</t>
    <rPh sb="7" eb="9">
      <t>ボウシ</t>
    </rPh>
    <rPh sb="9" eb="11">
      <t>タイサク</t>
    </rPh>
    <phoneticPr fontId="17"/>
  </si>
  <si>
    <t>第２４条</t>
    <phoneticPr fontId="17"/>
  </si>
  <si>
    <t>機能訓練指導員が個別機能訓練計画に基づき、身体機能及び生活機能の向上を目的に計画的に行った個別機能訓練について
算定することができます。利用者が選択した項目ごとにグループに分かれ訓練を行います。
機能訓練指導員は事業所のサービス提供時間を通じて配置する必要があります。</t>
    <rPh sb="21" eb="25">
      <t>シンタイキノウ</t>
    </rPh>
    <rPh sb="25" eb="26">
      <t>オヨ</t>
    </rPh>
    <rPh sb="27" eb="31">
      <t>セイカツキノウ</t>
    </rPh>
    <rPh sb="32" eb="34">
      <t>コウジョウ</t>
    </rPh>
    <rPh sb="35" eb="37">
      <t>モクテキ</t>
    </rPh>
    <rPh sb="89" eb="91">
      <t>クンレン</t>
    </rPh>
    <rPh sb="92" eb="93">
      <t>オコナ</t>
    </rPh>
    <rPh sb="106" eb="109">
      <t>ジギョウショ</t>
    </rPh>
    <rPh sb="114" eb="118">
      <t>テイキョウジカン</t>
    </rPh>
    <rPh sb="119" eb="120">
      <t>ツウ</t>
    </rPh>
    <rPh sb="122" eb="124">
      <t>ハイチ</t>
    </rPh>
    <rPh sb="126" eb="128">
      <t>ヒツヨウ</t>
    </rPh>
    <phoneticPr fontId="17"/>
  </si>
  <si>
    <t>サービスの質の向上を図るため、LIFE（科学的介護情報システム）への提出情報及びフィードバック情報を活用し、利用者の状態に応じた個別機能訓練計画の作成(Plan)、計画に基づく個別機能訓練の実施(Do)、実施内容の評価(Check)、その評価結果を踏まえた計画の見直し・改善(Action)の一連のサイクル(PDCAサイクル)により、サービスの質の管理を行うこと。</t>
    <phoneticPr fontId="17"/>
  </si>
  <si>
    <t>介護職員の総数のうち、介護福祉士の占める割合が１００分の４０以上であるか、勤続７年以上の介護福祉士が１００分の３０以上である場合に加算の対象となります。</t>
    <rPh sb="37" eb="39">
      <t>キンゾク</t>
    </rPh>
    <rPh sb="40" eb="43">
      <t>ネンイジョウ</t>
    </rPh>
    <rPh sb="44" eb="49">
      <t>カイゴフクシシ</t>
    </rPh>
    <rPh sb="53" eb="54">
      <t>ブン</t>
    </rPh>
    <rPh sb="57" eb="59">
      <t>イジョウ</t>
    </rPh>
    <phoneticPr fontId="17"/>
  </si>
  <si>
    <t>介護職員の総数のうち、介護福祉士の占める割合が１００分の７０以上であるか、勤続１０年以上の介護福祉士が１００分の２５以上である場合に加算の対象となります。</t>
    <rPh sb="37" eb="39">
      <t>キンゾク</t>
    </rPh>
    <rPh sb="41" eb="44">
      <t>ネンイジョウ</t>
    </rPh>
    <rPh sb="45" eb="50">
      <t>カイゴフクシシ</t>
    </rPh>
    <rPh sb="54" eb="55">
      <t>ブン</t>
    </rPh>
    <rPh sb="58" eb="60">
      <t>イジョウ</t>
    </rPh>
    <phoneticPr fontId="17"/>
  </si>
  <si>
    <t>自立支援・重度化防止に資する生活機能向上を目的として、通所介護事業所の職員と外部のリハビリテーション専門職が共同しアセスメントを行い、個別機能訓練計画を作成することによって加算の対象となります。
また理学療法士等や医師は、通所リハビリテーション等のサービス提供の場又はICTを活用した動画等により、利用者の状態を把握した上で、助言を行う必要があります。</t>
    <rPh sb="168" eb="170">
      <t>ヒツヨウ</t>
    </rPh>
    <phoneticPr fontId="17"/>
  </si>
  <si>
    <t>上記の要件を満たした事業所において、当該利用者のＡＤＬ値を測定し、その結果が一定以上の場合に加算の対象となります。</t>
    <rPh sb="0" eb="2">
      <t>ジョウキ</t>
    </rPh>
    <rPh sb="3" eb="5">
      <t>ヨウケン</t>
    </rPh>
    <rPh sb="6" eb="7">
      <t>ミ</t>
    </rPh>
    <rPh sb="10" eb="13">
      <t>ジギョウショ</t>
    </rPh>
    <rPh sb="38" eb="40">
      <t>イッテイ</t>
    </rPh>
    <rPh sb="40" eb="42">
      <t>イジョウ</t>
    </rPh>
    <rPh sb="43" eb="45">
      <t>バアイ</t>
    </rPh>
    <rPh sb="46" eb="48">
      <t>カサン</t>
    </rPh>
    <rPh sb="49" eb="51">
      <t>タイショウ</t>
    </rPh>
    <phoneticPr fontId="17"/>
  </si>
  <si>
    <t>評価対象期間の満了日の属する年度の次年度内に限り加算の対象となります。評価機関に連続して６月以上利用した期間のある要介護者の集団について、特定の要件を満たすことによって加算の対象となります。</t>
    <rPh sb="0" eb="2">
      <t>ヒョウカ</t>
    </rPh>
    <rPh sb="2" eb="4">
      <t>タイショウ</t>
    </rPh>
    <rPh sb="4" eb="6">
      <t>キカン</t>
    </rPh>
    <rPh sb="7" eb="9">
      <t>マンリョウ</t>
    </rPh>
    <rPh sb="9" eb="10">
      <t>ビ</t>
    </rPh>
    <rPh sb="11" eb="12">
      <t>ゾク</t>
    </rPh>
    <rPh sb="14" eb="16">
      <t>ネンド</t>
    </rPh>
    <rPh sb="17" eb="18">
      <t>ツギ</t>
    </rPh>
    <rPh sb="18" eb="21">
      <t>ネンドナイ</t>
    </rPh>
    <rPh sb="22" eb="23">
      <t>カギ</t>
    </rPh>
    <rPh sb="24" eb="26">
      <t>カサン</t>
    </rPh>
    <rPh sb="27" eb="29">
      <t>タイショウ</t>
    </rPh>
    <rPh sb="35" eb="37">
      <t>ヒョウカ</t>
    </rPh>
    <rPh sb="37" eb="39">
      <t>キカン</t>
    </rPh>
    <rPh sb="40" eb="42">
      <t>レンゾク</t>
    </rPh>
    <rPh sb="45" eb="46">
      <t>ガツ</t>
    </rPh>
    <rPh sb="46" eb="48">
      <t>イジョウ</t>
    </rPh>
    <rPh sb="48" eb="50">
      <t>リヨウ</t>
    </rPh>
    <rPh sb="52" eb="54">
      <t>キカン</t>
    </rPh>
    <rPh sb="57" eb="58">
      <t>ヨウ</t>
    </rPh>
    <rPh sb="58" eb="61">
      <t>カイゴシャ</t>
    </rPh>
    <rPh sb="62" eb="64">
      <t>シュウダン</t>
    </rPh>
    <rPh sb="69" eb="71">
      <t>トクテイ</t>
    </rPh>
    <rPh sb="72" eb="74">
      <t>ヨウケン</t>
    </rPh>
    <rPh sb="75" eb="76">
      <t>ミ</t>
    </rPh>
    <rPh sb="84" eb="86">
      <t>カサン</t>
    </rPh>
    <rPh sb="87" eb="89">
      <t>タイショウ</t>
    </rPh>
    <phoneticPr fontId="17"/>
  </si>
  <si>
    <t>利用開始時及び利用中6月ごとに利用者の口腔の健康状態について確認を行い、当該利用者の口腔の健康状態に関する情報と栄養状態に関する情報を担当ケアマネジャーに提供した場合、１月に２回を限度として加算の対象となります。</t>
    <rPh sb="0" eb="2">
      <t>リヨウ</t>
    </rPh>
    <rPh sb="2" eb="4">
      <t>カイシ</t>
    </rPh>
    <rPh sb="4" eb="5">
      <t>ジ</t>
    </rPh>
    <rPh sb="5" eb="6">
      <t>オヨ</t>
    </rPh>
    <rPh sb="7" eb="9">
      <t>リヨウ</t>
    </rPh>
    <rPh sb="9" eb="10">
      <t>チュウ</t>
    </rPh>
    <rPh sb="11" eb="12">
      <t>ガツ</t>
    </rPh>
    <rPh sb="15" eb="18">
      <t>リヨウシャ</t>
    </rPh>
    <rPh sb="19" eb="21">
      <t>コウクウ</t>
    </rPh>
    <rPh sb="22" eb="24">
      <t>ケンコウ</t>
    </rPh>
    <rPh sb="24" eb="26">
      <t>ジョウタイ</t>
    </rPh>
    <rPh sb="30" eb="32">
      <t>カクニン</t>
    </rPh>
    <rPh sb="33" eb="34">
      <t>オコナ</t>
    </rPh>
    <rPh sb="36" eb="38">
      <t>トウガイ</t>
    </rPh>
    <rPh sb="38" eb="41">
      <t>リヨウシャ</t>
    </rPh>
    <rPh sb="42" eb="44">
      <t>コウクウ</t>
    </rPh>
    <rPh sb="45" eb="47">
      <t>ケンコウ</t>
    </rPh>
    <rPh sb="47" eb="49">
      <t>ジョウタイ</t>
    </rPh>
    <rPh sb="50" eb="51">
      <t>カン</t>
    </rPh>
    <rPh sb="53" eb="55">
      <t>ジョウホウ</t>
    </rPh>
    <rPh sb="56" eb="58">
      <t>エイヨウ</t>
    </rPh>
    <rPh sb="58" eb="60">
      <t>ジョウタイ</t>
    </rPh>
    <rPh sb="61" eb="62">
      <t>カン</t>
    </rPh>
    <rPh sb="64" eb="66">
      <t>ジョウホウ</t>
    </rPh>
    <rPh sb="67" eb="69">
      <t>タントウ</t>
    </rPh>
    <phoneticPr fontId="17"/>
  </si>
  <si>
    <t>利用開始時及び利用中6月ごとに利用者の口腔の健康状態について確認を行い、当該利用者の口腔の健康状態に関する情報または同期間の栄養状態に関する情報のどちらかを担当ケアマネジャーに提供した場合、１月に２回を限度として加算の対象となります。</t>
    <rPh sb="58" eb="61">
      <t>ドウキカン</t>
    </rPh>
    <phoneticPr fontId="17"/>
  </si>
  <si>
    <t>加算(Ⅰ)の取り組みに加え、口腔機能改善管理指導計画等の情報を厚生労働省に提出(LIFEを活用)し、口腔機能向上サービスの実施にあたって、当該情報その他口腔衛生の管理の適切かつ有効な実施のために必要な情報を活用している場合、１月に２回を限度として加算の対象となります。</t>
    <phoneticPr fontId="17"/>
  </si>
  <si>
    <t>管理栄養士を配置し、利用者の栄養状態を利用開始時に把握し、管理栄養士等が共同して、利用者ごとの摂食・嚥下機能及び食形態にも配慮した栄養ケア計画の作成、記録、評価を行い、栄養改善サービスの提供に当たっては必要に応じて居宅訪問を行った場合に、１月に２回を限度として加算の対象となります。</t>
    <rPh sb="0" eb="2">
      <t>カンリ</t>
    </rPh>
    <rPh sb="2" eb="5">
      <t>エイヨウシ</t>
    </rPh>
    <rPh sb="6" eb="8">
      <t>ハイチ</t>
    </rPh>
    <rPh sb="14" eb="16">
      <t>エイヨウ</t>
    </rPh>
    <rPh sb="16" eb="18">
      <t>ジョウタイ</t>
    </rPh>
    <rPh sb="19" eb="21">
      <t>リヨウ</t>
    </rPh>
    <rPh sb="21" eb="23">
      <t>カイシ</t>
    </rPh>
    <rPh sb="23" eb="24">
      <t>ジ</t>
    </rPh>
    <rPh sb="25" eb="27">
      <t>ハアク</t>
    </rPh>
    <rPh sb="29" eb="31">
      <t>カンリ</t>
    </rPh>
    <rPh sb="31" eb="34">
      <t>エイヨウシ</t>
    </rPh>
    <rPh sb="34" eb="35">
      <t>トウ</t>
    </rPh>
    <rPh sb="36" eb="38">
      <t>キョウドウ</t>
    </rPh>
    <rPh sb="47" eb="49">
      <t>セッショク</t>
    </rPh>
    <rPh sb="50" eb="52">
      <t>エンゲ</t>
    </rPh>
    <rPh sb="52" eb="54">
      <t>キノウ</t>
    </rPh>
    <rPh sb="54" eb="55">
      <t>オヨ</t>
    </rPh>
    <rPh sb="56" eb="57">
      <t>ショク</t>
    </rPh>
    <rPh sb="57" eb="59">
      <t>ケイタイ</t>
    </rPh>
    <rPh sb="61" eb="63">
      <t>ハイリョ</t>
    </rPh>
    <rPh sb="65" eb="67">
      <t>エイヨウ</t>
    </rPh>
    <rPh sb="69" eb="71">
      <t>ケイカク</t>
    </rPh>
    <rPh sb="72" eb="74">
      <t>サクセイ</t>
    </rPh>
    <rPh sb="75" eb="77">
      <t>キロク</t>
    </rPh>
    <rPh sb="78" eb="80">
      <t>ヒョウカ</t>
    </rPh>
    <rPh sb="81" eb="82">
      <t>オコナ</t>
    </rPh>
    <rPh sb="112" eb="113">
      <t>オコナ</t>
    </rPh>
    <rPh sb="115" eb="117">
      <t>バアイ</t>
    </rPh>
    <rPh sb="120" eb="121">
      <t>ツキ</t>
    </rPh>
    <rPh sb="123" eb="124">
      <t>カイ</t>
    </rPh>
    <rPh sb="125" eb="127">
      <t>ゲンド</t>
    </rPh>
    <rPh sb="130" eb="132">
      <t>カサン</t>
    </rPh>
    <rPh sb="133" eb="135">
      <t>タイショウ</t>
    </rPh>
    <phoneticPr fontId="17"/>
  </si>
  <si>
    <t>-</t>
    <phoneticPr fontId="17"/>
  </si>
  <si>
    <t>１１　ハラスメント防止対策について</t>
    <rPh sb="9" eb="11">
      <t>ボウシ</t>
    </rPh>
    <rPh sb="11" eb="13">
      <t>タイサク</t>
    </rPh>
    <phoneticPr fontId="17"/>
  </si>
  <si>
    <t>←ハラスメント防止対策について追記</t>
  </si>
  <si>
    <t>（1）身体的な力を使って危害を及ぼす（及ばされそうになった）行為〈身体的暴力〉</t>
    <phoneticPr fontId="17"/>
  </si>
  <si>
    <t>（2）個人の尊厳や人格を言葉や態度によって傷つけたり、おとしめたりする行為
　　〈精神的暴力〉</t>
    <phoneticPr fontId="17"/>
  </si>
  <si>
    <t xml:space="preserve">（3）意に沿わない性的誘いかけ、好意的態度の要求等、性的ないやがらせ行為
　　〈セクシャルハラスメント〉
</t>
    <phoneticPr fontId="17"/>
  </si>
  <si>
    <t>上記の対象は、当該法人職員、取引先事業所の方、ご利用者及びその家族等となります。</t>
    <rPh sb="0" eb="2">
      <t>ジョウキ</t>
    </rPh>
    <phoneticPr fontId="17"/>
  </si>
  <si>
    <t>職員に対し、ハラスメントに対する基本的な考え方について研修などを実施します。また定期的に話し合いの場を設け、介護現場におけるハラスメント発生状況の把握に努めます。</t>
    <rPh sb="3" eb="4">
      <t>タイ</t>
    </rPh>
    <rPh sb="27" eb="29">
      <t>ケンシュウ</t>
    </rPh>
    <rPh sb="32" eb="34">
      <t>ジッシ</t>
    </rPh>
    <phoneticPr fontId="17"/>
  </si>
  <si>
    <t xml:space="preserve">ハラスメントと判断された場合には行為者に対し、関係機関への連絡・相談、環境改善に対する必要な措置、利用契約の解約等の措置を講じます。
</t>
    <phoneticPr fontId="17"/>
  </si>
  <si>
    <t>１２　サービス利用に当たっての留意事項</t>
    <phoneticPr fontId="17"/>
  </si>
  <si>
    <t>１３　秘密保持等の体制及び個人情報に関する基本方針</t>
    <phoneticPr fontId="17"/>
  </si>
  <si>
    <t>１４　反社会的勢力排除について</t>
    <rPh sb="9" eb="11">
      <t>ハイジョ</t>
    </rPh>
    <phoneticPr fontId="17"/>
  </si>
  <si>
    <t>１５　提供するサービスの第三者評価の実施状況</t>
    <rPh sb="3" eb="5">
      <t>テイキョウ</t>
    </rPh>
    <rPh sb="12" eb="15">
      <t>ダイサンシャ</t>
    </rPh>
    <rPh sb="15" eb="17">
      <t>ヒョウカ</t>
    </rPh>
    <rPh sb="18" eb="20">
      <t>ジッシ</t>
    </rPh>
    <rPh sb="20" eb="22">
      <t>ジョウキョウ</t>
    </rPh>
    <phoneticPr fontId="17"/>
  </si>
  <si>
    <t>日</t>
    <rPh sb="0" eb="1">
      <t>ヒ</t>
    </rPh>
    <phoneticPr fontId="121"/>
  </si>
  <si>
    <t>月</t>
    <rPh sb="0" eb="1">
      <t>ツキ</t>
    </rPh>
    <phoneticPr fontId="17"/>
  </si>
  <si>
    <t>（ハラスメント防止対策について）</t>
    <phoneticPr fontId="17"/>
  </si>
  <si>
    <t>　乙は、乙の現場で働く職員の安全確保と安心して働き続けられる労働環境が築けるようハラスメントの防止に向け取り組みます。</t>
    <rPh sb="1" eb="2">
      <t>オツ</t>
    </rPh>
    <rPh sb="4" eb="5">
      <t>オツ</t>
    </rPh>
    <phoneticPr fontId="17"/>
  </si>
  <si>
    <t>乙として、下記の行為は許しません。</t>
    <rPh sb="0" eb="1">
      <t>オツ</t>
    </rPh>
    <phoneticPr fontId="17"/>
  </si>
  <si>
    <t>上記は乙が運営する法人職員、乙の取引先事業所者、甲及びその家族等を対象とします。</t>
    <rPh sb="0" eb="2">
      <t>ジョウキ</t>
    </rPh>
    <rPh sb="3" eb="4">
      <t>オツ</t>
    </rPh>
    <rPh sb="5" eb="7">
      <t>ウンエイ</t>
    </rPh>
    <rPh sb="14" eb="15">
      <t>オツ</t>
    </rPh>
    <rPh sb="22" eb="23">
      <t>シャ</t>
    </rPh>
    <rPh sb="24" eb="25">
      <t>コウ</t>
    </rPh>
    <rPh sb="33" eb="35">
      <t>タイショウ</t>
    </rPh>
    <phoneticPr fontId="17"/>
  </si>
  <si>
    <t>　ハラスメント事案が発生した場合、乙はマニュアルなどを元に即座に対応し、再発防止会議などにより、同事案が発生しないための再発防止策を検討します。</t>
    <rPh sb="7" eb="9">
      <t>ジアン</t>
    </rPh>
    <rPh sb="17" eb="18">
      <t>オツ</t>
    </rPh>
    <rPh sb="27" eb="28">
      <t>モト</t>
    </rPh>
    <phoneticPr fontId="17"/>
  </si>
  <si>
    <t>　乙は職員に対し、ハラスメントに対する基本的な考え方について研修などを実施します。また定期的に話し合いの場を設け、介護現場におけるハラスメント発生状況の把握に努めます。</t>
    <rPh sb="1" eb="2">
      <t>オツ</t>
    </rPh>
    <rPh sb="6" eb="7">
      <t>タイ</t>
    </rPh>
    <rPh sb="30" eb="32">
      <t>ケンシュウ</t>
    </rPh>
    <rPh sb="35" eb="37">
      <t>ジッシ</t>
    </rPh>
    <phoneticPr fontId="17"/>
  </si>
  <si>
    <t xml:space="preserve">　乙はハラスメントと判断された場合には行為者に対し、関係機関への連絡・相談、環境改善に対する必要な措置、利用契約の解約等の措置を講じます。
</t>
    <rPh sb="1" eb="2">
      <t>オツ</t>
    </rPh>
    <phoneticPr fontId="17"/>
  </si>
  <si>
    <t>第１６条に基づき、甲がこの契約を解除したとき</t>
    <phoneticPr fontId="17"/>
  </si>
  <si>
    <t>第１４条３項又は第１７条に基づき、乙がこの契約を解除したとき</t>
    <phoneticPr fontId="17"/>
  </si>
  <si>
    <t>１０　ハラスメント防止対策について</t>
    <rPh sb="9" eb="11">
      <t>ボウシ</t>
    </rPh>
    <rPh sb="11" eb="13">
      <t>タイサク</t>
    </rPh>
    <phoneticPr fontId="17"/>
  </si>
  <si>
    <t>（2）個人の尊厳や人格を言葉や態度によって傷つけたり、おとしめたりする行為〈精神的暴力〉</t>
    <phoneticPr fontId="17"/>
  </si>
  <si>
    <t>　事業者は、介護の現場で働く職員の安全確保と安心して働き続けられる労働環境が築けるようハラスメントの防止に向け取り組みます。</t>
    <phoneticPr fontId="17"/>
  </si>
  <si>
    <t>上記は当該法人職員、取引先事業所の方、ご利用者及びその家族等を対象とする。</t>
    <rPh sb="0" eb="2">
      <t>ジョウキ</t>
    </rPh>
    <rPh sb="31" eb="33">
      <t>タイショウ</t>
    </rPh>
    <phoneticPr fontId="17"/>
  </si>
  <si>
    <t>職員に対し、ハラスメントに対する基本的な考え方について研修などを実施します。また定期的に話し合いの場を設け、介護現場におけるハラスメント発生状況の把握に努める。</t>
    <rPh sb="3" eb="4">
      <t>タイ</t>
    </rPh>
    <rPh sb="27" eb="29">
      <t>ケンシュウ</t>
    </rPh>
    <rPh sb="32" eb="34">
      <t>ジッシ</t>
    </rPh>
    <phoneticPr fontId="17"/>
  </si>
  <si>
    <t xml:space="preserve">ハラスメントと判断された場合には行為者に対し、関係機関への連絡・相談、環境改善に対する必要な措置、利用契約の解約等の措置を講じる。
</t>
    <phoneticPr fontId="17"/>
  </si>
  <si>
    <t>第２４条</t>
    <phoneticPr fontId="17"/>
  </si>
  <si>
    <t>←ハラスメント防止対策について追記</t>
    <phoneticPr fontId="17"/>
  </si>
  <si>
    <t>入浴介助加算(Ⅰ）/日</t>
    <rPh sb="10" eb="11">
      <t>ニチ</t>
    </rPh>
    <phoneticPr fontId="17"/>
  </si>
  <si>
    <t>入浴介助加算（Ⅱ）/日</t>
    <phoneticPr fontId="17"/>
  </si>
  <si>
    <t>認知症加算/日</t>
    <rPh sb="0" eb="1">
      <t>シノブ</t>
    </rPh>
    <rPh sb="1" eb="2">
      <t>チ</t>
    </rPh>
    <rPh sb="2" eb="3">
      <t>ショウ</t>
    </rPh>
    <rPh sb="3" eb="4">
      <t>カ</t>
    </rPh>
    <rPh sb="4" eb="5">
      <t>サン</t>
    </rPh>
    <phoneticPr fontId="17"/>
  </si>
  <si>
    <t>若年性認知症利用者受入加算/日</t>
    <phoneticPr fontId="17"/>
  </si>
  <si>
    <t>中重度者ケア体制加算/日</t>
    <rPh sb="0" eb="1">
      <t>チュウ</t>
    </rPh>
    <rPh sb="1" eb="3">
      <t>ジュウド</t>
    </rPh>
    <rPh sb="3" eb="4">
      <t>シャ</t>
    </rPh>
    <rPh sb="6" eb="7">
      <t>カラダ</t>
    </rPh>
    <rPh sb="7" eb="8">
      <t>セイ</t>
    </rPh>
    <rPh sb="8" eb="9">
      <t>カ</t>
    </rPh>
    <rPh sb="9" eb="10">
      <t>サン</t>
    </rPh>
    <phoneticPr fontId="17"/>
  </si>
  <si>
    <t>個別機能訓練加算（Ⅰ）イ/日</t>
    <rPh sb="0" eb="1">
      <t>コ</t>
    </rPh>
    <rPh sb="1" eb="2">
      <t>ベツ</t>
    </rPh>
    <rPh sb="2" eb="3">
      <t>キ</t>
    </rPh>
    <rPh sb="3" eb="4">
      <t>ノウ</t>
    </rPh>
    <rPh sb="4" eb="5">
      <t>クン</t>
    </rPh>
    <rPh sb="5" eb="6">
      <t>ネリ</t>
    </rPh>
    <rPh sb="6" eb="7">
      <t>カ</t>
    </rPh>
    <rPh sb="7" eb="8">
      <t>カゾ</t>
    </rPh>
    <phoneticPr fontId="12"/>
  </si>
  <si>
    <t>個別機能訓練加算（Ⅰ）ロ/日</t>
    <rPh sb="0" eb="1">
      <t>コ</t>
    </rPh>
    <rPh sb="1" eb="2">
      <t>ベツ</t>
    </rPh>
    <rPh sb="2" eb="3">
      <t>キ</t>
    </rPh>
    <rPh sb="3" eb="4">
      <t>ノウ</t>
    </rPh>
    <rPh sb="4" eb="5">
      <t>クン</t>
    </rPh>
    <rPh sb="5" eb="6">
      <t>ネリ</t>
    </rPh>
    <rPh sb="6" eb="7">
      <t>カ</t>
    </rPh>
    <rPh sb="7" eb="8">
      <t>カゾ</t>
    </rPh>
    <phoneticPr fontId="12"/>
  </si>
  <si>
    <t>サービス提供体制強化加算（Ⅰ）/日</t>
    <phoneticPr fontId="17"/>
  </si>
  <si>
    <t>サービス提供体制強化加算（Ⅱ）/日</t>
    <phoneticPr fontId="17"/>
  </si>
  <si>
    <t>サービス提供体制強化加算（Ⅲ）/日</t>
    <phoneticPr fontId="17"/>
  </si>
  <si>
    <t>栄養改善加算/回</t>
    <rPh sb="0" eb="1">
      <t>エイ</t>
    </rPh>
    <rPh sb="1" eb="2">
      <t>マモル</t>
    </rPh>
    <rPh sb="2" eb="3">
      <t>カイ</t>
    </rPh>
    <rPh sb="3" eb="4">
      <t>ゼン</t>
    </rPh>
    <rPh sb="4" eb="5">
      <t>カ</t>
    </rPh>
    <rPh sb="5" eb="6">
      <t>サン</t>
    </rPh>
    <rPh sb="7" eb="8">
      <t>カイ</t>
    </rPh>
    <phoneticPr fontId="12"/>
  </si>
  <si>
    <t>口腔・栄養スクリーニング加算（Ⅰ）/回</t>
    <rPh sb="0" eb="2">
      <t>コウクウ</t>
    </rPh>
    <rPh sb="3" eb="5">
      <t>エイヨウ</t>
    </rPh>
    <rPh sb="12" eb="14">
      <t>カサン</t>
    </rPh>
    <rPh sb="18" eb="19">
      <t>カイ</t>
    </rPh>
    <phoneticPr fontId="12"/>
  </si>
  <si>
    <t>口腔・栄養スクリーニング加算（Ⅱ）/回</t>
    <rPh sb="0" eb="2">
      <t>コウクウ</t>
    </rPh>
    <rPh sb="3" eb="5">
      <t>エイヨウ</t>
    </rPh>
    <rPh sb="12" eb="14">
      <t>カサン</t>
    </rPh>
    <phoneticPr fontId="12"/>
  </si>
  <si>
    <t>口腔機能向上加算（Ⅰ）/回</t>
    <rPh sb="0" eb="1">
      <t>クチ</t>
    </rPh>
    <rPh sb="1" eb="2">
      <t>コウ</t>
    </rPh>
    <rPh sb="2" eb="3">
      <t>キ</t>
    </rPh>
    <rPh sb="3" eb="4">
      <t>ノウ</t>
    </rPh>
    <rPh sb="4" eb="5">
      <t>ムケ</t>
    </rPh>
    <rPh sb="5" eb="6">
      <t>ウエ</t>
    </rPh>
    <rPh sb="6" eb="7">
      <t>カ</t>
    </rPh>
    <rPh sb="7" eb="8">
      <t>サン</t>
    </rPh>
    <phoneticPr fontId="12"/>
  </si>
  <si>
    <t>口腔機能向上加算（Ⅱ）/回</t>
    <rPh sb="0" eb="1">
      <t>クチ</t>
    </rPh>
    <rPh sb="1" eb="2">
      <t>コウ</t>
    </rPh>
    <rPh sb="2" eb="3">
      <t>キ</t>
    </rPh>
    <rPh sb="3" eb="4">
      <t>ノウ</t>
    </rPh>
    <rPh sb="4" eb="5">
      <t>ムケ</t>
    </rPh>
    <rPh sb="5" eb="6">
      <t>ウエ</t>
    </rPh>
    <rPh sb="6" eb="7">
      <t>カ</t>
    </rPh>
    <rPh sb="7" eb="8">
      <t>サン</t>
    </rPh>
    <phoneticPr fontId="12"/>
  </si>
  <si>
    <t>ＡＤＬ維持等加算（Ⅰ）/月</t>
    <rPh sb="12" eb="13">
      <t>ツキ</t>
    </rPh>
    <phoneticPr fontId="17"/>
  </si>
  <si>
    <t>ＡＤＬ維持等加算（Ⅱ）/月</t>
    <phoneticPr fontId="17"/>
  </si>
  <si>
    <t>ＡＤＬ維持等加算（Ⅲ）/月</t>
    <phoneticPr fontId="17"/>
  </si>
  <si>
    <t>延長加算（1時間当たり）/回</t>
    <rPh sb="0" eb="1">
      <t>ノベ</t>
    </rPh>
    <rPh sb="1" eb="2">
      <t>ナガ</t>
    </rPh>
    <rPh sb="2" eb="3">
      <t>カ</t>
    </rPh>
    <rPh sb="3" eb="4">
      <t>サン</t>
    </rPh>
    <rPh sb="6" eb="8">
      <t>ジカン</t>
    </rPh>
    <rPh sb="8" eb="9">
      <t>ア</t>
    </rPh>
    <rPh sb="13" eb="14">
      <t>カイ</t>
    </rPh>
    <phoneticPr fontId="17"/>
  </si>
  <si>
    <t>科学的介護推進体制加算/月</t>
    <rPh sb="0" eb="5">
      <t>カガクテキカイゴ</t>
    </rPh>
    <rPh sb="5" eb="7">
      <t>スイシン</t>
    </rPh>
    <rPh sb="7" eb="9">
      <t>タイセイ</t>
    </rPh>
    <rPh sb="9" eb="11">
      <t>カサン</t>
    </rPh>
    <phoneticPr fontId="17"/>
  </si>
  <si>
    <t xml:space="preserve">　事業者は、介護の現場で働く職員の安全確保と安心して働き続けられる労働環境が築けるようハラスメントの防止に向け取り組みます。
</t>
    <phoneticPr fontId="17"/>
  </si>
  <si>
    <t>事業所内において行われる優越的な関係を背景とした言動や、業務上必要かつ相当な範囲を超えるような下記の行為は組織として許容しません。</t>
    <phoneticPr fontId="17"/>
  </si>
  <si>
    <t xml:space="preserve">（3）意に沿わない性的な言動、好意的態度の要求等、性的ないやがらせ行為
　　〈セクシュアルハラスメント〉
</t>
    <phoneticPr fontId="17"/>
  </si>
  <si>
    <t>ハラスメント事案が発生した場合、マニュアルなどを基に即座に対応し、再発防止会議などにより、同事案が発生しないための再発防止策を検討します。</t>
    <rPh sb="6" eb="8">
      <t>ジアン</t>
    </rPh>
    <rPh sb="24" eb="25">
      <t>モト</t>
    </rPh>
    <phoneticPr fontId="17"/>
  </si>
  <si>
    <t>機能訓練指導員が個別機能訓練計画に基づき、身体機能及び生活機能の向上を目的に計画的に行った個別機能訓練について
算定することができます。利用者が選択した項目ごとにグループに分かれ訓練を行います。機能訓練指導員の配置は必要ですが、配置時間の定めはありません。</t>
    <rPh sb="21" eb="25">
      <t>シンタイキノウ</t>
    </rPh>
    <rPh sb="25" eb="26">
      <t>オヨ</t>
    </rPh>
    <rPh sb="27" eb="31">
      <t>セイカツキノウ</t>
    </rPh>
    <rPh sb="32" eb="34">
      <t>コウジョウ</t>
    </rPh>
    <rPh sb="35" eb="37">
      <t>モクテキ</t>
    </rPh>
    <rPh sb="89" eb="91">
      <t>クンレン</t>
    </rPh>
    <rPh sb="92" eb="93">
      <t>オコナ</t>
    </rPh>
    <phoneticPr fontId="17"/>
  </si>
  <si>
    <t>従業者が、利用者の栄養状態のアセスメントを管理栄養士と連携して行い、本人及び家族に結果を説明し、LIFEを活用し厚生労働省に提出した場合に加算の対象となります。</t>
    <rPh sb="53" eb="55">
      <t>カツヨウ</t>
    </rPh>
    <rPh sb="56" eb="58">
      <t>コウセイ</t>
    </rPh>
    <rPh sb="58" eb="61">
      <t>ロウドウショウ</t>
    </rPh>
    <rPh sb="62" eb="64">
      <t>テイシュツ</t>
    </rPh>
    <rPh sb="66" eb="68">
      <t>バアイ</t>
    </rPh>
    <rPh sb="69" eb="71">
      <t>カサン</t>
    </rPh>
    <rPh sb="72" eb="74">
      <t>タイショウ</t>
    </rPh>
    <phoneticPr fontId="17"/>
  </si>
  <si>
    <t>全利用者の心身の基本的な情報（ADL値や栄養状態、口腔機能・嚥下の状態、認知症の状態など）をLIFEへ提出し、そのフィードバックを十分に活用した場合に加算の対象となります。活用方法としては、ケアのあり方を検証してケアプランやサービス計画を見直しや、現場でPDCAサイクルを回すことが求められています。</t>
    <rPh sb="72" eb="74">
      <t>バアイ</t>
    </rPh>
    <rPh sb="75" eb="77">
      <t>カサン</t>
    </rPh>
    <rPh sb="78" eb="80">
      <t>タイショウ</t>
    </rPh>
    <rPh sb="86" eb="90">
      <t>カツヨウホウホウ</t>
    </rPh>
    <phoneticPr fontId="17"/>
  </si>
  <si>
    <t>[要介護１]９時間以上１０時間未満</t>
    <phoneticPr fontId="17"/>
  </si>
  <si>
    <t>地域通所介護延長サービス加算1</t>
    <phoneticPr fontId="17"/>
  </si>
  <si>
    <t>[要介護１]１０時間以上１１時間未満</t>
    <phoneticPr fontId="17"/>
  </si>
  <si>
    <t>地域通所介護延長サービス加算2</t>
  </si>
  <si>
    <t>[要介護１]１１時間以上１２時間未満</t>
    <phoneticPr fontId="17"/>
  </si>
  <si>
    <t>地域通所介護延長サービス加算3</t>
  </si>
  <si>
    <t>[要介護１]１２時間以上１３時間未満</t>
    <phoneticPr fontId="17"/>
  </si>
  <si>
    <t>地域通所介護延長サービス加算4</t>
  </si>
  <si>
    <t>[要介護１]１３時間以上１４時間未満</t>
    <phoneticPr fontId="17"/>
  </si>
  <si>
    <t>地域通所介護延長サービス加算5</t>
  </si>
  <si>
    <t>生活機能向上連携加算（Ⅰ）※3か月に1回程度</t>
    <phoneticPr fontId="12"/>
  </si>
  <si>
    <t>※3か月に1回程度</t>
    <rPh sb="3" eb="4">
      <t>ゲツ</t>
    </rPh>
    <rPh sb="6" eb="7">
      <t>カイ</t>
    </rPh>
    <rPh sb="7" eb="9">
      <t>テイド</t>
    </rPh>
    <phoneticPr fontId="17"/>
  </si>
  <si>
    <t>栄養改善加算※月2回限度</t>
    <phoneticPr fontId="17"/>
  </si>
  <si>
    <t>栄養スクリーニング加算（Ⅰ）※6カ月に1回限度</t>
    <phoneticPr fontId="12"/>
  </si>
  <si>
    <t>栄養スクリーニング加算（Ⅱ）※6カ月に1回限度</t>
    <phoneticPr fontId="12"/>
  </si>
  <si>
    <t>口腔機能向上加算（Ⅰ）※月2回限度</t>
    <phoneticPr fontId="12"/>
  </si>
  <si>
    <t>口腔機能向上加算（Ⅱ）※月2回限度</t>
    <phoneticPr fontId="12"/>
  </si>
  <si>
    <t>送迎減算※片道につき</t>
    <phoneticPr fontId="17"/>
  </si>
  <si>
    <t>[要介護５]９時間以上１０時間未満</t>
    <phoneticPr fontId="17"/>
  </si>
  <si>
    <t>[要介護５]１０時間以上１１時間未満</t>
    <phoneticPr fontId="17"/>
  </si>
  <si>
    <t>[要介護５]１１時間以上１２時間未満</t>
    <phoneticPr fontId="17"/>
  </si>
  <si>
    <t>[要介護５]１２時間以上１３時間未満</t>
    <phoneticPr fontId="17"/>
  </si>
  <si>
    <t>[要介護５]１３時間以上１４時間未満</t>
    <phoneticPr fontId="17"/>
  </si>
  <si>
    <t>[要介護４]９時間以上１０時間未満</t>
    <phoneticPr fontId="17"/>
  </si>
  <si>
    <t>[要介護４]１０時間以上１１時間未満</t>
    <phoneticPr fontId="17"/>
  </si>
  <si>
    <t>[要介護４]１１時間以上１２時間未満</t>
    <phoneticPr fontId="17"/>
  </si>
  <si>
    <t>[要介護４]１２時間以上１３時間未満</t>
    <phoneticPr fontId="17"/>
  </si>
  <si>
    <t>[要介護４]１３時間以上１４時間未満</t>
    <phoneticPr fontId="17"/>
  </si>
  <si>
    <t>[要介護３]９時間以上１０時間未満</t>
    <phoneticPr fontId="17"/>
  </si>
  <si>
    <t>[要介護３]１０時間以上１１時間未満</t>
    <phoneticPr fontId="17"/>
  </si>
  <si>
    <t>[要介護３]１１時間以上１２時間未満</t>
    <phoneticPr fontId="17"/>
  </si>
  <si>
    <t>[要介護３]１２時間以上１３時間未満</t>
    <phoneticPr fontId="17"/>
  </si>
  <si>
    <t>[要介護３]１３時間以上１４時間未満</t>
    <phoneticPr fontId="17"/>
  </si>
  <si>
    <t>[要介護２]９時間以上１０時間未満</t>
    <phoneticPr fontId="17"/>
  </si>
  <si>
    <t>[要介護２]１０時間以上１１時間未満</t>
    <phoneticPr fontId="17"/>
  </si>
  <si>
    <t>[要介護２]１１時間以上１２時間未満</t>
    <phoneticPr fontId="17"/>
  </si>
  <si>
    <t>[要介護２]１２時間以上１３時間未満</t>
    <phoneticPr fontId="17"/>
  </si>
  <si>
    <t>[要介護２]１３時間以上１４時間未満</t>
    <phoneticPr fontId="17"/>
  </si>
  <si>
    <t>生活機能向上連携加算（Ⅰ）</t>
  </si>
  <si>
    <t>事業所内において行われる優越的な関係を背景とした言動や、業務上必要かつ相当な範囲を超えるような下記の行為は乙として許容しません。</t>
    <rPh sb="53" eb="54">
      <t>オツ</t>
    </rPh>
    <phoneticPr fontId="17"/>
  </si>
  <si>
    <t>（3）意に沿わない性的な言動、好意的態度の要求等、性的ないやがらせ行為
　　〈セクシュアルハラスメント〉</t>
    <phoneticPr fontId="17"/>
  </si>
  <si>
    <t>　ハラスメント事案が発生した場合、乙はマニュアルなどを基に即座に対応し、再発防止会議などにより、同事案が発生しないための再発防止策を検討します。</t>
    <rPh sb="7" eb="9">
      <t>ジアン</t>
    </rPh>
    <rPh sb="17" eb="18">
      <t>オツ</t>
    </rPh>
    <rPh sb="27" eb="28">
      <t>モト</t>
    </rPh>
    <phoneticPr fontId="17"/>
  </si>
  <si>
    <t xml:space="preserve">（3）意に沿わない性的な言動、好意的態度の要求等、性的ないやがらせ行為〈セクシュアルハラスメント〉
</t>
    <phoneticPr fontId="17"/>
  </si>
  <si>
    <t>　事業者は、介護の現場で働く職員の安全確保と安心して働き続けられる労働環境が築けるようハラスメントの防止に向け取り組む。</t>
    <phoneticPr fontId="17"/>
  </si>
  <si>
    <t>事業所内において行われる優越的な関係を背景とした言動や、業務上必要かつ相当な範囲を超えるような下記の行為は組織として許容しない。</t>
    <phoneticPr fontId="17"/>
  </si>
  <si>
    <t>ハラスメント事案が発生した場合、マニュアルなどを基に即座に対応し、再発防止会議などにより、同事案が発生しないための再発防止策を検討する。</t>
    <rPh sb="6" eb="8">
      <t>ジアン</t>
    </rPh>
    <rPh sb="24" eb="25">
      <t>モト</t>
    </rPh>
    <phoneticPr fontId="17"/>
  </si>
  <si>
    <t>（Ⅰ）</t>
    <phoneticPr fontId="17"/>
  </si>
  <si>
    <t>（Ⅱ）</t>
    <phoneticPr fontId="17"/>
  </si>
  <si>
    <t>（Ⅲ）</t>
    <phoneticPr fontId="17"/>
  </si>
  <si>
    <t>　通所介護従業者は、利用者に対する指定通所介護サービスの実施状況等に関する記録を整備し、その完結の日から５年間保存する</t>
    <rPh sb="10" eb="12">
      <t>リヨウ</t>
    </rPh>
    <rPh sb="12" eb="13">
      <t>シャ</t>
    </rPh>
    <rPh sb="17" eb="19">
      <t>シテイ</t>
    </rPh>
    <phoneticPr fontId="17"/>
  </si>
  <si>
    <t>[要介護５]９時間以上１０時間未満</t>
  </si>
  <si>
    <t>サービス提供体制強化加算</t>
    <rPh sb="4" eb="12">
      <t>テイキョウタイセイキョウカカサン</t>
    </rPh>
    <phoneticPr fontId="12"/>
  </si>
  <si>
    <t>中山間地域
等提供加算</t>
    <rPh sb="0" eb="1">
      <t>チュウ</t>
    </rPh>
    <rPh sb="1" eb="3">
      <t>サンカン</t>
    </rPh>
    <rPh sb="3" eb="5">
      <t>チイキ</t>
    </rPh>
    <rPh sb="6" eb="7">
      <t>トウ</t>
    </rPh>
    <rPh sb="7" eb="9">
      <t>テイキョウ</t>
    </rPh>
    <rPh sb="9" eb="11">
      <t>カサン</t>
    </rPh>
    <phoneticPr fontId="12"/>
  </si>
  <si>
    <t>感染症等による
3%加算</t>
    <rPh sb="0" eb="2">
      <t>カンセン</t>
    </rPh>
    <rPh sb="2" eb="3">
      <t>ショウ</t>
    </rPh>
    <rPh sb="3" eb="4">
      <t>ナド</t>
    </rPh>
    <rPh sb="10" eb="12">
      <t>カサン</t>
    </rPh>
    <phoneticPr fontId="12"/>
  </si>
  <si>
    <r>
      <t xml:space="preserve">総合計単位数
</t>
    </r>
    <r>
      <rPr>
        <b/>
        <sz val="6"/>
        <color theme="1"/>
        <rFont val="游ゴシック"/>
        <family val="3"/>
        <charset val="128"/>
      </rPr>
      <t>区分支給限度額を超えている
場合は区分支給限度額</t>
    </r>
    <rPh sb="0" eb="1">
      <t>ソウ</t>
    </rPh>
    <rPh sb="1" eb="3">
      <t>ゴウケイ</t>
    </rPh>
    <rPh sb="3" eb="6">
      <t>タンイスウ</t>
    </rPh>
    <phoneticPr fontId="12"/>
  </si>
  <si>
    <t>←サービス提供体制強化加算計算用</t>
    <rPh sb="5" eb="7">
      <t>テイキョウ</t>
    </rPh>
    <rPh sb="7" eb="9">
      <t>タイセイ</t>
    </rPh>
    <rPh sb="9" eb="11">
      <t>キョウカ</t>
    </rPh>
    <rPh sb="11" eb="13">
      <t>カサン</t>
    </rPh>
    <rPh sb="13" eb="15">
      <t>ケイサン</t>
    </rPh>
    <rPh sb="15" eb="16">
      <t>ヨウ</t>
    </rPh>
    <phoneticPr fontId="51"/>
  </si>
  <si>
    <t>←3%加計算用</t>
    <rPh sb="3" eb="4">
      <t>カ</t>
    </rPh>
    <rPh sb="4" eb="6">
      <t>ケイサン</t>
    </rPh>
    <rPh sb="6" eb="7">
      <t>ヨウ</t>
    </rPh>
    <phoneticPr fontId="51"/>
  </si>
  <si>
    <t>←中山間地域計算用</t>
    <rPh sb="1" eb="6">
      <t>チュウサンカンチイキ</t>
    </rPh>
    <rPh sb="6" eb="9">
      <t>ケイサンヨウ</t>
    </rPh>
    <phoneticPr fontId="51"/>
  </si>
  <si>
    <t>介護職員等
特定処遇改善加算</t>
    <phoneticPr fontId="12"/>
  </si>
  <si>
    <t>感染症等による
3%加算</t>
    <rPh sb="0" eb="3">
      <t>カンセンショウ</t>
    </rPh>
    <rPh sb="3" eb="4">
      <t>ナド</t>
    </rPh>
    <phoneticPr fontId="17"/>
  </si>
  <si>
    <t>有</t>
    <phoneticPr fontId="17"/>
  </si>
  <si>
    <t>科学的介護推進体制加算</t>
    <rPh sb="0" eb="7">
      <t>カガクテキカイゴスイシン</t>
    </rPh>
    <rPh sb="7" eb="9">
      <t>タイセイ</t>
    </rPh>
    <rPh sb="9" eb="11">
      <t>カサン</t>
    </rPh>
    <phoneticPr fontId="51"/>
  </si>
  <si>
    <t>科学的介護推進体制加算</t>
    <rPh sb="7" eb="9">
      <t>タイセイ</t>
    </rPh>
    <phoneticPr fontId="51"/>
  </si>
  <si>
    <t>月</t>
    <rPh sb="0" eb="1">
      <t>ツキ</t>
    </rPh>
    <phoneticPr fontId="51"/>
  </si>
  <si>
    <t>⑪</t>
    <phoneticPr fontId="12"/>
  </si>
  <si>
    <t>⑫</t>
    <phoneticPr fontId="12"/>
  </si>
  <si>
    <t>有</t>
  </si>
  <si>
    <t>料金</t>
    <rPh sb="0" eb="2">
      <t>リョウキン</t>
    </rPh>
    <phoneticPr fontId="0"/>
  </si>
  <si>
    <t>延長加算及び時間外サービスを利用中の夕食提供。栄養バランスの取れた温かい食事を摂っていただけます。</t>
    <phoneticPr fontId="17"/>
  </si>
  <si>
    <t>医師・理学療法士・作業療法士、介護福祉士、介護支援専門員等が利用者宅を訪ねて、浴室の環境を確認し、それを踏まえて“個別入浴計画に相当する内容を通所介護計画の中に記載”し、計画に基づき個別の入浴介助を行う場合に算定されます。</t>
    <phoneticPr fontId="17"/>
  </si>
  <si>
    <t>口腔・栄養スクリーニング加算（Ⅰ）</t>
    <phoneticPr fontId="12"/>
  </si>
  <si>
    <t>口腔・栄養スクリーニング加算（Ⅱ）</t>
    <phoneticPr fontId="12"/>
  </si>
  <si>
    <t>　指定通所介護の提供を開始する際には、利用者の心身の状況、希望及びその置かれている状況並びに家族等介護者の状況を十分把握し、通所介護計画を作成する。また、既に居宅サービス計画が作成されている場合は、その内容に沿った通所介護計画を作成する。</t>
    <phoneticPr fontId="17"/>
  </si>
  <si>
    <t>　指定通所介護の提供を開始するにあたって、本規程に沿った事業内容の詳細について、利用者に契約書の書面をもって説明し、同意を得た上で署名（記名押印）を受けることとする。</t>
    <phoneticPr fontId="17"/>
  </si>
  <si>
    <t>　指定通所介護に使用する備品等は清潔に保持し、定期的な消毒を施すなど常に衛生管理に十分留意するものとする。</t>
    <phoneticPr fontId="17"/>
  </si>
  <si>
    <t>【料金表】2021年4月1日改正</t>
    <rPh sb="9" eb="10">
      <t>ネン</t>
    </rPh>
    <phoneticPr fontId="12"/>
  </si>
  <si>
    <t>　乙は、乙の定めた極度額の範囲で発生した債務を、身元引受人兼連帯保証人に請求できるものとします。極度額の範囲は上限を１，０００万円とします。</t>
    <rPh sb="1" eb="2">
      <t>オツ</t>
    </rPh>
    <rPh sb="4" eb="5">
      <t>オツ</t>
    </rPh>
    <rPh sb="6" eb="7">
      <t>サダ</t>
    </rPh>
    <rPh sb="13" eb="15">
      <t>ハンイ</t>
    </rPh>
    <rPh sb="16" eb="18">
      <t>ハッセイ</t>
    </rPh>
    <rPh sb="29" eb="30">
      <t>ケン</t>
    </rPh>
    <rPh sb="30" eb="32">
      <t>レンタイ</t>
    </rPh>
    <rPh sb="48" eb="51">
      <t>キョクドガク</t>
    </rPh>
    <rPh sb="52" eb="54">
      <t>ハンイ</t>
    </rPh>
    <rPh sb="55" eb="57">
      <t>ジョウゲン</t>
    </rPh>
    <rPh sb="63" eb="64">
      <t>マン</t>
    </rPh>
    <rPh sb="64" eb="65">
      <t>エン</t>
    </rPh>
    <phoneticPr fontId="17"/>
  </si>
  <si>
    <t>2022年10月1日改正</t>
    <rPh sb="4" eb="5">
      <t>ネン</t>
    </rPh>
    <rPh sb="7" eb="8">
      <t>ガツ</t>
    </rPh>
    <phoneticPr fontId="17"/>
  </si>
  <si>
    <t>ベースアップ等支援加算</t>
    <rPh sb="6" eb="7">
      <t>ナド</t>
    </rPh>
    <rPh sb="7" eb="9">
      <t>シエン</t>
    </rPh>
    <rPh sb="9" eb="11">
      <t>カサン</t>
    </rPh>
    <phoneticPr fontId="12"/>
  </si>
  <si>
    <t>=⑧</t>
    <phoneticPr fontId="17"/>
  </si>
  <si>
    <t>⑨</t>
    <phoneticPr fontId="17"/>
  </si>
  <si>
    <t>保険外計（⑫）</t>
    <rPh sb="0" eb="2">
      <t>ホケン</t>
    </rPh>
    <rPh sb="2" eb="3">
      <t>ガイ</t>
    </rPh>
    <rPh sb="3" eb="4">
      <t>ケイ</t>
    </rPh>
    <phoneticPr fontId="12"/>
  </si>
  <si>
    <t>利用者負担分（⑨－⑩）※限度額オーバーがある場合はその分を含む</t>
    <phoneticPr fontId="17"/>
  </si>
  <si>
    <t>利用者負担分（⑨－⑩）</t>
    <rPh sb="0" eb="3">
      <t>リヨウシャ</t>
    </rPh>
    <rPh sb="3" eb="5">
      <t>フタン</t>
    </rPh>
    <rPh sb="5" eb="6">
      <t>ブン</t>
    </rPh>
    <phoneticPr fontId="12"/>
  </si>
  <si>
    <t>⑬</t>
    <phoneticPr fontId="17"/>
  </si>
  <si>
    <t>④はここの数字で計算</t>
    <rPh sb="5" eb="7">
      <t>スウジ</t>
    </rPh>
    <rPh sb="8" eb="10">
      <t>ケイサン</t>
    </rPh>
    <phoneticPr fontId="12"/>
  </si>
  <si>
    <t>介護職員
処遇改善加算</t>
    <rPh sb="2" eb="4">
      <t>ショクイン</t>
    </rPh>
    <phoneticPr fontId="12"/>
  </si>
  <si>
    <t>ベースアップ等支援加算</t>
    <phoneticPr fontId="12"/>
  </si>
  <si>
    <t>算定あり</t>
    <rPh sb="0" eb="2">
      <t>サンテイ</t>
    </rPh>
    <phoneticPr fontId="12"/>
  </si>
  <si>
    <t>ベースアップ等
支援加算</t>
    <phoneticPr fontId="12"/>
  </si>
  <si>
    <t>⑬</t>
    <phoneticPr fontId="12"/>
  </si>
  <si>
    <t>ベースアップ等支援加算</t>
    <rPh sb="6" eb="7">
      <t>ナド</t>
    </rPh>
    <rPh sb="7" eb="9">
      <t>シエン</t>
    </rPh>
    <rPh sb="9" eb="11">
      <t>カサン</t>
    </rPh>
    <phoneticPr fontId="17"/>
  </si>
  <si>
    <t>算定あり</t>
    <rPh sb="0" eb="2">
      <t>サンテイ</t>
    </rPh>
    <phoneticPr fontId="127"/>
  </si>
  <si>
    <t>※この概算見積もりには各種処遇改善加算や中山間地域居住者へのサービス提供加算、感染症や災害等による３％加算等の特例的な加算は含まれません。</t>
    <rPh sb="11" eb="13">
      <t>カクシュ</t>
    </rPh>
    <rPh sb="13" eb="17">
      <t>ショグウカイゼン</t>
    </rPh>
    <rPh sb="17" eb="19">
      <t>カサン</t>
    </rPh>
    <phoneticPr fontId="17"/>
  </si>
  <si>
    <t>※この概算見積もりには各種処遇改善加算や中山間地域居住者へのサービス提供加算、感染症や災害等による３％加算等の特例的な加算は含まれません。</t>
    <phoneticPr fontId="17"/>
  </si>
  <si>
    <t>　（１）</t>
  </si>
  <si>
    <t>①身体的な力を使って危害を及ぼす（及ばされそうになった）行為〈身体的暴力〉</t>
    <phoneticPr fontId="17"/>
  </si>
  <si>
    <t>②個人の尊厳や人格を言葉や態度によって傷つけたり、おとしめたりする行為
　　〈精神的暴力〉</t>
    <phoneticPr fontId="17"/>
  </si>
  <si>
    <t xml:space="preserve">③意に沿わない性的な言動、好意的態度の要求等、性的ないやがらせ行為
　　〈セクシュアルハラスメント〉
</t>
    <phoneticPr fontId="17"/>
  </si>
  <si>
    <t>②個人の尊厳や人格を言葉や態度によって傷つけたり、おとしめたりする行為〈精神的暴力〉</t>
    <phoneticPr fontId="17"/>
  </si>
  <si>
    <t xml:space="preserve">③意に沿わない性的な言動、好意的態度の要求等、性的ないやがらせ行為〈セクシュアルハラスメント〉
</t>
    <phoneticPr fontId="17"/>
  </si>
  <si>
    <t>２</t>
    <phoneticPr fontId="17"/>
  </si>
  <si>
    <t>３</t>
    <phoneticPr fontId="17"/>
  </si>
  <si>
    <t>介護保険適用時の自己負担額</t>
    <rPh sb="4" eb="6">
      <t>テキヨウ</t>
    </rPh>
    <phoneticPr fontId="17"/>
  </si>
  <si>
    <t>介護保険適用時の自己負担額</t>
    <phoneticPr fontId="17"/>
  </si>
  <si>
    <t>重 要 事 項 説 明 書</t>
    <rPh sb="12" eb="13">
      <t>ショ</t>
    </rPh>
    <phoneticPr fontId="17"/>
  </si>
  <si>
    <t>保険外費用</t>
    <rPh sb="0" eb="3">
      <t>ホケンガイ</t>
    </rPh>
    <rPh sb="3" eb="5">
      <t>ヒヨウ</t>
    </rPh>
    <phoneticPr fontId="17"/>
  </si>
  <si>
    <t>保険外1.2</t>
    <rPh sb="0" eb="2">
      <t>ホケン</t>
    </rPh>
    <rPh sb="2" eb="3">
      <t>ガイ</t>
    </rPh>
    <phoneticPr fontId="17"/>
  </si>
  <si>
    <t>保険外3.4.5</t>
    <rPh sb="0" eb="2">
      <t>ホケン</t>
    </rPh>
    <rPh sb="2" eb="3">
      <t>ガイ</t>
    </rPh>
    <phoneticPr fontId="17"/>
  </si>
  <si>
    <t>夜間サポート</t>
    <rPh sb="0" eb="2">
      <t>ヤカン</t>
    </rPh>
    <phoneticPr fontId="17"/>
  </si>
  <si>
    <t>おむつ・リハパン</t>
  </si>
  <si>
    <t>パッド</t>
  </si>
  <si>
    <t>保険外要介護（１・２）</t>
    <rPh sb="0" eb="2">
      <t>ホケン</t>
    </rPh>
    <rPh sb="2" eb="3">
      <t>ガイ</t>
    </rPh>
    <rPh sb="3" eb="6">
      <t>ヨウカイゴ</t>
    </rPh>
    <phoneticPr fontId="17"/>
  </si>
  <si>
    <t>回</t>
    <rPh sb="0" eb="1">
      <t>カイ</t>
    </rPh>
    <phoneticPr fontId="17"/>
  </si>
  <si>
    <t>保険外要介護（３・４・５）</t>
    <rPh sb="0" eb="2">
      <t>ホケン</t>
    </rPh>
    <rPh sb="2" eb="3">
      <t>ガイ</t>
    </rPh>
    <rPh sb="3" eb="6">
      <t>ヨウカイゴ</t>
    </rPh>
    <phoneticPr fontId="17"/>
  </si>
  <si>
    <t>時間外サービス</t>
    <rPh sb="0" eb="3">
      <t>ジカンガイ</t>
    </rPh>
    <phoneticPr fontId="17"/>
  </si>
  <si>
    <t>枚</t>
    <rPh sb="0" eb="1">
      <t>マイ</t>
    </rPh>
    <phoneticPr fontId="17"/>
  </si>
  <si>
    <t>付き添いサービス</t>
    <rPh sb="0" eb="1">
      <t>ツ</t>
    </rPh>
    <rPh sb="2" eb="3">
      <t>ソ</t>
    </rPh>
    <phoneticPr fontId="17"/>
  </si>
  <si>
    <t>同一建物減</t>
    <rPh sb="0" eb="2">
      <t>ドウイツ</t>
    </rPh>
    <rPh sb="2" eb="4">
      <t>タテモノ</t>
    </rPh>
    <rPh sb="4" eb="5">
      <t>ゲン</t>
    </rPh>
    <phoneticPr fontId="17"/>
  </si>
  <si>
    <t>同一建物減算</t>
    <rPh sb="5" eb="6">
      <t>サン</t>
    </rPh>
    <phoneticPr fontId="17"/>
  </si>
  <si>
    <t>←マスターを参照</t>
    <rPh sb="6" eb="8">
      <t>サンショウ</t>
    </rPh>
    <phoneticPr fontId="17"/>
  </si>
  <si>
    <t>↓↓手入力項目</t>
    <rPh sb="2" eb="5">
      <t>テニュウリョク</t>
    </rPh>
    <rPh sb="5" eb="7">
      <t>コウモク</t>
    </rPh>
    <phoneticPr fontId="17"/>
  </si>
  <si>
    <t>費用</t>
    <rPh sb="0" eb="2">
      <t>ヒヨウ</t>
    </rPh>
    <phoneticPr fontId="17"/>
  </si>
  <si>
    <t>保険外費用一覧</t>
    <rPh sb="0" eb="2">
      <t>ホケン</t>
    </rPh>
    <rPh sb="2" eb="3">
      <t>ガイ</t>
    </rPh>
    <rPh sb="3" eb="5">
      <t>ヒヨウ</t>
    </rPh>
    <rPh sb="5" eb="7">
      <t>イチラン</t>
    </rPh>
    <phoneticPr fontId="17"/>
  </si>
  <si>
    <t>保険外費用</t>
    <rPh sb="0" eb="2">
      <t>ホケン</t>
    </rPh>
    <rPh sb="2" eb="3">
      <t>ガイ</t>
    </rPh>
    <rPh sb="3" eb="5">
      <t>ヒヨウ</t>
    </rPh>
    <phoneticPr fontId="12"/>
  </si>
  <si>
    <t>J42</t>
  </si>
  <si>
    <t>生活機能向上連携加算（Ⅰ）※3か月に1回程度</t>
    <phoneticPr fontId="12"/>
  </si>
  <si>
    <t>日</t>
    <rPh sb="0" eb="1">
      <t>ニチ</t>
    </rPh>
    <phoneticPr fontId="17"/>
  </si>
  <si>
    <t>同一建物減算</t>
    <rPh sb="0" eb="6">
      <t>ドウイツタテモノゲンサン</t>
    </rPh>
    <phoneticPr fontId="17"/>
  </si>
  <si>
    <t>同一建物</t>
    <rPh sb="0" eb="2">
      <t>ドウイツ</t>
    </rPh>
    <rPh sb="2" eb="4">
      <t>タテモノ</t>
    </rPh>
    <phoneticPr fontId="17"/>
  </si>
  <si>
    <t>↑マスターを参照</t>
    <rPh sb="6" eb="8">
      <t>サンショウ</t>
    </rPh>
    <phoneticPr fontId="17"/>
  </si>
  <si>
    <t>事業所と同一建物に居住する利用者に対して、サービスを提供した場合に減算の対象となります。</t>
    <phoneticPr fontId="17"/>
  </si>
  <si>
    <t>←追加</t>
    <rPh sb="1" eb="3">
      <t>ツイカ</t>
    </rPh>
    <phoneticPr fontId="17"/>
  </si>
  <si>
    <t>日</t>
    <rPh sb="0" eb="1">
      <t>ニチ</t>
    </rPh>
    <phoneticPr fontId="17"/>
  </si>
  <si>
    <t>＜支給限度額（1割負担）円＞</t>
    <rPh sb="1" eb="3">
      <t>シキュウ</t>
    </rPh>
    <rPh sb="3" eb="5">
      <t>ゲンド</t>
    </rPh>
    <rPh sb="5" eb="6">
      <t>ガク</t>
    </rPh>
    <rPh sb="8" eb="9">
      <t>ワリ</t>
    </rPh>
    <rPh sb="9" eb="11">
      <t>フタン</t>
    </rPh>
    <rPh sb="12" eb="13">
      <t>エン</t>
    </rPh>
    <phoneticPr fontId="17"/>
  </si>
  <si>
    <t>単位</t>
    <rPh sb="0" eb="2">
      <t>タンイ</t>
    </rPh>
    <phoneticPr fontId="17"/>
  </si>
  <si>
    <t>保険外</t>
    <rPh sb="0" eb="2">
      <t>ホケン</t>
    </rPh>
    <rPh sb="2" eb="3">
      <t>ガイ</t>
    </rPh>
    <phoneticPr fontId="17"/>
  </si>
  <si>
    <t>デイサービスサツキノユ</t>
    <phoneticPr fontId="17"/>
  </si>
  <si>
    <t>デイサービスさつきの湯</t>
    <phoneticPr fontId="17"/>
  </si>
  <si>
    <t>0857</t>
    <phoneticPr fontId="17"/>
  </si>
  <si>
    <t>愛知県豊川市八幡町本郷14番地1</t>
    <phoneticPr fontId="17"/>
  </si>
  <si>
    <t>0533-56-7087</t>
    <phoneticPr fontId="17"/>
  </si>
  <si>
    <t>0533-56-7088</t>
    <phoneticPr fontId="17"/>
  </si>
  <si>
    <t>日</t>
    <phoneticPr fontId="17"/>
  </si>
  <si>
    <t>9:30</t>
    <phoneticPr fontId="17"/>
  </si>
  <si>
    <t>16:40</t>
    <phoneticPr fontId="17"/>
  </si>
  <si>
    <t>豊川市</t>
    <phoneticPr fontId="17"/>
  </si>
  <si>
    <t>指定居宅サービスの事業の人員、設備及び運営に関する基準等を定める条例（平成24年12月25日）</t>
    <rPh sb="35" eb="37">
      <t>ヘイセイ</t>
    </rPh>
    <phoneticPr fontId="17"/>
  </si>
  <si>
    <t>株式会社ケアサポート</t>
    <rPh sb="0" eb="4">
      <t>カブシキカイシャ</t>
    </rPh>
    <phoneticPr fontId="17"/>
  </si>
  <si>
    <t>442</t>
    <phoneticPr fontId="17"/>
  </si>
  <si>
    <t>0013</t>
    <phoneticPr fontId="17"/>
  </si>
  <si>
    <t>愛知県豊川市大堀町293番地</t>
    <phoneticPr fontId="17"/>
  </si>
  <si>
    <t>0533-65-8702</t>
    <phoneticPr fontId="17"/>
  </si>
  <si>
    <t>0533-65-8703</t>
    <phoneticPr fontId="17"/>
  </si>
  <si>
    <t>代表取締役</t>
    <phoneticPr fontId="17"/>
  </si>
  <si>
    <t>本多康夫</t>
    <rPh sb="0" eb="2">
      <t>ホンダ</t>
    </rPh>
    <rPh sb="2" eb="4">
      <t>ヤスオ</t>
    </rPh>
    <phoneticPr fontId="17"/>
  </si>
  <si>
    <t>愛知県豊橋市八町通２丁目16番地</t>
    <rPh sb="14" eb="16">
      <t xml:space="preserve">バンチ </t>
    </rPh>
    <phoneticPr fontId="17"/>
  </si>
  <si>
    <t>愛知県名古屋市東区泉一丁目6番5号</t>
    <phoneticPr fontId="17"/>
  </si>
  <si>
    <t>052-971-4165</t>
    <phoneticPr fontId="17"/>
  </si>
  <si>
    <t>0532-26-8471</t>
    <phoneticPr fontId="17"/>
  </si>
  <si>
    <t>８：３０</t>
    <phoneticPr fontId="17"/>
  </si>
  <si>
    <t>１７：１５</t>
    <phoneticPr fontId="17"/>
  </si>
  <si>
    <t>令和</t>
  </si>
  <si>
    <t>東三河広域連合</t>
    <rPh sb="0" eb="5">
      <t xml:space="preserve">ヒガシミカワコウイキ </t>
    </rPh>
    <rPh sb="5" eb="7">
      <t xml:space="preserve">レンゴウ </t>
    </rPh>
    <phoneticPr fontId="17"/>
  </si>
  <si>
    <t>8:30</t>
    <phoneticPr fontId="17"/>
  </si>
  <si>
    <t>17:40</t>
    <phoneticPr fontId="17"/>
  </si>
  <si>
    <t>豊橋市</t>
    <rPh sb="0" eb="3">
      <t xml:space="preserve">トヨハシシ </t>
    </rPh>
    <phoneticPr fontId="17"/>
  </si>
  <si>
    <t>570</t>
    <phoneticPr fontId="17"/>
  </si>
  <si>
    <t>630</t>
    <phoneticPr fontId="17"/>
  </si>
  <si>
    <t>3500</t>
    <phoneticPr fontId="17"/>
  </si>
  <si>
    <t>2000</t>
    <phoneticPr fontId="17"/>
  </si>
  <si>
    <r>
      <t>▶</t>
    </r>
    <r>
      <rPr>
        <sz val="10"/>
        <rFont val="Apple Color Emoji"/>
        <family val="3"/>
      </rPr>
      <t>️</t>
    </r>
    <phoneticPr fontId="17"/>
  </si>
  <si>
    <t>AIG損害保険</t>
    <phoneticPr fontId="17"/>
  </si>
  <si>
    <t>介護保険・社規福祉事業者総合保険</t>
  </si>
  <si>
    <r>
      <t>虐待の防止に関する</t>
    </r>
    <r>
      <rPr>
        <u/>
        <sz val="12"/>
        <rFont val="ＭＳ 明朝"/>
        <family val="1"/>
        <charset val="128"/>
      </rPr>
      <t>責任者の選定</t>
    </r>
    <phoneticPr fontId="234"/>
  </si>
  <si>
    <t>成年後見制度の利用支援</t>
    <phoneticPr fontId="234"/>
  </si>
  <si>
    <t>虐待を防止するための従業者に対する研修の実施</t>
    <phoneticPr fontId="234"/>
  </si>
  <si>
    <t>苦情解決体制の整備</t>
    <phoneticPr fontId="234"/>
  </si>
  <si>
    <t>虐待の防止のための対策を検討する委員会の設置</t>
    <phoneticPr fontId="234"/>
  </si>
  <si>
    <t>事業所は、身体拘束等の適正化を図るため、次の措置を講ずるものとします。</t>
    <phoneticPr fontId="17"/>
  </si>
  <si>
    <t>身体拘束等の適正化のための責任者の選定</t>
    <phoneticPr fontId="234"/>
  </si>
  <si>
    <t>身体拘束等の適正化のための指針の整備</t>
    <phoneticPr fontId="234"/>
  </si>
  <si>
    <t>身体拘束等の適正化のための研修の実施</t>
    <phoneticPr fontId="234"/>
  </si>
  <si>
    <t>身体拘束等の適正化のための対策を検討する委員会の設置</t>
    <phoneticPr fontId="234"/>
  </si>
  <si>
    <t>　（２）</t>
  </si>
  <si>
    <t>　（３）</t>
  </si>
  <si>
    <t>　（４）</t>
  </si>
  <si>
    <t>　（５）</t>
  </si>
  <si>
    <t>事業者は、サービス提供中に当該事業所従業者又は養護者（利用者の家族等高齢者を現に養護する者）による虐待を受けたと思われる利用者を発見した場合は、速やかに、これを指定権者に通報します。</t>
    <phoneticPr fontId="17"/>
  </si>
  <si>
    <t>１０　身体的拘束等について</t>
    <rPh sb="5" eb="6">
      <t>テキ</t>
    </rPh>
    <rPh sb="8" eb="9">
      <t>トウ</t>
    </rPh>
    <phoneticPr fontId="17"/>
  </si>
  <si>
    <t>事業者は、サービス提供にあたり身体的拘束等その他利用者の行動を制限する行為を行いません。但し、利用者又は他の利用者等の生命又は身体を保護するため緊急やむを得ない場合は、この限りではありません。</t>
    <rPh sb="20" eb="21">
      <t>トウ</t>
    </rPh>
    <phoneticPr fontId="17"/>
  </si>
  <si>
    <r>
      <t>※指定通所介護事業者の管理者は，通所介護計画の作成に当たっては，その内容について利用者又はその家族に対して説明し、</t>
    </r>
    <r>
      <rPr>
        <sz val="10"/>
        <color rgb="FF0070C0"/>
        <rFont val="ＭＳ 明朝"/>
        <family val="1"/>
        <charset val="128"/>
      </rPr>
      <t>利用者</t>
    </r>
    <r>
      <rPr>
        <sz val="10"/>
        <color rgb="FFFF0000"/>
        <rFont val="ＭＳ 明朝"/>
        <family val="1"/>
        <charset val="128"/>
      </rPr>
      <t>の同意を得なければならない（指定基準９９条２項）。</t>
    </r>
    <rPh sb="1" eb="3">
      <t>シテイ</t>
    </rPh>
    <rPh sb="3" eb="5">
      <t>ツウショ</t>
    </rPh>
    <rPh sb="5" eb="7">
      <t>カイゴ</t>
    </rPh>
    <rPh sb="7" eb="10">
      <t>ジギョウシャ</t>
    </rPh>
    <rPh sb="11" eb="14">
      <t>カンリシャ</t>
    </rPh>
    <rPh sb="16" eb="18">
      <t>ツウショ</t>
    </rPh>
    <rPh sb="18" eb="20">
      <t>カイゴ</t>
    </rPh>
    <rPh sb="20" eb="22">
      <t>ケイカク</t>
    </rPh>
    <rPh sb="23" eb="25">
      <t>サクセイ</t>
    </rPh>
    <rPh sb="26" eb="27">
      <t>ア</t>
    </rPh>
    <rPh sb="34" eb="36">
      <t>ナイヨウ</t>
    </rPh>
    <rPh sb="40" eb="43">
      <t>リヨウシャ</t>
    </rPh>
    <rPh sb="43" eb="44">
      <t>マタ</t>
    </rPh>
    <rPh sb="47" eb="49">
      <t>カゾク</t>
    </rPh>
    <rPh sb="50" eb="51">
      <t>タイ</t>
    </rPh>
    <rPh sb="53" eb="55">
      <t>セツメイ</t>
    </rPh>
    <rPh sb="57" eb="60">
      <t>リヨウシャ</t>
    </rPh>
    <rPh sb="61" eb="63">
      <t>ドウイ</t>
    </rPh>
    <rPh sb="64" eb="65">
      <t>エ</t>
    </rPh>
    <rPh sb="74" eb="76">
      <t>シテイ</t>
    </rPh>
    <rPh sb="76" eb="78">
      <t>キジュン</t>
    </rPh>
    <rPh sb="80" eb="81">
      <t>ジョウ</t>
    </rPh>
    <rPh sb="82" eb="83">
      <t>コウ</t>
    </rPh>
    <phoneticPr fontId="17"/>
  </si>
  <si>
    <t>　当事業者は、通常規模型通所介護契約書及び重要事項説明書に基づいて、通常規模型通所介護のサービス内容及び重要事項の説明をしました。																			
																			た。</t>
    <rPh sb="7" eb="11">
      <t xml:space="preserve">ツウジョウキボ </t>
    </rPh>
    <rPh sb="34" eb="38">
      <t xml:space="preserve">ツウジョウキボ </t>
    </rPh>
    <phoneticPr fontId="17"/>
  </si>
  <si>
    <t>　私は、通常規模型通所介護契約書及び重要事項説明書に基づいて、通常規模型通所介護のサービス内容及び重要事項の説明を受け、同意しました。																			
																			た。</t>
    <rPh sb="1" eb="2">
      <t xml:space="preserve">ワタシ </t>
    </rPh>
    <rPh sb="4" eb="8">
      <t xml:space="preserve">ツウジョウキボ </t>
    </rPh>
    <rPh sb="31" eb="35">
      <t xml:space="preserve">ツウジョウキボ </t>
    </rPh>
    <rPh sb="60" eb="62">
      <t xml:space="preserve">ドウイ </t>
    </rPh>
    <phoneticPr fontId="17"/>
  </si>
  <si>
    <t>　私は、介護サポート契約書及び重要事項説明書に基づいて、介護サポートのサービス内容及び重要事項の説明を受け、同意しました。</t>
    <phoneticPr fontId="17"/>
  </si>
  <si>
    <t>月曜日～土曜日</t>
    <rPh sb="4" eb="5">
      <t xml:space="preserve">ド </t>
    </rPh>
    <phoneticPr fontId="17"/>
  </si>
  <si>
    <t>８：３０〜１７：４０</t>
    <phoneticPr fontId="17"/>
  </si>
  <si>
    <t>株式会社ケアサポート</t>
    <rPh sb="0" eb="4">
      <t>カブシ</t>
    </rPh>
    <phoneticPr fontId="17"/>
  </si>
  <si>
    <t>代表取締役　本多 康夫</t>
    <rPh sb="0" eb="5">
      <t>ダイヒョウ</t>
    </rPh>
    <rPh sb="6" eb="11">
      <t>ホンダ</t>
    </rPh>
    <phoneticPr fontId="17"/>
  </si>
  <si>
    <t>介護職員等処遇改善加算（Ⅰ）</t>
    <rPh sb="0" eb="1">
      <t>カイ</t>
    </rPh>
    <rPh sb="1" eb="2">
      <t>マモル</t>
    </rPh>
    <rPh sb="2" eb="3">
      <t>ショク</t>
    </rPh>
    <rPh sb="3" eb="4">
      <t>イン</t>
    </rPh>
    <rPh sb="4" eb="5">
      <t xml:space="preserve">ナド </t>
    </rPh>
    <phoneticPr fontId="12"/>
  </si>
  <si>
    <t>介護職員等処遇改善加算（Ⅱ）</t>
    <rPh sb="0" eb="1">
      <t>カイ</t>
    </rPh>
    <rPh sb="1" eb="2">
      <t>マモル</t>
    </rPh>
    <rPh sb="2" eb="3">
      <t>ショク</t>
    </rPh>
    <rPh sb="3" eb="4">
      <t>イン</t>
    </rPh>
    <rPh sb="4" eb="5">
      <t xml:space="preserve">ナド </t>
    </rPh>
    <phoneticPr fontId="12"/>
  </si>
  <si>
    <t>介護職員等処遇改善加算（Ⅲ）</t>
    <rPh sb="0" eb="1">
      <t>カイ</t>
    </rPh>
    <rPh sb="1" eb="2">
      <t>マモル</t>
    </rPh>
    <rPh sb="2" eb="3">
      <t>ショク</t>
    </rPh>
    <rPh sb="3" eb="4">
      <t>イン</t>
    </rPh>
    <rPh sb="4" eb="5">
      <t xml:space="preserve">ナド </t>
    </rPh>
    <phoneticPr fontId="12"/>
  </si>
  <si>
    <t>9.2%（1ヶ月の利用合計単位数に乗じる）</t>
    <phoneticPr fontId="17"/>
  </si>
  <si>
    <r>
      <rPr>
        <b/>
        <sz val="10"/>
        <color rgb="FFFF0000"/>
        <rFont val="ＭＳ Ｐゴシック"/>
        <family val="3"/>
        <charset val="128"/>
      </rPr>
      <t>9.0</t>
    </r>
    <r>
      <rPr>
        <sz val="10"/>
        <rFont val="ＭＳ Ｐゴシック"/>
        <family val="3"/>
        <charset val="128"/>
      </rPr>
      <t>%（1ヶ月の利用合計単位数に乗じる）</t>
    </r>
    <phoneticPr fontId="17"/>
  </si>
  <si>
    <r>
      <rPr>
        <b/>
        <sz val="10"/>
        <color rgb="FFFF0000"/>
        <rFont val="ＭＳ Ｐゴシック"/>
        <family val="3"/>
        <charset val="128"/>
      </rPr>
      <t>8.0</t>
    </r>
    <r>
      <rPr>
        <sz val="10"/>
        <rFont val="ＭＳ Ｐゴシック"/>
        <family val="3"/>
        <charset val="128"/>
      </rPr>
      <t>%（1ヶ月の利用合計単位数に乗じる）</t>
    </r>
    <phoneticPr fontId="17"/>
  </si>
  <si>
    <t>介護職員等処遇改善加算（Ⅰ）～（Ⅲ）</t>
    <rPh sb="4" eb="5">
      <t xml:space="preserve">ナド </t>
    </rPh>
    <phoneticPr fontId="17"/>
  </si>
  <si>
    <t>介護職員等の賃金改善の観点から、介護サービスに従事する介護職員等の賃金改善に充てることを目的とした加算です。
算定要件を満たし、計画を指定権者に提出した事業所のみが加算取得の対象となります。</t>
    <rPh sb="4" eb="5">
      <t xml:space="preserve">ナド </t>
    </rPh>
    <rPh sb="31" eb="32">
      <t xml:space="preserve">ナド </t>
    </rPh>
    <phoneticPr fontId="17"/>
  </si>
  <si>
    <t>サービス提供
体制強化加算</t>
  </si>
  <si>
    <t>中山間地域等
提供加算</t>
  </si>
  <si>
    <t>繁原　秀章</t>
    <rPh sb="0" eb="2">
      <t>シゲハラ</t>
    </rPh>
    <rPh sb="3" eb="5">
      <t>ヒデアキ</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</si>
</sst>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quot;¥&quot;\-#,##0"/>
    <numFmt numFmtId="6" formatCode="&quot;¥&quot;#,##0;[Red]&quot;¥&quot;\-#,##0"/>
    <numFmt numFmtId="176" formatCode="0_ "/>
    <numFmt numFmtId="177" formatCode="0_);[Red]\(0\)"/>
    <numFmt numFmtId="178" formatCode="0.00_ "/>
    <numFmt numFmtId="179" formatCode="0&quot;円&quot;"/>
    <numFmt numFmtId="180" formatCode="@&quot;単&quot;&quot;位&quot;"/>
    <numFmt numFmtId="181" formatCode="[$-F400]h:mm:ss\ AM/PM"/>
    <numFmt numFmtId="182" formatCode="@&quot;円&quot;"/>
    <numFmt numFmtId="183" formatCode="@\ &quot;殿&quot;"/>
    <numFmt numFmtId="184" formatCode="0&quot;単&quot;&quot;位&quot;"/>
    <numFmt numFmtId="185" formatCode="[$-411]ggge&quot;年&quot;m&quot;月&quot;d&quot;日&quot;;@"/>
    <numFmt numFmtId="186" formatCode="0;&quot;▲ &quot;0"/>
    <numFmt numFmtId="187" formatCode="\▲@&quot;単&quot;&quot;位&quot;"/>
    <numFmt numFmtId="188" formatCode="\▲@&quot;円&quot;"/>
    <numFmt numFmtId="189" formatCode="\(aaa\)"/>
    <numFmt numFmtId="190" formatCode="\(0.00\)"/>
    <numFmt numFmtId="191" formatCode="#,##0.000;[Red]\-#,##0.000"/>
    <numFmt numFmtId="192" formatCode="0.0_ "/>
    <numFmt numFmtId="193" formatCode="#,##0_);[Red]\(#,##0\)"/>
    <numFmt numFmtId="194" formatCode="&quot;¥&quot;#,##0_);\(&quot;¥&quot;#,##0\)"/>
    <numFmt numFmtId="195" formatCode="_ * #,##0_ ;_ * \-#,##0_ ;_ * &quot;-&quot;_ ;_ @_ &quot;様&quot;"/>
    <numFmt numFmtId="196" formatCode="h:mm;@"/>
    <numFmt numFmtId="197" formatCode="[$-411]ggge&quot;年&quot;m&quot;月&quot;d&quot;日&quot;\(aaa\);@"/>
    <numFmt numFmtId="198" formatCode="#,##0&quot;円&quot;"/>
    <numFmt numFmtId="199" formatCode="\▲#,##0&quot;円&quot;"/>
  </numFmts>
  <fonts count="245">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メイリオ"/>
      <family val="2"/>
      <charset val="128"/>
    </font>
    <font>
      <sz val="11"/>
      <name val="ＭＳ 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u/>
      <sz val="11"/>
      <name val="ＭＳ Ｐゴシック"/>
      <family val="3"/>
      <charset val="128"/>
    </font>
    <font>
      <sz val="10"/>
      <color indexed="10"/>
      <name val="ＭＳ Ｐゴシック"/>
      <family val="3"/>
      <charset val="128"/>
    </font>
    <font>
      <sz val="6"/>
      <name val="ＭＳ ゴシック"/>
      <family val="3"/>
      <charset val="128"/>
    </font>
    <font>
      <sz val="12"/>
      <name val="ＭＳ 明朝"/>
      <family val="1"/>
      <charset val="128"/>
    </font>
    <font>
      <sz val="10"/>
      <name val="ＭＳ 明朝"/>
      <family val="1"/>
      <charset val="128"/>
    </font>
    <font>
      <sz val="10.5"/>
      <name val="Century"/>
      <family val="1"/>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b/>
      <sz val="16"/>
      <name val="ＭＳ 明朝"/>
      <family val="1"/>
      <charset val="128"/>
    </font>
    <font>
      <sz val="11"/>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11"/>
      <color theme="1"/>
      <name val="ＭＳ Ｐゴシック"/>
      <family val="3"/>
      <charset val="128"/>
      <scheme val="minor"/>
    </font>
    <font>
      <sz val="10"/>
      <name val="メイリオ"/>
      <family val="3"/>
      <charset val="128"/>
    </font>
    <font>
      <b/>
      <sz val="9"/>
      <color indexed="81"/>
      <name val="ＭＳ Ｐゴシック"/>
      <family val="3"/>
      <charset val="128"/>
    </font>
    <font>
      <b/>
      <sz val="10"/>
      <name val="メイリオ"/>
      <family val="3"/>
      <charset val="128"/>
    </font>
    <font>
      <sz val="6"/>
      <name val="ＭＳ 明朝"/>
      <family val="1"/>
      <charset val="128"/>
    </font>
    <font>
      <sz val="6"/>
      <name val="メイリオ"/>
      <family val="2"/>
      <charset val="128"/>
    </font>
    <font>
      <sz val="11"/>
      <color theme="1"/>
      <name val="ＭＳ Ｐゴシック"/>
      <family val="2"/>
      <charset val="128"/>
      <scheme val="minor"/>
    </font>
    <font>
      <sz val="6"/>
      <name val="ＭＳ Ｐゴシック"/>
      <family val="2"/>
      <charset val="128"/>
      <scheme val="minor"/>
    </font>
    <font>
      <b/>
      <sz val="16"/>
      <color theme="1"/>
      <name val="ＭＳ 明朝"/>
      <family val="1"/>
      <charset val="128"/>
    </font>
    <font>
      <sz val="16"/>
      <color theme="1"/>
      <name val="ＭＳ 明朝"/>
      <family val="1"/>
      <charset val="128"/>
    </font>
    <font>
      <sz val="12"/>
      <color theme="1"/>
      <name val="ＭＳ 明朝"/>
      <family val="1"/>
      <charset val="128"/>
    </font>
    <font>
      <b/>
      <sz val="12"/>
      <color theme="1"/>
      <name val="ＭＳ 明朝"/>
      <family val="1"/>
      <charset val="128"/>
    </font>
    <font>
      <b/>
      <sz val="14"/>
      <name val="ＭＳ 明朝"/>
      <family val="1"/>
      <charset val="128"/>
    </font>
    <font>
      <u/>
      <sz val="12"/>
      <name val="ＭＳ 明朝"/>
      <family val="1"/>
      <charset val="128"/>
    </font>
    <font>
      <b/>
      <sz val="11"/>
      <name val="ＭＳ Ｐゴシック"/>
      <family val="3"/>
      <charset val="128"/>
      <scheme val="minor"/>
    </font>
    <font>
      <b/>
      <sz val="18"/>
      <name val="ＭＳ 明朝"/>
      <family val="1"/>
      <charset val="128"/>
    </font>
    <font>
      <sz val="18"/>
      <name val="ＭＳ 明朝"/>
      <family val="1"/>
      <charset val="128"/>
    </font>
    <font>
      <b/>
      <sz val="20"/>
      <name val="ＭＳ 明朝"/>
      <family val="1"/>
      <charset val="128"/>
    </font>
    <font>
      <sz val="14"/>
      <name val="ＭＳ 明朝"/>
      <family val="1"/>
      <charset val="128"/>
    </font>
    <font>
      <b/>
      <sz val="10"/>
      <name val="ＭＳ 明朝"/>
      <family val="1"/>
      <charset val="128"/>
    </font>
    <font>
      <b/>
      <sz val="10"/>
      <color rgb="FFFF0000"/>
      <name val="ＭＳ 明朝"/>
      <family val="1"/>
      <charset val="128"/>
    </font>
    <font>
      <sz val="9"/>
      <name val="ＭＳ 明朝"/>
      <family val="1"/>
      <charset val="128"/>
    </font>
    <font>
      <b/>
      <sz val="9"/>
      <name val="ＭＳ 明朝"/>
      <family val="1"/>
      <charset val="128"/>
    </font>
    <font>
      <b/>
      <sz val="26"/>
      <name val="ＭＳ 明朝"/>
      <family val="1"/>
      <charset val="128"/>
    </font>
    <font>
      <b/>
      <sz val="20"/>
      <color indexed="9"/>
      <name val="ＭＳ 明朝"/>
      <family val="1"/>
      <charset val="128"/>
    </font>
    <font>
      <sz val="12"/>
      <color indexed="9"/>
      <name val="ＭＳ 明朝"/>
      <family val="1"/>
      <charset val="128"/>
    </font>
    <font>
      <b/>
      <i/>
      <sz val="12"/>
      <name val="ＭＳ 明朝"/>
      <family val="1"/>
      <charset val="128"/>
    </font>
    <font>
      <sz val="8"/>
      <name val="ＭＳ 明朝"/>
      <family val="1"/>
      <charset val="128"/>
    </font>
    <font>
      <sz val="16"/>
      <color rgb="FFFF0000"/>
      <name val="ＭＳ 明朝"/>
      <family val="1"/>
      <charset val="128"/>
    </font>
    <font>
      <b/>
      <sz val="12"/>
      <name val="メイリオ"/>
      <family val="3"/>
      <charset val="128"/>
    </font>
    <font>
      <sz val="10"/>
      <name val="ＭＳ Ｐ明朝"/>
      <family val="1"/>
      <charset val="128"/>
    </font>
    <font>
      <sz val="12"/>
      <color theme="0"/>
      <name val="ＭＳ 明朝"/>
      <family val="1"/>
      <charset val="128"/>
    </font>
    <font>
      <b/>
      <i/>
      <sz val="14"/>
      <name val="ＭＳ 明朝"/>
      <family val="1"/>
      <charset val="128"/>
    </font>
    <font>
      <sz val="20"/>
      <color indexed="9"/>
      <name val="ＭＳ 明朝"/>
      <family val="1"/>
      <charset val="128"/>
    </font>
    <font>
      <sz val="20"/>
      <color theme="1"/>
      <name val="ＭＳ 明朝"/>
      <family val="1"/>
      <charset val="128"/>
    </font>
    <font>
      <strike/>
      <sz val="12"/>
      <name val="ＭＳ 明朝"/>
      <family val="1"/>
      <charset val="128"/>
    </font>
    <font>
      <sz val="11"/>
      <name val="HGPｺﾞｼｯｸM"/>
      <family val="3"/>
      <charset val="128"/>
    </font>
    <font>
      <sz val="12"/>
      <color theme="1"/>
      <name val="HGPｺﾞｼｯｸM"/>
      <family val="3"/>
      <charset val="128"/>
    </font>
    <font>
      <sz val="11"/>
      <color theme="1"/>
      <name val="HGPｺﾞｼｯｸM"/>
      <family val="3"/>
      <charset val="128"/>
    </font>
    <font>
      <sz val="12"/>
      <name val="HGPｺﾞｼｯｸM"/>
      <family val="3"/>
      <charset val="128"/>
    </font>
    <font>
      <sz val="10"/>
      <name val="HGPｺﾞｼｯｸM"/>
      <family val="3"/>
      <charset val="128"/>
    </font>
    <font>
      <sz val="14"/>
      <name val="HGPｺﾞｼｯｸM"/>
      <family val="3"/>
      <charset val="128"/>
    </font>
    <font>
      <b/>
      <sz val="20"/>
      <name val="HGPｺﾞｼｯｸM"/>
      <family val="3"/>
      <charset val="128"/>
    </font>
    <font>
      <sz val="8"/>
      <name val="HGPｺﾞｼｯｸM"/>
      <family val="3"/>
      <charset val="128"/>
    </font>
    <font>
      <b/>
      <sz val="11"/>
      <name val="HGPｺﾞｼｯｸM"/>
      <family val="3"/>
      <charset val="128"/>
    </font>
    <font>
      <b/>
      <sz val="18"/>
      <name val="HGPｺﾞｼｯｸM"/>
      <family val="3"/>
      <charset val="128"/>
    </font>
    <font>
      <b/>
      <sz val="12"/>
      <name val="HGPｺﾞｼｯｸM"/>
      <family val="3"/>
      <charset val="128"/>
    </font>
    <font>
      <b/>
      <sz val="16"/>
      <name val="HGPｺﾞｼｯｸM"/>
      <family val="3"/>
      <charset val="128"/>
    </font>
    <font>
      <b/>
      <sz val="10"/>
      <name val="HGPｺﾞｼｯｸM"/>
      <family val="3"/>
      <charset val="128"/>
    </font>
    <font>
      <sz val="9"/>
      <name val="HGPｺﾞｼｯｸM"/>
      <family val="3"/>
      <charset val="128"/>
    </font>
    <font>
      <b/>
      <sz val="9"/>
      <name val="HGPｺﾞｼｯｸM"/>
      <family val="3"/>
      <charset val="128"/>
    </font>
    <font>
      <sz val="12"/>
      <color indexed="8"/>
      <name val="HGPｺﾞｼｯｸM"/>
      <family val="3"/>
      <charset val="128"/>
    </font>
    <font>
      <sz val="10"/>
      <color theme="1" tint="0.499984740745262"/>
      <name val="HGPｺﾞｼｯｸM"/>
      <family val="3"/>
      <charset val="128"/>
    </font>
    <font>
      <sz val="22"/>
      <name val="HGPｺﾞｼｯｸM"/>
      <family val="3"/>
      <charset val="128"/>
    </font>
    <font>
      <u/>
      <sz val="12"/>
      <name val="HGPｺﾞｼｯｸM"/>
      <family val="3"/>
      <charset val="128"/>
    </font>
    <font>
      <b/>
      <sz val="22"/>
      <name val="HGPｺﾞｼｯｸM"/>
      <family val="3"/>
      <charset val="128"/>
    </font>
    <font>
      <b/>
      <sz val="14"/>
      <name val="HGPｺﾞｼｯｸM"/>
      <family val="3"/>
      <charset val="128"/>
    </font>
    <font>
      <b/>
      <sz val="12"/>
      <color indexed="8"/>
      <name val="HGPｺﾞｼｯｸM"/>
      <family val="3"/>
      <charset val="128"/>
    </font>
    <font>
      <sz val="11"/>
      <color rgb="FFFF0000"/>
      <name val="HGPｺﾞｼｯｸM"/>
      <family val="3"/>
      <charset val="128"/>
    </font>
    <font>
      <sz val="13"/>
      <name val="HGPｺﾞｼｯｸM"/>
      <family val="3"/>
      <charset val="128"/>
    </font>
    <font>
      <sz val="10"/>
      <color indexed="8"/>
      <name val="HGPｺﾞｼｯｸM"/>
      <family val="3"/>
      <charset val="128"/>
    </font>
    <font>
      <sz val="12"/>
      <color rgb="FFFF0000"/>
      <name val="HGPｺﾞｼｯｸM"/>
      <family val="3"/>
      <charset val="128"/>
    </font>
    <font>
      <b/>
      <sz val="24"/>
      <name val="HGPｺﾞｼｯｸM"/>
      <family val="3"/>
      <charset val="128"/>
    </font>
    <font>
      <b/>
      <sz val="20"/>
      <color theme="1"/>
      <name val="HGPｺﾞｼｯｸM"/>
      <family val="3"/>
      <charset val="128"/>
    </font>
    <font>
      <sz val="11"/>
      <color indexed="8"/>
      <name val="HGPｺﾞｼｯｸM"/>
      <family val="3"/>
      <charset val="128"/>
    </font>
    <font>
      <sz val="11"/>
      <color theme="0"/>
      <name val="HGPｺﾞｼｯｸM"/>
      <family val="3"/>
      <charset val="128"/>
    </font>
    <font>
      <sz val="11"/>
      <color indexed="9"/>
      <name val="HGPｺﾞｼｯｸM"/>
      <family val="3"/>
      <charset val="128"/>
    </font>
    <font>
      <b/>
      <sz val="11"/>
      <color indexed="9"/>
      <name val="HGPｺﾞｼｯｸM"/>
      <family val="3"/>
      <charset val="128"/>
    </font>
    <font>
      <sz val="9.5"/>
      <name val="HGPｺﾞｼｯｸM"/>
      <family val="3"/>
      <charset val="128"/>
    </font>
    <font>
      <sz val="24"/>
      <name val="HGPｺﾞｼｯｸM"/>
      <family val="3"/>
      <charset val="128"/>
    </font>
    <font>
      <sz val="26"/>
      <name val="HGPｺﾞｼｯｸM"/>
      <family val="3"/>
      <charset val="128"/>
    </font>
    <font>
      <sz val="30"/>
      <name val="HGPｺﾞｼｯｸM"/>
      <family val="3"/>
      <charset val="128"/>
    </font>
    <font>
      <sz val="9"/>
      <color indexed="8"/>
      <name val="ＭＳ Ｐゴシック"/>
      <family val="3"/>
      <charset val="128"/>
    </font>
    <font>
      <b/>
      <sz val="14"/>
      <color indexed="8"/>
      <name val="ＭＳ Ｐゴシック"/>
      <family val="3"/>
      <charset val="128"/>
    </font>
    <font>
      <sz val="12"/>
      <color indexed="8"/>
      <name val="ＭＳ Ｐゴシック"/>
      <family val="3"/>
      <charset val="128"/>
    </font>
    <font>
      <sz val="12"/>
      <color rgb="FFFF0000"/>
      <name val="ＭＳ Ｐゴシック"/>
      <family val="3"/>
      <charset val="128"/>
    </font>
    <font>
      <b/>
      <sz val="18"/>
      <color indexed="8"/>
      <name val="ＭＳ Ｐゴシック"/>
      <family val="3"/>
      <charset val="128"/>
    </font>
    <font>
      <sz val="9"/>
      <color indexed="81"/>
      <name val="MS P ゴシック"/>
      <family val="3"/>
      <charset val="128"/>
    </font>
    <font>
      <sz val="12"/>
      <color theme="1"/>
      <name val="游ゴシック"/>
      <family val="3"/>
      <charset val="128"/>
    </font>
    <font>
      <sz val="18"/>
      <color theme="3"/>
      <name val="ＭＳ Ｐゴシック"/>
      <family val="2"/>
      <charset val="128"/>
      <scheme val="major"/>
    </font>
    <font>
      <b/>
      <sz val="14"/>
      <color theme="1"/>
      <name val="游ゴシック"/>
      <family val="3"/>
      <charset val="128"/>
    </font>
    <font>
      <b/>
      <sz val="12"/>
      <color theme="1"/>
      <name val="游ゴシック"/>
      <family val="3"/>
      <charset val="128"/>
    </font>
    <font>
      <sz val="10"/>
      <color theme="1"/>
      <name val="游ゴシック"/>
      <family val="3"/>
      <charset val="128"/>
    </font>
    <font>
      <b/>
      <sz val="16"/>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24"/>
      <color theme="0"/>
      <name val="ＭＳ Ｐゴシック"/>
      <family val="3"/>
      <charset val="128"/>
      <scheme val="minor"/>
    </font>
    <font>
      <sz val="8"/>
      <name val="ＭＳ Ｐゴシック"/>
      <family val="3"/>
      <charset val="128"/>
      <scheme val="minor"/>
    </font>
    <font>
      <sz val="12"/>
      <color indexed="8"/>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36"/>
      <name val="ＭＳ Ｐゴシック"/>
      <family val="3"/>
      <charset val="128"/>
      <scheme val="minor"/>
    </font>
    <font>
      <sz val="36"/>
      <name val="ＭＳ Ｐゴシック"/>
      <family val="3"/>
      <charset val="128"/>
      <scheme val="minor"/>
    </font>
    <font>
      <b/>
      <sz val="11"/>
      <color theme="0"/>
      <name val="ＭＳ Ｐゴシック"/>
      <family val="3"/>
      <charset val="128"/>
      <scheme val="minor"/>
    </font>
    <font>
      <u/>
      <sz val="12"/>
      <name val="ＭＳ Ｐゴシック"/>
      <family val="3"/>
      <charset val="128"/>
      <scheme val="minor"/>
    </font>
    <font>
      <sz val="10"/>
      <name val="ＭＳ Ｐゴシック"/>
      <family val="3"/>
      <charset val="128"/>
      <scheme val="minor"/>
    </font>
    <font>
      <sz val="10"/>
      <color theme="1" tint="0.499984740745262"/>
      <name val="ＭＳ Ｐゴシック"/>
      <family val="3"/>
      <charset val="128"/>
      <scheme val="minor"/>
    </font>
    <font>
      <b/>
      <sz val="12"/>
      <name val="ＭＳ Ｐゴシック"/>
      <family val="3"/>
      <charset val="128"/>
      <scheme val="minor"/>
    </font>
    <font>
      <sz val="11"/>
      <color indexed="8"/>
      <name val="ＭＳ Ｐゴシック"/>
      <family val="3"/>
      <charset val="128"/>
      <scheme val="minor"/>
    </font>
    <font>
      <sz val="8"/>
      <color indexed="8"/>
      <name val="ＭＳ Ｐゴシック"/>
      <family val="3"/>
      <charset val="128"/>
      <scheme val="minor"/>
    </font>
    <font>
      <b/>
      <sz val="14"/>
      <color theme="0"/>
      <name val="ＭＳ Ｐゴシック"/>
      <family val="3"/>
      <charset val="128"/>
      <scheme val="minor"/>
    </font>
    <font>
      <sz val="11"/>
      <color theme="1"/>
      <name val="游ゴシック"/>
      <family val="3"/>
      <charset val="128"/>
    </font>
    <font>
      <b/>
      <sz val="11"/>
      <color theme="0"/>
      <name val="游ゴシック"/>
      <family val="3"/>
      <charset val="128"/>
    </font>
    <font>
      <sz val="11"/>
      <name val="游ゴシック"/>
      <family val="3"/>
      <charset val="128"/>
    </font>
    <font>
      <b/>
      <sz val="16"/>
      <color theme="1"/>
      <name val="游ゴシック"/>
      <family val="3"/>
      <charset val="128"/>
    </font>
    <font>
      <sz val="9"/>
      <color theme="1"/>
      <name val="游ゴシック"/>
      <family val="3"/>
      <charset val="128"/>
    </font>
    <font>
      <b/>
      <sz val="11"/>
      <color theme="1"/>
      <name val="游ゴシック"/>
      <family val="3"/>
      <charset val="128"/>
    </font>
    <font>
      <b/>
      <sz val="11"/>
      <color indexed="9"/>
      <name val="游ゴシック"/>
      <family val="3"/>
      <charset val="128"/>
    </font>
    <font>
      <sz val="11"/>
      <color rgb="FF3F3F76"/>
      <name val="ＭＳ Ｐゴシック"/>
      <family val="2"/>
      <charset val="128"/>
      <scheme val="minor"/>
    </font>
    <font>
      <b/>
      <sz val="11"/>
      <name val="游ゴシック"/>
      <family val="3"/>
      <charset val="128"/>
    </font>
    <font>
      <b/>
      <sz val="20"/>
      <name val="HGSｺﾞｼｯｸM"/>
      <family val="3"/>
      <charset val="128"/>
    </font>
    <font>
      <sz val="10"/>
      <name val="HGSｺﾞｼｯｸM"/>
      <family val="3"/>
      <charset val="128"/>
    </font>
    <font>
      <sz val="11"/>
      <color rgb="FFFF0000"/>
      <name val="HGSｺﾞｼｯｸM"/>
      <family val="3"/>
      <charset val="128"/>
    </font>
    <font>
      <sz val="10"/>
      <color rgb="FFFF0000"/>
      <name val="HGSｺﾞｼｯｸM"/>
      <family val="3"/>
      <charset val="128"/>
    </font>
    <font>
      <sz val="12"/>
      <name val="HGSｺﾞｼｯｸM"/>
      <family val="3"/>
      <charset val="128"/>
    </font>
    <font>
      <sz val="10"/>
      <color indexed="8"/>
      <name val="HGSｺﾞｼｯｸM"/>
      <family val="3"/>
      <charset val="128"/>
    </font>
    <font>
      <sz val="12"/>
      <color rgb="FFFF0000"/>
      <name val="HGSｺﾞｼｯｸM"/>
      <family val="3"/>
      <charset val="128"/>
    </font>
    <font>
      <b/>
      <sz val="10"/>
      <name val="HGSｺﾞｼｯｸM"/>
      <family val="3"/>
      <charset val="128"/>
    </font>
    <font>
      <sz val="12"/>
      <color indexed="8"/>
      <name val="ＭＳ ゴシック"/>
      <family val="3"/>
      <charset val="128"/>
    </font>
    <font>
      <sz val="8"/>
      <color indexed="8"/>
      <name val="ＭＳ ゴシック"/>
      <family val="3"/>
      <charset val="128"/>
    </font>
    <font>
      <sz val="11"/>
      <color rgb="FFFF0000"/>
      <name val="游ゴシック"/>
      <family val="3"/>
      <charset val="128"/>
    </font>
    <font>
      <sz val="10"/>
      <color rgb="FFFF0000"/>
      <name val="HGPｺﾞｼｯｸM"/>
      <family val="3"/>
      <charset val="128"/>
    </font>
    <font>
      <sz val="12"/>
      <color rgb="FF7030A0"/>
      <name val="ＭＳ Ｐゴシック"/>
      <family val="3"/>
      <charset val="128"/>
      <scheme val="minor"/>
    </font>
    <font>
      <sz val="12"/>
      <color rgb="FF7030A0"/>
      <name val="HGPｺﾞｼｯｸM"/>
      <family val="3"/>
      <charset val="128"/>
    </font>
    <font>
      <sz val="11"/>
      <color rgb="FF7030A0"/>
      <name val="游ゴシック"/>
      <family val="3"/>
      <charset val="128"/>
    </font>
    <font>
      <sz val="10"/>
      <color rgb="FF7030A0"/>
      <name val="HGSｺﾞｼｯｸM"/>
      <family val="3"/>
      <charset val="128"/>
    </font>
    <font>
      <sz val="10"/>
      <color rgb="FF7030A0"/>
      <name val="HGPｺﾞｼｯｸM"/>
      <family val="3"/>
      <charset val="128"/>
    </font>
    <font>
      <sz val="11"/>
      <color rgb="FF7030A0"/>
      <name val="HGPｺﾞｼｯｸM"/>
      <family val="3"/>
      <charset val="128"/>
    </font>
    <font>
      <sz val="11"/>
      <color rgb="FF7030A0"/>
      <name val="ＭＳ Ｐゴシック"/>
      <family val="3"/>
      <charset val="128"/>
    </font>
    <font>
      <sz val="9"/>
      <color rgb="FF7030A0"/>
      <name val="ＭＳ Ｐゴシック"/>
      <family val="3"/>
      <charset val="128"/>
    </font>
    <font>
      <b/>
      <sz val="20"/>
      <color theme="0"/>
      <name val="游ゴシック"/>
      <family val="3"/>
      <charset val="128"/>
    </font>
    <font>
      <b/>
      <sz val="6"/>
      <color theme="1"/>
      <name val="游ゴシック"/>
      <family val="3"/>
      <charset val="128"/>
    </font>
    <font>
      <b/>
      <sz val="8"/>
      <color theme="1"/>
      <name val="游ゴシック"/>
      <family val="3"/>
      <charset val="128"/>
    </font>
    <font>
      <sz val="20"/>
      <color theme="1"/>
      <name val="游ゴシック"/>
      <family val="3"/>
      <charset val="128"/>
    </font>
    <font>
      <sz val="12"/>
      <color rgb="FFFF0000"/>
      <name val="ＭＳ 明朝"/>
      <family val="1"/>
      <charset val="128"/>
    </font>
    <font>
      <sz val="12"/>
      <name val="ＭＳ Ｐゴシック"/>
      <family val="3"/>
      <charset val="128"/>
      <scheme val="major"/>
    </font>
    <font>
      <sz val="10"/>
      <name val="ＭＳ Ｐゴシック"/>
      <family val="3"/>
      <charset val="128"/>
      <scheme val="major"/>
    </font>
    <font>
      <sz val="22"/>
      <color theme="1"/>
      <name val="游ゴシック"/>
      <family val="3"/>
      <charset val="128"/>
    </font>
    <font>
      <b/>
      <sz val="12"/>
      <name val="ＭＳ ゴシック"/>
      <family val="3"/>
      <charset val="128"/>
    </font>
    <font>
      <sz val="11"/>
      <color rgb="FF000000"/>
      <name val="ＭＳ Ｐゴシック"/>
      <family val="3"/>
      <charset val="128"/>
      <scheme val="minor"/>
    </font>
    <font>
      <sz val="12"/>
      <color rgb="FFFF0000"/>
      <name val="ＭＳ Ｐゴシック"/>
      <family val="3"/>
      <charset val="128"/>
      <scheme val="major"/>
    </font>
    <font>
      <sz val="12"/>
      <color indexed="8"/>
      <name val="ＭＳ Ｐゴシック"/>
      <family val="3"/>
      <charset val="128"/>
      <scheme val="major"/>
    </font>
    <font>
      <sz val="12"/>
      <color theme="1"/>
      <name val="ＭＳ Ｐゴシック"/>
      <family val="3"/>
      <charset val="128"/>
      <scheme val="major"/>
    </font>
    <font>
      <sz val="11"/>
      <name val="HGSｺﾞｼｯｸM"/>
      <family val="3"/>
      <charset val="128"/>
    </font>
    <font>
      <sz val="10"/>
      <name val="ＭＳ Ｐゴシック"/>
      <family val="3"/>
      <charset val="128"/>
    </font>
    <font>
      <b/>
      <sz val="10"/>
      <name val="ＭＳ Ｐゴシック"/>
      <family val="3"/>
      <charset val="128"/>
    </font>
    <font>
      <b/>
      <u/>
      <sz val="10"/>
      <color rgb="FFFF0000"/>
      <name val="ＭＳ Ｐゴシック"/>
      <family val="3"/>
      <charset val="128"/>
    </font>
    <font>
      <sz val="10"/>
      <color indexed="8"/>
      <name val="ＭＳ Ｐゴシック"/>
      <family val="3"/>
      <charset val="128"/>
    </font>
    <font>
      <sz val="10"/>
      <color rgb="FF000000"/>
      <name val="ＭＳ Ｐゴシック"/>
      <family val="3"/>
      <charset val="128"/>
    </font>
    <font>
      <sz val="8"/>
      <name val="ＭＳ Ｐゴシック"/>
      <family val="3"/>
      <charset val="128"/>
    </font>
    <font>
      <sz val="10"/>
      <color rgb="FFFF0000"/>
      <name val="ＭＳ Ｐゴシック"/>
      <family val="3"/>
      <charset val="128"/>
    </font>
    <font>
      <sz val="10"/>
      <color theme="0" tint="-0.14999847407452621"/>
      <name val="ＭＳ Ｐゴシック"/>
      <family val="3"/>
      <charset val="128"/>
    </font>
    <font>
      <sz val="10"/>
      <color theme="1"/>
      <name val="HGSｺﾞｼｯｸM"/>
      <family val="3"/>
      <charset val="128"/>
    </font>
    <font>
      <sz val="11"/>
      <name val="ＭＳ Ｐゴシック"/>
      <family val="3"/>
      <charset val="128"/>
      <scheme val="major"/>
    </font>
    <font>
      <b/>
      <sz val="12"/>
      <color rgb="FFFF0000"/>
      <name val="ＭＳ Ｐゴシック"/>
      <family val="3"/>
      <charset val="128"/>
      <scheme val="major"/>
    </font>
    <font>
      <b/>
      <sz val="14"/>
      <name val="ＭＳ Ｐゴシック"/>
      <family val="3"/>
      <charset val="128"/>
      <scheme val="major"/>
    </font>
    <font>
      <sz val="12"/>
      <color rgb="FF7030A0"/>
      <name val="ＭＳ Ｐゴシック"/>
      <family val="3"/>
      <charset val="128"/>
      <scheme val="major"/>
    </font>
    <font>
      <b/>
      <sz val="10"/>
      <color rgb="FFFF0000"/>
      <name val="HGSｺﾞｼｯｸM"/>
      <family val="3"/>
      <charset val="128"/>
    </font>
    <font>
      <sz val="12"/>
      <name val="ＭＳ ゴシック"/>
      <family val="3"/>
      <charset val="128"/>
    </font>
    <font>
      <sz val="16"/>
      <color indexed="8"/>
      <name val="ＭＳ ゴシック"/>
      <family val="3"/>
      <charset val="128"/>
    </font>
    <font>
      <sz val="12"/>
      <color rgb="FFFF0000"/>
      <name val="ＭＳ ゴシック"/>
      <family val="3"/>
      <charset val="128"/>
    </font>
    <font>
      <sz val="8"/>
      <name val="ＭＳ ゴシック"/>
      <family val="3"/>
      <charset val="128"/>
    </font>
    <font>
      <sz val="16"/>
      <name val="ＭＳ ゴシック"/>
      <family val="3"/>
      <charset val="128"/>
    </font>
    <font>
      <b/>
      <sz val="20"/>
      <color theme="0"/>
      <name val="ＭＳ Ｐゴシック"/>
      <family val="3"/>
      <charset val="128"/>
      <scheme val="major"/>
    </font>
    <font>
      <b/>
      <sz val="14"/>
      <color theme="0"/>
      <name val="ＭＳ Ｐゴシック"/>
      <family val="3"/>
      <charset val="128"/>
      <scheme val="major"/>
    </font>
    <font>
      <b/>
      <sz val="14"/>
      <color theme="1"/>
      <name val="ＭＳ Ｐゴシック"/>
      <family val="3"/>
      <charset val="128"/>
      <scheme val="major"/>
    </font>
    <font>
      <b/>
      <sz val="12"/>
      <color theme="1"/>
      <name val="ＭＳ Ｐゴシック"/>
      <family val="3"/>
      <charset val="128"/>
      <scheme val="major"/>
    </font>
    <font>
      <sz val="10"/>
      <color theme="1"/>
      <name val="ＭＳ Ｐゴシック"/>
      <family val="3"/>
      <charset val="128"/>
      <scheme val="major"/>
    </font>
    <font>
      <sz val="20"/>
      <color theme="1"/>
      <name val="ＭＳ Ｐゴシック"/>
      <family val="3"/>
      <charset val="128"/>
      <scheme val="major"/>
    </font>
    <font>
      <sz val="22"/>
      <color theme="1"/>
      <name val="ＭＳ Ｐゴシック"/>
      <family val="3"/>
      <charset val="128"/>
      <scheme val="major"/>
    </font>
    <font>
      <sz val="10"/>
      <color theme="1" tint="0.499984740745262"/>
      <name val="ＭＳ Ｐゴシック"/>
      <family val="3"/>
      <charset val="128"/>
      <scheme val="major"/>
    </font>
    <font>
      <sz val="11"/>
      <color rgb="FF000000"/>
      <name val="ＭＳ Ｐゴシック"/>
      <family val="3"/>
      <charset val="128"/>
      <scheme val="major"/>
    </font>
    <font>
      <sz val="11"/>
      <color indexed="8"/>
      <name val="ＭＳ Ｐゴシック"/>
      <family val="3"/>
      <charset val="128"/>
      <scheme val="major"/>
    </font>
    <font>
      <b/>
      <sz val="10"/>
      <color theme="1"/>
      <name val="游ゴシック"/>
      <family val="3"/>
      <charset val="128"/>
    </font>
    <font>
      <b/>
      <sz val="11"/>
      <color theme="1"/>
      <name val="ＭＳ Ｐゴシック"/>
      <family val="3"/>
      <charset val="128"/>
      <scheme val="major"/>
    </font>
    <font>
      <b/>
      <sz val="9"/>
      <color theme="1"/>
      <name val="ＭＳ Ｐゴシック"/>
      <family val="3"/>
      <charset val="128"/>
      <scheme val="major"/>
    </font>
    <font>
      <b/>
      <sz val="10"/>
      <color rgb="FFFF0000"/>
      <name val="ＭＳ Ｐゴシック"/>
      <family val="3"/>
      <charset val="128"/>
    </font>
    <font>
      <sz val="10"/>
      <color rgb="FF66FFFF"/>
      <name val="ＭＳ Ｐゴシック"/>
      <family val="3"/>
      <charset val="128"/>
    </font>
    <font>
      <sz val="10"/>
      <color rgb="FF66FFFF"/>
      <name val="メイリオ"/>
      <family val="3"/>
      <charset val="128"/>
    </font>
    <font>
      <b/>
      <sz val="12"/>
      <color rgb="FFFF0000"/>
      <name val="ＭＳ Ｐゴシック"/>
      <family val="3"/>
      <charset val="128"/>
      <scheme val="minor"/>
    </font>
    <font>
      <b/>
      <sz val="14"/>
      <name val="メイリオ"/>
      <family val="3"/>
      <charset val="128"/>
    </font>
    <font>
      <b/>
      <sz val="11"/>
      <color rgb="FFFF0000"/>
      <name val="ＭＳ Ｐゴシック"/>
      <family val="3"/>
      <charset val="128"/>
      <scheme val="minor"/>
    </font>
    <font>
      <b/>
      <sz val="10"/>
      <color rgb="FFFF0000"/>
      <name val="メイリオ"/>
      <family val="3"/>
      <charset val="128"/>
    </font>
    <font>
      <sz val="9"/>
      <color indexed="81"/>
      <name val="ＭＳ Ｐゴシック"/>
      <family val="3"/>
      <charset val="128"/>
    </font>
    <font>
      <b/>
      <sz val="9"/>
      <color rgb="FF000000"/>
      <name val="ＭＳ Ｐゴシック"/>
      <family val="2"/>
      <charset val="128"/>
    </font>
    <font>
      <sz val="10"/>
      <name val="メイリオ"/>
      <family val="2"/>
      <charset val="128"/>
    </font>
    <font>
      <sz val="10"/>
      <name val="Apple Color Emoji"/>
      <family val="3"/>
    </font>
    <font>
      <sz val="6"/>
      <name val="ＭＳ Ｐゴシック"/>
      <family val="3"/>
      <charset val="128"/>
      <scheme val="minor"/>
    </font>
    <font>
      <sz val="11"/>
      <color rgb="FFFF0000"/>
      <name val="ＭＳ 明朝"/>
      <family val="1"/>
      <charset val="128"/>
    </font>
    <font>
      <sz val="12"/>
      <color rgb="FF7030A0"/>
      <name val="ＭＳ 明朝"/>
      <family val="1"/>
      <charset val="128"/>
    </font>
    <font>
      <sz val="10"/>
      <color rgb="FFFF0000"/>
      <name val="ＭＳ 明朝"/>
      <family val="1"/>
      <charset val="128"/>
    </font>
    <font>
      <sz val="10"/>
      <color rgb="FF0070C0"/>
      <name val="ＭＳ 明朝"/>
      <family val="1"/>
      <charset val="128"/>
    </font>
    <font>
      <b/>
      <sz val="12"/>
      <color rgb="FFFF0000"/>
      <name val="ＭＳ 明朝"/>
      <family val="1"/>
      <charset val="128"/>
    </font>
    <font>
      <b/>
      <sz val="14"/>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theme="1" tint="0.499984740745262"/>
      <name val="ＭＳ 明朝"/>
      <family val="1"/>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FEF6F0"/>
        <bgColor indexed="64"/>
      </patternFill>
    </fill>
    <fill>
      <patternFill patternType="solid">
        <fgColor rgb="FFF4F2F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rgb="FFFFEA6D"/>
        <bgColor indexed="64"/>
      </patternFill>
    </fill>
    <fill>
      <patternFill patternType="solid">
        <fgColor indexed="8"/>
        <bgColor indexed="13"/>
      </patternFill>
    </fill>
    <fill>
      <patternFill patternType="mediumGray">
        <fgColor indexed="42"/>
      </patternFill>
    </fill>
    <fill>
      <patternFill patternType="mediumGray">
        <fgColor indexed="13"/>
      </patternFill>
    </fill>
    <fill>
      <patternFill patternType="mediumGray">
        <fgColor indexed="47"/>
      </patternFill>
    </fill>
    <fill>
      <patternFill patternType="solid">
        <fgColor rgb="FFFF9900"/>
        <bgColor indexed="64"/>
      </patternFill>
    </fill>
    <fill>
      <patternFill patternType="solid">
        <fgColor theme="8" tint="0.59999389629810485"/>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13"/>
      </patternFill>
    </fill>
    <fill>
      <patternFill patternType="solid">
        <fgColor theme="9"/>
        <bgColor indexed="64"/>
      </patternFill>
    </fill>
    <fill>
      <patternFill patternType="solid">
        <fgColor theme="9" tint="0.39997558519241921"/>
        <bgColor indexed="64"/>
      </patternFill>
    </fill>
  </fills>
  <borders count="2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right/>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slantDashDot">
        <color indexed="64"/>
      </top>
      <bottom/>
      <diagonal/>
    </border>
    <border>
      <left/>
      <right/>
      <top style="slantDashDot">
        <color indexed="64"/>
      </top>
      <bottom/>
      <diagonal/>
    </border>
    <border>
      <left/>
      <right style="thin">
        <color indexed="64"/>
      </right>
      <top style="slantDashDot">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hair">
        <color indexed="64"/>
      </top>
      <bottom/>
      <diagonal/>
    </border>
    <border>
      <left style="thin">
        <color indexed="64"/>
      </left>
      <right/>
      <top style="double">
        <color indexed="64"/>
      </top>
      <bottom/>
      <diagonal/>
    </border>
    <border>
      <left style="thin">
        <color indexed="64"/>
      </left>
      <right/>
      <top/>
      <bottom style="slantDashDot">
        <color indexed="64"/>
      </bottom>
      <diagonal/>
    </border>
    <border>
      <left/>
      <right/>
      <top/>
      <bottom style="slantDashDot">
        <color indexed="64"/>
      </bottom>
      <diagonal/>
    </border>
    <border>
      <left/>
      <right style="thin">
        <color indexed="64"/>
      </right>
      <top/>
      <bottom style="slantDashDot">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double">
        <color indexed="64"/>
      </bottom>
      <diagonal/>
    </border>
    <border>
      <left style="hair">
        <color indexed="64"/>
      </left>
      <right/>
      <top style="double">
        <color indexed="64"/>
      </top>
      <bottom/>
      <diagonal/>
    </border>
    <border>
      <left style="hair">
        <color indexed="64"/>
      </left>
      <right/>
      <top/>
      <bottom style="slantDashDot">
        <color indexed="64"/>
      </bottom>
      <diagonal/>
    </border>
    <border>
      <left style="hair">
        <color indexed="64"/>
      </left>
      <right/>
      <top style="slantDashDot">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dotted">
        <color indexed="64"/>
      </top>
      <bottom style="dotted">
        <color indexed="64"/>
      </bottom>
      <diagonal/>
    </border>
    <border>
      <left/>
      <right/>
      <top/>
      <bottom style="dotted">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style="hair">
        <color indexed="64"/>
      </right>
      <top style="thin">
        <color auto="1"/>
      </top>
      <bottom/>
      <diagonal/>
    </border>
    <border>
      <left style="hair">
        <color indexed="64"/>
      </left>
      <right style="thin">
        <color indexed="64"/>
      </right>
      <top style="thin">
        <color auto="1"/>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thin">
        <color indexed="64"/>
      </top>
      <bottom style="dotted">
        <color indexed="64"/>
      </bottom>
      <diagonal/>
    </border>
    <border>
      <left/>
      <right style="hair">
        <color indexed="64"/>
      </right>
      <top style="thin">
        <color indexed="64"/>
      </top>
      <bottom style="thin">
        <color indexed="64"/>
      </bottom>
      <diagonal/>
    </border>
    <border>
      <left/>
      <right/>
      <top style="dotted">
        <color indexed="64"/>
      </top>
      <bottom style="thin">
        <color indexed="64"/>
      </bottom>
      <diagonal/>
    </border>
    <border>
      <left style="medium">
        <color indexed="64"/>
      </left>
      <right style="thin">
        <color indexed="64"/>
      </right>
      <top/>
      <bottom/>
      <diagonal/>
    </border>
    <border>
      <left/>
      <right style="medium">
        <color indexed="64"/>
      </right>
      <top/>
      <bottom style="double">
        <color indexed="64"/>
      </bottom>
      <diagonal/>
    </border>
    <border>
      <left style="medium">
        <color indexed="64"/>
      </left>
      <right style="medium">
        <color indexed="9"/>
      </right>
      <top style="medium">
        <color indexed="64"/>
      </top>
      <bottom style="medium">
        <color indexed="64"/>
      </bottom>
      <diagonal/>
    </border>
    <border>
      <left style="medium">
        <color indexed="9"/>
      </left>
      <right style="medium">
        <color indexed="9"/>
      </right>
      <top style="medium">
        <color indexed="64"/>
      </top>
      <bottom style="medium">
        <color indexed="64"/>
      </bottom>
      <diagonal/>
    </border>
    <border>
      <left style="medium">
        <color indexed="9"/>
      </left>
      <right style="medium">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medium">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right style="hair">
        <color indexed="64"/>
      </right>
      <top style="double">
        <color indexed="64"/>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hair">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s>
  <cellStyleXfs count="113">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3"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37" fillId="4" borderId="0" applyNumberFormat="0" applyBorder="0" applyAlignment="0" applyProtection="0">
      <alignment vertical="center"/>
    </xf>
    <xf numFmtId="0" fontId="43" fillId="0" borderId="0"/>
    <xf numFmtId="0" fontId="44" fillId="0" borderId="0">
      <alignment vertical="center"/>
    </xf>
    <xf numFmtId="0" fontId="13" fillId="0" borderId="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10" fillId="0" borderId="0">
      <alignment vertical="center"/>
    </xf>
    <xf numFmtId="0" fontId="50" fillId="0" borderId="0">
      <alignment vertical="center"/>
    </xf>
    <xf numFmtId="0" fontId="13" fillId="0" borderId="0"/>
    <xf numFmtId="0" fontId="21" fillId="0" borderId="0">
      <alignment vertical="center"/>
    </xf>
    <xf numFmtId="0" fontId="13" fillId="0" borderId="0"/>
    <xf numFmtId="0" fontId="13" fillId="0" borderId="0">
      <alignment vertical="center"/>
    </xf>
    <xf numFmtId="0" fontId="9" fillId="0" borderId="0">
      <alignment vertical="center"/>
    </xf>
    <xf numFmtId="6" fontId="11" fillId="0" borderId="0" applyFont="0" applyFill="0" applyBorder="0" applyAlignment="0" applyProtection="0">
      <alignment vertical="center"/>
    </xf>
    <xf numFmtId="0" fontId="8" fillId="0" borderId="0">
      <alignment vertical="center"/>
    </xf>
    <xf numFmtId="0" fontId="11" fillId="0" borderId="0"/>
    <xf numFmtId="0" fontId="7" fillId="0" borderId="0">
      <alignment vertical="center"/>
    </xf>
    <xf numFmtId="0" fontId="6" fillId="0" borderId="0">
      <alignment vertical="center"/>
    </xf>
    <xf numFmtId="0" fontId="5" fillId="0" borderId="0">
      <alignment vertical="center"/>
    </xf>
    <xf numFmtId="6" fontId="13" fillId="0" borderId="0" applyFont="0" applyFill="0" applyBorder="0" applyAlignment="0" applyProtection="0">
      <alignment vertical="center"/>
    </xf>
    <xf numFmtId="0" fontId="13" fillId="22" borderId="233" applyNumberFormat="0" applyFont="0" applyAlignment="0" applyProtection="0">
      <alignment vertical="center"/>
    </xf>
    <xf numFmtId="0" fontId="28" fillId="23" borderId="234" applyNumberFormat="0" applyAlignment="0" applyProtection="0">
      <alignment vertical="center"/>
    </xf>
    <xf numFmtId="0" fontId="33" fillId="0" borderId="235" applyNumberFormat="0" applyFill="0" applyAlignment="0" applyProtection="0">
      <alignment vertical="center"/>
    </xf>
    <xf numFmtId="0" fontId="34" fillId="23" borderId="236" applyNumberFormat="0" applyAlignment="0" applyProtection="0">
      <alignment vertical="center"/>
    </xf>
    <xf numFmtId="0" fontId="36" fillId="7" borderId="234" applyNumberFormat="0" applyAlignment="0" applyProtection="0">
      <alignment vertical="center"/>
    </xf>
    <xf numFmtId="0" fontId="4" fillId="0" borderId="0">
      <alignment vertical="center"/>
    </xf>
    <xf numFmtId="0" fontId="4" fillId="0" borderId="0">
      <alignment vertical="center"/>
    </xf>
    <xf numFmtId="6" fontId="1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3" fillId="0" borderId="0" applyFont="0" applyFill="0" applyBorder="0" applyAlignment="0" applyProtection="0">
      <alignment vertical="center"/>
    </xf>
    <xf numFmtId="0" fontId="13" fillId="0" borderId="0"/>
    <xf numFmtId="0" fontId="116" fillId="0" borderId="0">
      <alignment vertical="center"/>
    </xf>
    <xf numFmtId="0" fontId="3" fillId="0" borderId="0">
      <alignment vertical="center"/>
    </xf>
    <xf numFmtId="6" fontId="44" fillId="0" borderId="0" applyFont="0" applyFill="0" applyBorder="0" applyAlignment="0" applyProtection="0">
      <alignment vertical="center"/>
    </xf>
    <xf numFmtId="38" fontId="44" fillId="0" borderId="0" applyFont="0" applyFill="0" applyBorder="0" applyAlignment="0" applyProtection="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13" fillId="22" borderId="263" applyNumberFormat="0" applyFont="0" applyAlignment="0" applyProtection="0">
      <alignment vertical="center"/>
    </xf>
    <xf numFmtId="0" fontId="28" fillId="23" borderId="264" applyNumberFormat="0" applyAlignment="0" applyProtection="0">
      <alignment vertical="center"/>
    </xf>
    <xf numFmtId="0" fontId="33" fillId="0" borderId="265" applyNumberFormat="0" applyFill="0" applyAlignment="0" applyProtection="0">
      <alignment vertical="center"/>
    </xf>
    <xf numFmtId="0" fontId="34" fillId="23" borderId="266" applyNumberFormat="0" applyAlignment="0" applyProtection="0">
      <alignment vertical="center"/>
    </xf>
    <xf numFmtId="0" fontId="36" fillId="7" borderId="264" applyNumberFormat="0" applyAlignment="0" applyProtection="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3" fillId="0" borderId="0" applyFont="0" applyFill="0" applyBorder="0" applyAlignment="0" applyProtection="0">
      <alignment vertical="center"/>
    </xf>
    <xf numFmtId="0" fontId="33" fillId="0" borderId="265" applyNumberFormat="0" applyFill="0" applyAlignment="0" applyProtection="0">
      <alignment vertical="center"/>
    </xf>
    <xf numFmtId="0" fontId="34" fillId="23" borderId="266" applyNumberFormat="0" applyAlignment="0" applyProtection="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44"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908">
    <xf numFmtId="0" fontId="0" fillId="0" borderId="0" xfId="0"/>
    <xf numFmtId="0" fontId="45" fillId="0" borderId="0" xfId="0" applyFont="1" applyAlignment="1">
      <alignment vertical="center"/>
    </xf>
    <xf numFmtId="0" fontId="45" fillId="0" borderId="10" xfId="0" applyFont="1" applyBorder="1" applyAlignment="1">
      <alignment vertical="center"/>
    </xf>
    <xf numFmtId="0" fontId="45" fillId="0" borderId="10" xfId="0" applyFont="1" applyBorder="1" applyAlignment="1">
      <alignment vertical="center" shrinkToFit="1"/>
    </xf>
    <xf numFmtId="0" fontId="54" fillId="0" borderId="0" xfId="47" applyFont="1">
      <alignment vertical="center"/>
    </xf>
    <xf numFmtId="0" fontId="18" fillId="0" borderId="0" xfId="0" applyFont="1" applyAlignment="1">
      <alignment vertical="top"/>
    </xf>
    <xf numFmtId="0" fontId="40" fillId="0" borderId="0" xfId="44" applyFont="1">
      <alignment vertical="center"/>
    </xf>
    <xf numFmtId="0" fontId="18" fillId="0" borderId="0" xfId="44" applyFont="1">
      <alignment vertical="center"/>
    </xf>
    <xf numFmtId="0" fontId="18" fillId="0" borderId="0" xfId="44" applyFont="1" applyAlignment="1">
      <alignment horizontal="center" vertical="center"/>
    </xf>
    <xf numFmtId="0" fontId="19" fillId="0" borderId="0" xfId="44" applyFont="1" applyAlignment="1">
      <alignment vertical="center" wrapText="1" shrinkToFit="1"/>
    </xf>
    <xf numFmtId="0" fontId="63" fillId="0" borderId="0" xfId="44" applyFont="1" applyAlignment="1">
      <alignment vertical="center" wrapText="1" shrinkToFit="1"/>
    </xf>
    <xf numFmtId="0" fontId="40" fillId="0" borderId="10" xfId="44" applyFont="1" applyBorder="1" applyAlignment="1">
      <alignment horizontal="center" vertical="center" shrinkToFit="1"/>
    </xf>
    <xf numFmtId="0" fontId="41" fillId="0" borderId="0" xfId="44" applyFont="1">
      <alignment vertical="center"/>
    </xf>
    <xf numFmtId="0" fontId="69" fillId="0" borderId="0" xfId="44" applyFont="1" applyAlignment="1">
      <alignment horizontal="center" vertical="center"/>
    </xf>
    <xf numFmtId="0" fontId="18" fillId="0" borderId="0" xfId="44" applyFont="1" applyAlignment="1">
      <alignment horizontal="left" vertical="center"/>
    </xf>
    <xf numFmtId="0" fontId="45" fillId="0" borderId="16" xfId="0" applyFont="1" applyBorder="1" applyAlignment="1">
      <alignment vertical="center" shrinkToFit="1"/>
    </xf>
    <xf numFmtId="0" fontId="18" fillId="33" borderId="23" xfId="44" applyFont="1" applyFill="1" applyBorder="1" applyAlignment="1">
      <alignment horizontal="right" vertical="center"/>
    </xf>
    <xf numFmtId="176" fontId="18" fillId="0" borderId="0" xfId="44" applyNumberFormat="1" applyFont="1" applyAlignment="1">
      <alignment horizontal="center" vertical="center"/>
    </xf>
    <xf numFmtId="0" fontId="70" fillId="0" borderId="0" xfId="44" applyFont="1" applyAlignment="1">
      <alignment horizontal="center" vertical="center" shrinkToFit="1"/>
    </xf>
    <xf numFmtId="0" fontId="13" fillId="0" borderId="0" xfId="44">
      <alignment vertical="center"/>
    </xf>
    <xf numFmtId="0" fontId="13" fillId="0" borderId="0" xfId="44" applyAlignment="1">
      <alignment horizontal="center" vertical="center" wrapText="1"/>
    </xf>
    <xf numFmtId="0" fontId="13" fillId="0" borderId="0" xfId="44" applyAlignment="1">
      <alignment horizontal="center" vertical="center"/>
    </xf>
    <xf numFmtId="0" fontId="18" fillId="0" borderId="0" xfId="44" applyFont="1" applyAlignment="1">
      <alignment horizontal="right" vertical="center"/>
    </xf>
    <xf numFmtId="0" fontId="18" fillId="0" borderId="79" xfId="44" applyFont="1" applyBorder="1" applyProtection="1">
      <alignment vertical="center"/>
      <protection locked="0"/>
    </xf>
    <xf numFmtId="0" fontId="18" fillId="0" borderId="0" xfId="44" applyFont="1" applyAlignment="1">
      <alignment horizontal="center" vertical="center" wrapText="1"/>
    </xf>
    <xf numFmtId="0" fontId="18" fillId="0" borderId="48" xfId="44" applyFont="1" applyBorder="1">
      <alignment vertical="center"/>
    </xf>
    <xf numFmtId="0" fontId="18" fillId="0" borderId="49" xfId="44" applyFont="1" applyBorder="1">
      <alignment vertical="center"/>
    </xf>
    <xf numFmtId="14" fontId="75" fillId="0" borderId="0" xfId="44" applyNumberFormat="1" applyFont="1">
      <alignment vertical="center"/>
    </xf>
    <xf numFmtId="0" fontId="18" fillId="0" borderId="42" xfId="44" applyFont="1" applyBorder="1" applyProtection="1">
      <alignment vertical="center"/>
      <protection locked="0"/>
    </xf>
    <xf numFmtId="0" fontId="18" fillId="0" borderId="43" xfId="44" applyFont="1" applyBorder="1" applyProtection="1">
      <alignment vertical="center"/>
      <protection locked="0"/>
    </xf>
    <xf numFmtId="0" fontId="18" fillId="0" borderId="60" xfId="44" applyFont="1" applyBorder="1" applyProtection="1">
      <alignment vertical="center"/>
      <protection locked="0"/>
    </xf>
    <xf numFmtId="0" fontId="18" fillId="0" borderId="87" xfId="44" applyFont="1" applyBorder="1" applyProtection="1">
      <alignment vertical="center"/>
      <protection locked="0"/>
    </xf>
    <xf numFmtId="0" fontId="18" fillId="0" borderId="147" xfId="44" applyFont="1" applyBorder="1" applyProtection="1">
      <alignment vertical="center"/>
      <protection locked="0"/>
    </xf>
    <xf numFmtId="0" fontId="18" fillId="0" borderId="92" xfId="44" applyFont="1" applyBorder="1" applyProtection="1">
      <alignment vertical="center"/>
      <protection locked="0"/>
    </xf>
    <xf numFmtId="0" fontId="18" fillId="0" borderId="88" xfId="44" applyFont="1" applyBorder="1" applyProtection="1">
      <alignment vertical="center"/>
      <protection locked="0"/>
    </xf>
    <xf numFmtId="0" fontId="18" fillId="0" borderId="149" xfId="44" applyFont="1" applyBorder="1" applyProtection="1">
      <alignment vertical="center"/>
      <protection locked="0"/>
    </xf>
    <xf numFmtId="0" fontId="18" fillId="0" borderId="71" xfId="44" applyFont="1" applyBorder="1" applyProtection="1">
      <alignment vertical="center"/>
      <protection locked="0"/>
    </xf>
    <xf numFmtId="0" fontId="18" fillId="0" borderId="89" xfId="44" applyFont="1" applyBorder="1" applyProtection="1">
      <alignment vertical="center"/>
      <protection locked="0"/>
    </xf>
    <xf numFmtId="0" fontId="18" fillId="0" borderId="151" xfId="44" applyFont="1" applyBorder="1" applyProtection="1">
      <alignment vertical="center"/>
      <protection locked="0"/>
    </xf>
    <xf numFmtId="0" fontId="18" fillId="0" borderId="15" xfId="44" applyFont="1" applyBorder="1" applyAlignment="1">
      <alignment horizontal="center" vertical="center"/>
    </xf>
    <xf numFmtId="0" fontId="18" fillId="0" borderId="12" xfId="44" applyFont="1" applyBorder="1">
      <alignment vertical="center"/>
    </xf>
    <xf numFmtId="0" fontId="18" fillId="32" borderId="147" xfId="44" applyFont="1" applyFill="1" applyBorder="1" applyProtection="1">
      <alignment vertical="center"/>
      <protection locked="0"/>
    </xf>
    <xf numFmtId="0" fontId="18" fillId="32" borderId="87" xfId="44" applyFont="1" applyFill="1" applyBorder="1" applyProtection="1">
      <alignment vertical="center"/>
      <protection locked="0"/>
    </xf>
    <xf numFmtId="0" fontId="18" fillId="32" borderId="146" xfId="44" applyFont="1" applyFill="1" applyBorder="1" applyProtection="1">
      <alignment vertical="center"/>
      <protection locked="0"/>
    </xf>
    <xf numFmtId="0" fontId="18" fillId="32" borderId="149" xfId="44" applyFont="1" applyFill="1" applyBorder="1" applyProtection="1">
      <alignment vertical="center"/>
      <protection locked="0"/>
    </xf>
    <xf numFmtId="0" fontId="18" fillId="32" borderId="88" xfId="44" applyFont="1" applyFill="1" applyBorder="1" applyProtection="1">
      <alignment vertical="center"/>
      <protection locked="0"/>
    </xf>
    <xf numFmtId="0" fontId="18" fillId="32" borderId="148" xfId="44" applyFont="1" applyFill="1" applyBorder="1" applyProtection="1">
      <alignment vertical="center"/>
      <protection locked="0"/>
    </xf>
    <xf numFmtId="0" fontId="18" fillId="32" borderId="151" xfId="44" applyFont="1" applyFill="1" applyBorder="1" applyProtection="1">
      <alignment vertical="center"/>
      <protection locked="0"/>
    </xf>
    <xf numFmtId="0" fontId="18" fillId="32" borderId="89" xfId="44" applyFont="1" applyFill="1" applyBorder="1" applyProtection="1">
      <alignment vertical="center"/>
      <protection locked="0"/>
    </xf>
    <xf numFmtId="0" fontId="18" fillId="32" borderId="150" xfId="44" applyFont="1" applyFill="1" applyBorder="1" applyProtection="1">
      <alignment vertical="center"/>
      <protection locked="0"/>
    </xf>
    <xf numFmtId="0" fontId="18" fillId="0" borderId="72" xfId="44" applyFont="1" applyBorder="1" applyAlignment="1" applyProtection="1">
      <alignment horizontal="center" vertical="center"/>
      <protection locked="0"/>
    </xf>
    <xf numFmtId="0" fontId="18" fillId="0" borderId="50" xfId="44" applyFont="1" applyBorder="1">
      <alignment vertical="center"/>
    </xf>
    <xf numFmtId="0" fontId="18" fillId="0" borderId="49" xfId="44" applyFont="1" applyBorder="1" applyProtection="1">
      <alignment vertical="center"/>
      <protection locked="0"/>
    </xf>
    <xf numFmtId="0" fontId="18" fillId="0" borderId="46" xfId="44" applyFont="1" applyBorder="1">
      <alignment vertical="center"/>
    </xf>
    <xf numFmtId="0" fontId="18" fillId="0" borderId="47" xfId="44" applyFont="1" applyBorder="1" applyProtection="1">
      <alignment vertical="center"/>
      <protection locked="0"/>
    </xf>
    <xf numFmtId="0" fontId="18" fillId="0" borderId="41" xfId="44" applyFont="1" applyBorder="1">
      <alignment vertical="center"/>
    </xf>
    <xf numFmtId="0" fontId="18" fillId="0" borderId="146" xfId="44" applyFont="1" applyBorder="1" applyProtection="1">
      <alignment vertical="center"/>
      <protection locked="0"/>
    </xf>
    <xf numFmtId="0" fontId="18" fillId="0" borderId="148" xfId="44" applyFont="1" applyBorder="1" applyProtection="1">
      <alignment vertical="center"/>
      <protection locked="0"/>
    </xf>
    <xf numFmtId="0" fontId="18" fillId="0" borderId="150" xfId="44" applyFont="1" applyBorder="1" applyProtection="1">
      <alignment vertical="center"/>
      <protection locked="0"/>
    </xf>
    <xf numFmtId="14" fontId="13" fillId="0" borderId="0" xfId="44" applyNumberFormat="1">
      <alignment vertical="center"/>
    </xf>
    <xf numFmtId="0" fontId="60" fillId="0" borderId="0" xfId="44" applyFont="1">
      <alignment vertical="center"/>
    </xf>
    <xf numFmtId="0" fontId="54" fillId="0" borderId="0" xfId="47" applyFont="1" applyAlignment="1">
      <alignment horizontal="right" vertical="center"/>
    </xf>
    <xf numFmtId="0" fontId="40" fillId="0" borderId="10" xfId="44" applyFont="1" applyBorder="1" applyAlignment="1">
      <alignment horizontal="center" vertical="center"/>
    </xf>
    <xf numFmtId="0" fontId="40" fillId="0" borderId="0" xfId="44" applyFont="1" applyAlignment="1">
      <alignment horizontal="center" vertical="center"/>
    </xf>
    <xf numFmtId="49" fontId="40" fillId="0" borderId="0" xfId="44" applyNumberFormat="1" applyFont="1" applyAlignment="1">
      <alignment horizontal="right" vertical="center"/>
    </xf>
    <xf numFmtId="0" fontId="76" fillId="0" borderId="0" xfId="44" applyFont="1" applyAlignment="1">
      <alignment horizontal="center" vertical="center" shrinkToFit="1"/>
    </xf>
    <xf numFmtId="0" fontId="54" fillId="0" borderId="0" xfId="53" applyFont="1">
      <alignment vertical="center"/>
    </xf>
    <xf numFmtId="0" fontId="54" fillId="0" borderId="0" xfId="53" applyFont="1" applyAlignment="1">
      <alignment horizontal="right" vertical="center"/>
    </xf>
    <xf numFmtId="0" fontId="55" fillId="0" borderId="0" xfId="53" applyFont="1" applyAlignment="1">
      <alignment horizontal="left" vertical="center"/>
    </xf>
    <xf numFmtId="0" fontId="55" fillId="0" borderId="0" xfId="53" applyFont="1" applyAlignment="1">
      <alignment horizontal="center" vertical="center"/>
    </xf>
    <xf numFmtId="0" fontId="54" fillId="33" borderId="0" xfId="53" applyFont="1" applyFill="1" applyAlignment="1">
      <alignment horizontal="right" vertical="center"/>
    </xf>
    <xf numFmtId="49" fontId="54" fillId="0" borderId="0" xfId="53" applyNumberFormat="1" applyFont="1">
      <alignment vertical="center"/>
    </xf>
    <xf numFmtId="49" fontId="54" fillId="0" borderId="0" xfId="53" applyNumberFormat="1" applyFont="1" applyAlignment="1">
      <alignment vertical="center" wrapText="1"/>
    </xf>
    <xf numFmtId="0" fontId="54" fillId="0" borderId="12" xfId="53" applyFont="1" applyBorder="1">
      <alignment vertical="center"/>
    </xf>
    <xf numFmtId="0" fontId="54" fillId="0" borderId="12" xfId="47" applyFont="1" applyBorder="1">
      <alignment vertical="center"/>
    </xf>
    <xf numFmtId="0" fontId="18" fillId="0" borderId="0" xfId="44" applyFont="1" applyAlignment="1">
      <alignment vertical="center" shrinkToFit="1"/>
    </xf>
    <xf numFmtId="0" fontId="18" fillId="0" borderId="24" xfId="44" applyFont="1" applyBorder="1" applyAlignment="1">
      <alignment vertical="center" shrinkToFit="1"/>
    </xf>
    <xf numFmtId="0" fontId="18" fillId="0" borderId="14" xfId="44" applyFont="1" applyBorder="1" applyAlignment="1" applyProtection="1">
      <alignment horizontal="center" vertical="center" shrinkToFit="1"/>
      <protection locked="0"/>
    </xf>
    <xf numFmtId="0" fontId="18" fillId="0" borderId="14" xfId="44" applyFont="1" applyBorder="1" applyAlignment="1" applyProtection="1">
      <alignment horizontal="center" vertical="center"/>
      <protection locked="0"/>
    </xf>
    <xf numFmtId="0" fontId="18" fillId="0" borderId="15" xfId="44" applyFont="1" applyBorder="1" applyAlignment="1" applyProtection="1">
      <alignment horizontal="center" vertical="center"/>
      <protection locked="0"/>
    </xf>
    <xf numFmtId="0" fontId="18" fillId="0" borderId="15" xfId="44" applyFont="1" applyBorder="1">
      <alignment vertical="center"/>
    </xf>
    <xf numFmtId="0" fontId="18" fillId="0" borderId="135" xfId="44" applyFont="1" applyBorder="1" applyAlignment="1">
      <alignment vertical="top"/>
    </xf>
    <xf numFmtId="0" fontId="18" fillId="0" borderId="110" xfId="44" applyFont="1" applyBorder="1" applyAlignment="1">
      <alignment vertical="top"/>
    </xf>
    <xf numFmtId="0" fontId="18" fillId="0" borderId="136" xfId="44" applyFont="1" applyBorder="1" applyAlignment="1">
      <alignment vertical="top"/>
    </xf>
    <xf numFmtId="0" fontId="18" fillId="0" borderId="16" xfId="44" applyFont="1" applyBorder="1">
      <alignment vertical="center"/>
    </xf>
    <xf numFmtId="0" fontId="73" fillId="0" borderId="0" xfId="0" applyFont="1" applyAlignment="1">
      <alignment vertical="center"/>
    </xf>
    <xf numFmtId="0" fontId="47" fillId="0" borderId="10" xfId="0" applyFont="1" applyBorder="1" applyAlignment="1">
      <alignment vertical="center"/>
    </xf>
    <xf numFmtId="0" fontId="80" fillId="0" borderId="0" xfId="0" applyFont="1" applyAlignment="1">
      <alignment vertical="top"/>
    </xf>
    <xf numFmtId="0" fontId="80" fillId="0" borderId="0" xfId="44" applyFont="1">
      <alignment vertical="center"/>
    </xf>
    <xf numFmtId="0" fontId="80" fillId="0" borderId="10" xfId="44" applyFont="1" applyBorder="1">
      <alignment vertical="center"/>
    </xf>
    <xf numFmtId="0" fontId="80" fillId="0" borderId="0" xfId="44" applyFont="1" applyAlignment="1">
      <alignment horizontal="right" vertical="center"/>
    </xf>
    <xf numFmtId="0" fontId="80" fillId="0" borderId="10" xfId="0" applyFont="1" applyBorder="1" applyAlignment="1">
      <alignment vertical="center"/>
    </xf>
    <xf numFmtId="0" fontId="80" fillId="0" borderId="10" xfId="0" applyFont="1" applyBorder="1" applyAlignment="1">
      <alignment vertical="center" wrapText="1" shrinkToFit="1"/>
    </xf>
    <xf numFmtId="0" fontId="83" fillId="0" borderId="0" xfId="44" applyFont="1">
      <alignment vertical="center"/>
    </xf>
    <xf numFmtId="0" fontId="83" fillId="0" borderId="0" xfId="0" applyFont="1" applyAlignment="1">
      <alignment vertical="top"/>
    </xf>
    <xf numFmtId="0" fontId="98" fillId="0" borderId="0" xfId="44" applyFont="1" applyAlignment="1">
      <alignment horizontal="left" vertical="center"/>
    </xf>
    <xf numFmtId="0" fontId="80" fillId="0" borderId="0" xfId="44" applyFont="1" applyAlignment="1">
      <alignment horizontal="left" vertical="center"/>
    </xf>
    <xf numFmtId="0" fontId="89" fillId="0" borderId="69" xfId="44" applyFont="1" applyBorder="1" applyAlignment="1">
      <alignment horizontal="center" vertical="center"/>
    </xf>
    <xf numFmtId="0" fontId="80" fillId="0" borderId="197" xfId="44" applyFont="1" applyBorder="1">
      <alignment vertical="center"/>
    </xf>
    <xf numFmtId="0" fontId="88" fillId="0" borderId="22" xfId="44" applyFont="1" applyBorder="1">
      <alignment vertical="center"/>
    </xf>
    <xf numFmtId="0" fontId="88" fillId="0" borderId="34" xfId="44" applyFont="1" applyBorder="1">
      <alignment vertical="center"/>
    </xf>
    <xf numFmtId="0" fontId="89" fillId="0" borderId="25" xfId="44" applyFont="1" applyBorder="1" applyAlignment="1">
      <alignment horizontal="center" vertical="center"/>
    </xf>
    <xf numFmtId="0" fontId="80" fillId="0" borderId="172" xfId="44" applyFont="1" applyBorder="1">
      <alignment vertical="center"/>
    </xf>
    <xf numFmtId="0" fontId="80" fillId="0" borderId="15" xfId="44" applyFont="1" applyBorder="1">
      <alignment vertical="center"/>
    </xf>
    <xf numFmtId="0" fontId="80" fillId="0" borderId="17" xfId="44" applyFont="1" applyBorder="1">
      <alignment vertical="center"/>
    </xf>
    <xf numFmtId="0" fontId="89" fillId="0" borderId="84" xfId="44" applyFont="1" applyBorder="1" applyAlignment="1">
      <alignment horizontal="center" vertical="center"/>
    </xf>
    <xf numFmtId="0" fontId="80" fillId="0" borderId="198" xfId="44" applyFont="1" applyBorder="1">
      <alignment vertical="center"/>
    </xf>
    <xf numFmtId="0" fontId="80" fillId="0" borderId="20" xfId="44" applyFont="1" applyBorder="1">
      <alignment vertical="center"/>
    </xf>
    <xf numFmtId="0" fontId="80" fillId="0" borderId="21" xfId="44" applyFont="1" applyBorder="1">
      <alignment vertical="center"/>
    </xf>
    <xf numFmtId="0" fontId="83" fillId="0" borderId="15" xfId="44" applyFont="1" applyBorder="1" applyAlignment="1">
      <alignment vertical="center" shrinkToFit="1"/>
    </xf>
    <xf numFmtId="0" fontId="83" fillId="0" borderId="15" xfId="44" applyFont="1" applyBorder="1" applyAlignment="1">
      <alignment horizontal="left" vertical="center" shrinkToFit="1"/>
    </xf>
    <xf numFmtId="0" fontId="80" fillId="0" borderId="13" xfId="44" applyFont="1" applyBorder="1" applyAlignment="1">
      <alignment horizontal="center" vertical="center" shrinkToFit="1"/>
    </xf>
    <xf numFmtId="5" fontId="101" fillId="0" borderId="0" xfId="44" applyNumberFormat="1" applyFont="1" applyAlignment="1">
      <alignment horizontal="left" vertical="center"/>
    </xf>
    <xf numFmtId="5" fontId="95" fillId="0" borderId="0" xfId="44" applyNumberFormat="1" applyFont="1" applyAlignment="1">
      <alignment horizontal="left" vertical="center"/>
    </xf>
    <xf numFmtId="0" fontId="102" fillId="0" borderId="0" xfId="44" applyFont="1">
      <alignment vertical="center"/>
    </xf>
    <xf numFmtId="0" fontId="103" fillId="0" borderId="0" xfId="44" applyFont="1" applyAlignment="1">
      <alignment horizontal="center" vertical="center"/>
    </xf>
    <xf numFmtId="0" fontId="84" fillId="0" borderId="0" xfId="0" applyFont="1" applyAlignment="1">
      <alignment vertical="center"/>
    </xf>
    <xf numFmtId="49" fontId="84" fillId="0" borderId="0" xfId="0" applyNumberFormat="1" applyFont="1" applyAlignment="1">
      <alignment vertical="center"/>
    </xf>
    <xf numFmtId="0" fontId="102" fillId="0" borderId="0" xfId="0" applyFont="1" applyAlignment="1">
      <alignment vertical="center"/>
    </xf>
    <xf numFmtId="0" fontId="84" fillId="0" borderId="0" xfId="0" applyFont="1" applyAlignment="1">
      <alignment vertical="top"/>
    </xf>
    <xf numFmtId="49" fontId="84" fillId="0" borderId="0" xfId="0" applyNumberFormat="1" applyFont="1" applyAlignment="1">
      <alignment vertical="top"/>
    </xf>
    <xf numFmtId="0" fontId="84" fillId="0" borderId="16" xfId="0" applyFont="1" applyBorder="1" applyAlignment="1">
      <alignment vertical="center"/>
    </xf>
    <xf numFmtId="0" fontId="84" fillId="0" borderId="16" xfId="0" applyFont="1" applyBorder="1" applyAlignment="1">
      <alignment vertical="center" wrapText="1"/>
    </xf>
    <xf numFmtId="0" fontId="84" fillId="0" borderId="24" xfId="0" applyFont="1" applyBorder="1" applyAlignment="1">
      <alignment vertical="center"/>
    </xf>
    <xf numFmtId="0" fontId="84" fillId="0" borderId="18" xfId="0" applyFont="1" applyBorder="1" applyAlignment="1">
      <alignment vertical="center"/>
    </xf>
    <xf numFmtId="0" fontId="84" fillId="0" borderId="14" xfId="0" applyFont="1" applyBorder="1" applyAlignment="1">
      <alignment vertical="center"/>
    </xf>
    <xf numFmtId="0" fontId="84" fillId="0" borderId="23" xfId="0" applyFont="1" applyBorder="1" applyAlignment="1">
      <alignment vertical="center"/>
    </xf>
    <xf numFmtId="0" fontId="84" fillId="0" borderId="0" xfId="0" applyFont="1" applyAlignment="1">
      <alignment vertical="top" wrapText="1"/>
    </xf>
    <xf numFmtId="0" fontId="105" fillId="0" borderId="0" xfId="0" applyFont="1" applyAlignment="1">
      <alignment vertical="top"/>
    </xf>
    <xf numFmtId="0" fontId="84" fillId="0" borderId="0" xfId="0" applyFont="1" applyAlignment="1">
      <alignment horizontal="right" vertical="top"/>
    </xf>
    <xf numFmtId="49" fontId="84" fillId="0" borderId="0" xfId="0" applyNumberFormat="1" applyFont="1" applyAlignment="1">
      <alignment vertical="top" wrapText="1"/>
    </xf>
    <xf numFmtId="49" fontId="84" fillId="0" borderId="0" xfId="0" applyNumberFormat="1" applyFont="1" applyAlignment="1">
      <alignment horizontal="left" vertical="top"/>
    </xf>
    <xf numFmtId="49" fontId="84" fillId="0" borderId="0" xfId="0" applyNumberFormat="1" applyFont="1" applyAlignment="1">
      <alignment horizontal="right" vertical="top"/>
    </xf>
    <xf numFmtId="0" fontId="80" fillId="0" borderId="0" xfId="0" applyFont="1" applyAlignment="1">
      <alignment vertical="center"/>
    </xf>
    <xf numFmtId="49" fontId="80" fillId="0" borderId="0" xfId="0" applyNumberFormat="1" applyFont="1" applyAlignment="1">
      <alignment vertical="center"/>
    </xf>
    <xf numFmtId="49" fontId="83" fillId="0" borderId="0" xfId="0" applyNumberFormat="1" applyFont="1" applyAlignment="1">
      <alignment vertical="top"/>
    </xf>
    <xf numFmtId="0" fontId="80" fillId="0" borderId="0" xfId="49" applyFont="1" applyAlignment="1">
      <alignment vertical="center"/>
    </xf>
    <xf numFmtId="0" fontId="80" fillId="0" borderId="0" xfId="49" applyFont="1" applyAlignment="1">
      <alignment vertical="center" wrapText="1"/>
    </xf>
    <xf numFmtId="0" fontId="80" fillId="0" borderId="0" xfId="49" applyFont="1" applyAlignment="1">
      <alignment horizontal="right" vertical="center"/>
    </xf>
    <xf numFmtId="0" fontId="81" fillId="0" borderId="0" xfId="47" applyFont="1" applyAlignment="1">
      <alignment horizontal="left" vertical="center"/>
    </xf>
    <xf numFmtId="0" fontId="81" fillId="0" borderId="0" xfId="47" applyFont="1" applyAlignment="1">
      <alignment horizontal="center" vertical="center"/>
    </xf>
    <xf numFmtId="0" fontId="82" fillId="0" borderId="0" xfId="48" applyFont="1">
      <alignment vertical="center"/>
    </xf>
    <xf numFmtId="0" fontId="82" fillId="0" borderId="0" xfId="48" applyFont="1" applyAlignment="1">
      <alignment horizontal="right" vertical="center"/>
    </xf>
    <xf numFmtId="49" fontId="82" fillId="0" borderId="0" xfId="48" applyNumberFormat="1" applyFont="1">
      <alignment vertical="center"/>
    </xf>
    <xf numFmtId="49" fontId="82" fillId="0" borderId="0" xfId="48" applyNumberFormat="1" applyFont="1" applyAlignment="1">
      <alignment horizontal="right" vertical="center"/>
    </xf>
    <xf numFmtId="0" fontId="108" fillId="0" borderId="0" xfId="43" applyFont="1">
      <alignment vertical="center"/>
    </xf>
    <xf numFmtId="0" fontId="82" fillId="0" borderId="0" xfId="47" applyFont="1" applyAlignment="1">
      <alignment horizontal="left" vertical="center"/>
    </xf>
    <xf numFmtId="183" fontId="82" fillId="0" borderId="0" xfId="48" applyNumberFormat="1" applyFont="1">
      <alignment vertical="center"/>
    </xf>
    <xf numFmtId="0" fontId="82" fillId="0" borderId="0" xfId="48" applyFont="1" applyAlignment="1">
      <alignment horizontal="left" vertical="center"/>
    </xf>
    <xf numFmtId="49" fontId="80" fillId="0" borderId="0" xfId="0" applyNumberFormat="1" applyFont="1" applyAlignment="1">
      <alignment vertical="top"/>
    </xf>
    <xf numFmtId="49" fontId="80" fillId="0" borderId="0" xfId="0" applyNumberFormat="1" applyFont="1" applyAlignment="1">
      <alignment vertical="top" wrapText="1"/>
    </xf>
    <xf numFmtId="0" fontId="80" fillId="0" borderId="0" xfId="0" applyFont="1" applyAlignment="1">
      <alignment horizontal="left" vertical="top" wrapText="1"/>
    </xf>
    <xf numFmtId="0" fontId="80" fillId="0" borderId="0" xfId="0" applyFont="1" applyAlignment="1">
      <alignment horizontal="left" vertical="top"/>
    </xf>
    <xf numFmtId="0" fontId="80" fillId="0" borderId="0" xfId="0" applyFont="1" applyAlignment="1">
      <alignment horizontal="right" vertical="center"/>
    </xf>
    <xf numFmtId="0" fontId="100" fillId="0" borderId="0" xfId="0" applyFont="1" applyAlignment="1">
      <alignment horizontal="center" vertical="top"/>
    </xf>
    <xf numFmtId="0" fontId="83" fillId="0" borderId="0" xfId="0" applyFont="1" applyAlignment="1">
      <alignment vertical="top" wrapText="1"/>
    </xf>
    <xf numFmtId="0" fontId="83" fillId="0" borderId="0" xfId="0" applyFont="1" applyAlignment="1" applyProtection="1">
      <alignment vertical="top"/>
      <protection locked="0"/>
    </xf>
    <xf numFmtId="49" fontId="83" fillId="0" borderId="0" xfId="0" applyNumberFormat="1" applyFont="1" applyAlignment="1">
      <alignment vertical="top" wrapText="1"/>
    </xf>
    <xf numFmtId="182" fontId="83" fillId="0" borderId="0" xfId="0" applyNumberFormat="1" applyFont="1" applyAlignment="1">
      <alignment horizontal="right" vertical="top"/>
    </xf>
    <xf numFmtId="38" fontId="83" fillId="0" borderId="0" xfId="0" applyNumberFormat="1" applyFont="1" applyAlignment="1">
      <alignment horizontal="right" vertical="top"/>
    </xf>
    <xf numFmtId="49" fontId="83" fillId="0" borderId="0" xfId="0" applyNumberFormat="1" applyFont="1" applyAlignment="1">
      <alignment horizontal="center" vertical="top"/>
    </xf>
    <xf numFmtId="49" fontId="83" fillId="0" borderId="0" xfId="0" applyNumberFormat="1" applyFont="1" applyAlignment="1">
      <alignment horizontal="right" vertical="top"/>
    </xf>
    <xf numFmtId="49" fontId="83" fillId="0" borderId="0" xfId="0" applyNumberFormat="1" applyFont="1" applyAlignment="1">
      <alignment horizontal="center" vertical="top" wrapText="1"/>
    </xf>
    <xf numFmtId="0" fontId="83" fillId="0" borderId="0" xfId="42" applyFont="1" applyAlignment="1">
      <alignment vertical="top"/>
    </xf>
    <xf numFmtId="0" fontId="83" fillId="0" borderId="0" xfId="42" applyFont="1" applyAlignment="1" applyProtection="1">
      <alignment horizontal="left" vertical="top"/>
      <protection locked="0"/>
    </xf>
    <xf numFmtId="0" fontId="83" fillId="0" borderId="0" xfId="42" applyFont="1" applyAlignment="1">
      <alignment horizontal="left" vertical="top"/>
    </xf>
    <xf numFmtId="0" fontId="80" fillId="0" borderId="0" xfId="0" applyFont="1" applyAlignment="1">
      <alignment vertical="top" shrinkToFit="1"/>
    </xf>
    <xf numFmtId="0" fontId="80" fillId="0" borderId="0" xfId="0" applyFont="1" applyAlignment="1">
      <alignment horizontal="right" vertical="top" shrinkToFit="1"/>
    </xf>
    <xf numFmtId="0" fontId="84" fillId="0" borderId="11" xfId="0" applyFont="1" applyBorder="1" applyAlignment="1">
      <alignment vertical="center"/>
    </xf>
    <xf numFmtId="0" fontId="84" fillId="0" borderId="0" xfId="0" applyFont="1" applyAlignment="1">
      <alignment vertical="center" wrapText="1"/>
    </xf>
    <xf numFmtId="0" fontId="104" fillId="0" borderId="0" xfId="0" applyFont="1" applyAlignment="1">
      <alignment vertical="center"/>
    </xf>
    <xf numFmtId="0" fontId="84" fillId="0" borderId="0" xfId="0" applyFont="1" applyAlignment="1">
      <alignment horizontal="center" vertical="top"/>
    </xf>
    <xf numFmtId="0" fontId="104" fillId="0" borderId="0" xfId="0" applyFont="1" applyAlignment="1">
      <alignment horizontal="distributed" vertical="center" wrapText="1"/>
    </xf>
    <xf numFmtId="0" fontId="84" fillId="0" borderId="0" xfId="0" applyFont="1" applyAlignment="1">
      <alignment horizontal="left" vertical="top"/>
    </xf>
    <xf numFmtId="49" fontId="84" fillId="0" borderId="0" xfId="0" applyNumberFormat="1" applyFont="1" applyAlignment="1">
      <alignment vertical="center" wrapText="1"/>
    </xf>
    <xf numFmtId="49" fontId="96" fillId="0" borderId="91" xfId="0" applyNumberFormat="1" applyFont="1" applyBorder="1" applyAlignment="1">
      <alignment vertical="center" shrinkToFit="1"/>
    </xf>
    <xf numFmtId="0" fontId="83" fillId="0" borderId="0" xfId="0" applyFont="1" applyAlignment="1">
      <alignment horizontal="left" vertical="top" indent="1"/>
    </xf>
    <xf numFmtId="0" fontId="83" fillId="0" borderId="0" xfId="0" applyFont="1" applyAlignment="1">
      <alignment horizontal="right" vertical="top" wrapText="1"/>
    </xf>
    <xf numFmtId="0" fontId="83" fillId="0" borderId="0" xfId="0" applyFont="1" applyAlignment="1">
      <alignment horizontal="center" vertical="top" wrapText="1"/>
    </xf>
    <xf numFmtId="0" fontId="92" fillId="0" borderId="35" xfId="52" applyFont="1" applyBorder="1" applyAlignment="1">
      <alignment horizontal="left" vertical="center" shrinkToFit="1"/>
    </xf>
    <xf numFmtId="0" fontId="92" fillId="0" borderId="36" xfId="52" applyFont="1" applyBorder="1" applyAlignment="1">
      <alignment horizontal="left" vertical="center" shrinkToFit="1"/>
    </xf>
    <xf numFmtId="0" fontId="87" fillId="0" borderId="36" xfId="52" applyFont="1" applyBorder="1" applyAlignment="1">
      <alignment horizontal="left" vertical="center"/>
    </xf>
    <xf numFmtId="0" fontId="84" fillId="0" borderId="36" xfId="52" applyFont="1" applyBorder="1" applyAlignment="1">
      <alignment horizontal="left" vertical="center" wrapText="1"/>
    </xf>
    <xf numFmtId="0" fontId="84" fillId="0" borderId="45" xfId="52" applyFont="1" applyBorder="1" applyAlignment="1">
      <alignment horizontal="left" vertical="center" wrapText="1"/>
    </xf>
    <xf numFmtId="0" fontId="84" fillId="0" borderId="0" xfId="52" applyFont="1" applyAlignment="1">
      <alignment horizontal="left" vertical="center" wrapText="1"/>
    </xf>
    <xf numFmtId="0" fontId="84" fillId="0" borderId="0" xfId="52" applyFont="1" applyAlignment="1">
      <alignment vertical="center" shrinkToFit="1"/>
    </xf>
    <xf numFmtId="0" fontId="92" fillId="0" borderId="26" xfId="52" applyFont="1" applyBorder="1" applyAlignment="1">
      <alignment horizontal="left" vertical="center" shrinkToFit="1"/>
    </xf>
    <xf numFmtId="0" fontId="92" fillId="0" borderId="0" xfId="52" applyFont="1" applyAlignment="1">
      <alignment horizontal="left" vertical="center" shrinkToFit="1"/>
    </xf>
    <xf numFmtId="0" fontId="84" fillId="0" borderId="19" xfId="52" applyFont="1" applyBorder="1" applyAlignment="1">
      <alignment horizontal="left" vertical="center" wrapText="1"/>
    </xf>
    <xf numFmtId="0" fontId="84" fillId="0" borderId="0" xfId="52" applyFont="1" applyAlignment="1">
      <alignment horizontal="left" vertical="center"/>
    </xf>
    <xf numFmtId="191" fontId="109" fillId="0" borderId="29" xfId="45" applyNumberFormat="1" applyFont="1" applyBorder="1" applyAlignment="1" applyProtection="1">
      <alignment horizontal="center" vertical="center" shrinkToFit="1"/>
    </xf>
    <xf numFmtId="192" fontId="109" fillId="0" borderId="30" xfId="52" applyNumberFormat="1" applyFont="1" applyBorder="1" applyAlignment="1">
      <alignment vertical="center" shrinkToFit="1"/>
    </xf>
    <xf numFmtId="3" fontId="109" fillId="0" borderId="30" xfId="52" applyNumberFormat="1" applyFont="1" applyBorder="1" applyAlignment="1">
      <alignment vertical="center" shrinkToFit="1"/>
    </xf>
    <xf numFmtId="176" fontId="109" fillId="0" borderId="30" xfId="52" applyNumberFormat="1" applyFont="1" applyBorder="1" applyAlignment="1">
      <alignment vertical="center" shrinkToFit="1"/>
    </xf>
    <xf numFmtId="176" fontId="109" fillId="0" borderId="30" xfId="52" applyNumberFormat="1" applyFont="1" applyBorder="1" applyAlignment="1">
      <alignment horizontal="center" vertical="center" shrinkToFit="1"/>
    </xf>
    <xf numFmtId="176" fontId="109" fillId="0" borderId="38" xfId="52" applyNumberFormat="1" applyFont="1" applyBorder="1" applyAlignment="1">
      <alignment vertical="center" shrinkToFit="1"/>
    </xf>
    <xf numFmtId="176" fontId="110" fillId="0" borderId="0" xfId="52" applyNumberFormat="1" applyFont="1" applyAlignment="1">
      <alignment vertical="center" shrinkToFit="1"/>
    </xf>
    <xf numFmtId="0" fontId="108" fillId="0" borderId="0" xfId="52" applyFont="1" applyAlignment="1">
      <alignment vertical="center" shrinkToFit="1"/>
    </xf>
    <xf numFmtId="0" fontId="110" fillId="0" borderId="0" xfId="52" applyFont="1" applyAlignment="1">
      <alignment vertical="center" shrinkToFit="1"/>
    </xf>
    <xf numFmtId="193" fontId="111" fillId="42" borderId="207" xfId="52" applyNumberFormat="1" applyFont="1" applyFill="1" applyBorder="1" applyAlignment="1">
      <alignment vertical="center" shrinkToFit="1"/>
    </xf>
    <xf numFmtId="193" fontId="111" fillId="42" borderId="0" xfId="52" applyNumberFormat="1" applyFont="1" applyFill="1" applyAlignment="1">
      <alignment horizontal="center" vertical="center" shrinkToFit="1"/>
    </xf>
    <xf numFmtId="0" fontId="80" fillId="0" borderId="0" xfId="52" applyFont="1" applyAlignment="1">
      <alignment vertical="center" shrinkToFit="1"/>
    </xf>
    <xf numFmtId="6" fontId="84" fillId="43" borderId="212" xfId="60" applyFont="1" applyFill="1" applyBorder="1" applyAlignment="1" applyProtection="1">
      <alignment vertical="center" shrinkToFit="1"/>
    </xf>
    <xf numFmtId="6" fontId="84" fillId="43" borderId="0" xfId="60" applyFont="1" applyFill="1" applyBorder="1" applyAlignment="1" applyProtection="1">
      <alignment vertical="center" shrinkToFit="1"/>
    </xf>
    <xf numFmtId="6" fontId="84" fillId="43" borderId="215" xfId="60" applyFont="1" applyFill="1" applyBorder="1" applyAlignment="1" applyProtection="1">
      <alignment vertical="center" shrinkToFit="1"/>
    </xf>
    <xf numFmtId="6" fontId="84" fillId="43" borderId="220" xfId="60" applyFont="1" applyFill="1" applyBorder="1" applyAlignment="1" applyProtection="1">
      <alignment vertical="center" shrinkToFit="1"/>
    </xf>
    <xf numFmtId="6" fontId="84" fillId="43" borderId="223" xfId="60" applyFont="1" applyFill="1" applyBorder="1" applyAlignment="1" applyProtection="1">
      <alignment vertical="center" shrinkToFit="1"/>
    </xf>
    <xf numFmtId="6" fontId="84" fillId="0" borderId="226" xfId="60" applyFont="1" applyBorder="1" applyAlignment="1" applyProtection="1">
      <alignment vertical="center" shrinkToFit="1"/>
    </xf>
    <xf numFmtId="6" fontId="84" fillId="0" borderId="0" xfId="60" applyFont="1" applyBorder="1" applyAlignment="1" applyProtection="1">
      <alignment vertical="center" shrinkToFit="1"/>
    </xf>
    <xf numFmtId="6" fontId="84" fillId="0" borderId="47" xfId="60" applyFont="1" applyBorder="1" applyAlignment="1" applyProtection="1">
      <alignment vertical="center" shrinkToFit="1"/>
    </xf>
    <xf numFmtId="6" fontId="88" fillId="44" borderId="58" xfId="60" applyFont="1" applyFill="1" applyBorder="1" applyAlignment="1" applyProtection="1">
      <alignment vertical="center" shrinkToFit="1"/>
    </xf>
    <xf numFmtId="6" fontId="88" fillId="44" borderId="0" xfId="60" applyFont="1" applyFill="1" applyBorder="1" applyAlignment="1" applyProtection="1">
      <alignment vertical="center" shrinkToFit="1"/>
    </xf>
    <xf numFmtId="0" fontId="80" fillId="0" borderId="0" xfId="52" applyFont="1" applyAlignment="1">
      <alignment horizontal="center" vertical="center" shrinkToFit="1"/>
    </xf>
    <xf numFmtId="0" fontId="112" fillId="0" borderId="26" xfId="52" applyFont="1" applyBorder="1">
      <alignment vertical="center"/>
    </xf>
    <xf numFmtId="0" fontId="84" fillId="45" borderId="27" xfId="52" applyFont="1" applyFill="1" applyBorder="1" applyAlignment="1">
      <alignment horizontal="center" vertical="center" shrinkToFit="1"/>
    </xf>
    <xf numFmtId="0" fontId="80" fillId="0" borderId="19" xfId="52" applyFont="1" applyBorder="1" applyAlignment="1">
      <alignment horizontal="center" vertical="center" shrinkToFit="1"/>
    </xf>
    <xf numFmtId="0" fontId="80" fillId="0" borderId="30" xfId="52" applyFont="1" applyBorder="1" applyAlignment="1">
      <alignment vertical="center" shrinkToFit="1"/>
    </xf>
    <xf numFmtId="0" fontId="80" fillId="0" borderId="30" xfId="52" applyFont="1" applyBorder="1" applyAlignment="1">
      <alignment horizontal="center" vertical="center" shrinkToFit="1"/>
    </xf>
    <xf numFmtId="0" fontId="80" fillId="0" borderId="38" xfId="52" applyFont="1" applyBorder="1" applyAlignment="1">
      <alignment vertical="center" shrinkToFit="1"/>
    </xf>
    <xf numFmtId="0" fontId="88" fillId="0" borderId="0" xfId="52" applyFont="1" applyAlignment="1">
      <alignment shrinkToFit="1"/>
    </xf>
    <xf numFmtId="0" fontId="84" fillId="29" borderId="49" xfId="52" applyFont="1" applyFill="1" applyBorder="1" applyAlignment="1">
      <alignment horizontal="center" vertical="center" shrinkToFit="1"/>
    </xf>
    <xf numFmtId="194" fontId="80" fillId="0" borderId="47" xfId="52" applyNumberFormat="1" applyFont="1" applyBorder="1" applyAlignment="1">
      <alignment horizontal="center" vertical="center" shrinkToFit="1"/>
    </xf>
    <xf numFmtId="0" fontId="88" fillId="0" borderId="0" xfId="52" applyFont="1">
      <alignment vertical="center"/>
    </xf>
    <xf numFmtId="0" fontId="88" fillId="0" borderId="0" xfId="52" applyFont="1" applyAlignment="1">
      <alignment horizontal="right" vertical="center"/>
    </xf>
    <xf numFmtId="0" fontId="88" fillId="0" borderId="19" xfId="52" applyFont="1" applyBorder="1">
      <alignment vertical="center"/>
    </xf>
    <xf numFmtId="0" fontId="80" fillId="0" borderId="47" xfId="52" applyFont="1" applyBorder="1" applyAlignment="1">
      <alignment vertical="center" shrinkToFit="1"/>
    </xf>
    <xf numFmtId="176" fontId="88" fillId="0" borderId="0" xfId="52" applyNumberFormat="1" applyFont="1" applyAlignment="1">
      <alignment horizontal="right" vertical="center"/>
    </xf>
    <xf numFmtId="0" fontId="88" fillId="0" borderId="30" xfId="52" applyFont="1" applyBorder="1" applyAlignment="1">
      <alignment horizontal="center" vertical="center"/>
    </xf>
    <xf numFmtId="0" fontId="80" fillId="0" borderId="0" xfId="52" applyFont="1">
      <alignment vertical="center"/>
    </xf>
    <xf numFmtId="0" fontId="80" fillId="0" borderId="10" xfId="44" applyFont="1" applyBorder="1" applyAlignment="1">
      <alignment vertical="center" shrinkToFit="1"/>
    </xf>
    <xf numFmtId="191" fontId="109" fillId="0" borderId="29" xfId="45" applyNumberFormat="1" applyFont="1" applyBorder="1" applyAlignment="1">
      <alignment horizontal="center" vertical="center" shrinkToFit="1"/>
    </xf>
    <xf numFmtId="0" fontId="82" fillId="0" borderId="0" xfId="52" applyFont="1" applyAlignment="1">
      <alignment vertical="center" shrinkToFit="1"/>
    </xf>
    <xf numFmtId="176" fontId="80" fillId="0" borderId="0" xfId="52" applyNumberFormat="1" applyFont="1" applyAlignment="1">
      <alignment vertical="center" shrinkToFit="1"/>
    </xf>
    <xf numFmtId="0" fontId="87" fillId="0" borderId="0" xfId="52" applyFont="1" applyAlignment="1">
      <alignment horizontal="right" vertical="center" wrapText="1" shrinkToFit="1"/>
    </xf>
    <xf numFmtId="0" fontId="87" fillId="0" borderId="19" xfId="52" applyFont="1" applyBorder="1" applyAlignment="1">
      <alignment horizontal="right" vertical="center" wrapText="1" shrinkToFit="1"/>
    </xf>
    <xf numFmtId="0" fontId="88" fillId="0" borderId="26" xfId="52" applyFont="1" applyBorder="1" applyAlignment="1">
      <alignment horizontal="right" vertical="center"/>
    </xf>
    <xf numFmtId="176" fontId="88" fillId="0" borderId="26" xfId="52" applyNumberFormat="1" applyFont="1" applyBorder="1" applyAlignment="1">
      <alignment horizontal="right" vertical="center"/>
    </xf>
    <xf numFmtId="0" fontId="80" fillId="0" borderId="29" xfId="52" applyFont="1" applyBorder="1" applyAlignment="1">
      <alignment vertical="center" shrinkToFit="1"/>
    </xf>
    <xf numFmtId="0" fontId="80" fillId="0" borderId="35" xfId="49" applyFont="1" applyBorder="1" applyAlignment="1">
      <alignment vertical="center"/>
    </xf>
    <xf numFmtId="0" fontId="100" fillId="0" borderId="45" xfId="49" applyFont="1" applyBorder="1" applyAlignment="1">
      <alignment horizontal="center" vertical="center"/>
    </xf>
    <xf numFmtId="0" fontId="80" fillId="0" borderId="26" xfId="49" applyFont="1" applyBorder="1" applyAlignment="1">
      <alignment vertical="center"/>
    </xf>
    <xf numFmtId="0" fontId="100" fillId="0" borderId="19" xfId="49" applyFont="1" applyBorder="1" applyAlignment="1">
      <alignment horizontal="center" vertical="center"/>
    </xf>
    <xf numFmtId="0" fontId="80" fillId="0" borderId="19" xfId="49" applyFont="1" applyBorder="1" applyAlignment="1">
      <alignment vertical="center"/>
    </xf>
    <xf numFmtId="0" fontId="80" fillId="0" borderId="19" xfId="49" applyFont="1" applyBorder="1" applyAlignment="1">
      <alignment horizontal="center" vertical="center"/>
    </xf>
    <xf numFmtId="0" fontId="80" fillId="0" borderId="36" xfId="49" applyFont="1" applyBorder="1" applyAlignment="1" applyProtection="1">
      <alignment horizontal="center"/>
      <protection locked="0"/>
    </xf>
    <xf numFmtId="0" fontId="80" fillId="0" borderId="45" xfId="49" applyFont="1" applyBorder="1" applyAlignment="1" applyProtection="1">
      <alignment horizontal="center"/>
      <protection locked="0"/>
    </xf>
    <xf numFmtId="0" fontId="80" fillId="0" borderId="12" xfId="49" applyFont="1" applyBorder="1" applyAlignment="1" applyProtection="1">
      <alignment horizontal="center" vertical="top"/>
      <protection locked="0"/>
    </xf>
    <xf numFmtId="0" fontId="80" fillId="0" borderId="13" xfId="49" applyFont="1" applyBorder="1" applyAlignment="1" applyProtection="1">
      <alignment horizontal="center" vertical="top"/>
      <protection locked="0"/>
    </xf>
    <xf numFmtId="0" fontId="80" fillId="0" borderId="12" xfId="49" applyFont="1" applyBorder="1" applyAlignment="1" applyProtection="1">
      <alignment vertical="center"/>
      <protection locked="0"/>
    </xf>
    <xf numFmtId="0" fontId="80" fillId="0" borderId="13" xfId="49" applyFont="1" applyBorder="1" applyAlignment="1" applyProtection="1">
      <alignment vertical="center"/>
      <protection locked="0"/>
    </xf>
    <xf numFmtId="0" fontId="80" fillId="0" borderId="0" xfId="49" applyFont="1" applyAlignment="1" applyProtection="1">
      <alignment horizontal="center" vertical="center" wrapText="1"/>
      <protection locked="0"/>
    </xf>
    <xf numFmtId="0" fontId="80" fillId="0" borderId="0" xfId="49" applyFont="1" applyAlignment="1">
      <alignment horizontal="center" vertical="center" wrapText="1"/>
    </xf>
    <xf numFmtId="0" fontId="80" fillId="0" borderId="19" xfId="49" applyFont="1" applyBorder="1" applyAlignment="1">
      <alignment vertical="center" wrapText="1"/>
    </xf>
    <xf numFmtId="0" fontId="90" fillId="0" borderId="26" xfId="49" applyFont="1" applyBorder="1" applyAlignment="1">
      <alignment vertical="center"/>
    </xf>
    <xf numFmtId="0" fontId="90" fillId="0" borderId="0" xfId="49" applyFont="1" applyAlignment="1">
      <alignment vertical="center"/>
    </xf>
    <xf numFmtId="0" fontId="90" fillId="0" borderId="19" xfId="49" applyFont="1" applyBorder="1" applyAlignment="1">
      <alignment vertical="center"/>
    </xf>
    <xf numFmtId="0" fontId="80" fillId="0" borderId="155" xfId="49" applyFont="1" applyBorder="1" applyAlignment="1">
      <alignment vertical="center"/>
    </xf>
    <xf numFmtId="0" fontId="80" fillId="0" borderId="29" xfId="49" applyFont="1" applyBorder="1" applyAlignment="1">
      <alignment vertical="center"/>
    </xf>
    <xf numFmtId="0" fontId="80" fillId="0" borderId="38" xfId="49" applyFont="1" applyBorder="1" applyAlignment="1">
      <alignment vertical="center"/>
    </xf>
    <xf numFmtId="0" fontId="81" fillId="0" borderId="0" xfId="47" applyFont="1">
      <alignment vertical="center"/>
    </xf>
    <xf numFmtId="0" fontId="81" fillId="0" borderId="0" xfId="47" applyFont="1" applyAlignment="1" applyProtection="1">
      <alignment horizontal="right" vertical="center"/>
      <protection locked="0"/>
    </xf>
    <xf numFmtId="0" fontId="83" fillId="0" borderId="0" xfId="0" applyFont="1" applyAlignment="1">
      <alignment vertical="center"/>
    </xf>
    <xf numFmtId="0" fontId="95" fillId="0" borderId="0" xfId="43" applyFont="1">
      <alignment vertical="center"/>
    </xf>
    <xf numFmtId="0" fontId="95" fillId="0" borderId="0" xfId="43" applyFont="1" applyAlignment="1">
      <alignment vertical="center" wrapText="1"/>
    </xf>
    <xf numFmtId="0" fontId="81" fillId="0" borderId="88" xfId="47" applyFont="1" applyBorder="1" applyAlignment="1">
      <alignment horizontal="left" vertical="center"/>
    </xf>
    <xf numFmtId="0" fontId="81" fillId="0" borderId="89" xfId="47" applyFont="1" applyBorder="1" applyAlignment="1">
      <alignment horizontal="center" vertical="center"/>
    </xf>
    <xf numFmtId="0" fontId="95" fillId="0" borderId="0" xfId="43" applyFont="1" applyAlignment="1">
      <alignment horizontal="justify" vertical="center" wrapText="1"/>
    </xf>
    <xf numFmtId="0" fontId="109" fillId="0" borderId="0" xfId="0" applyFont="1" applyAlignment="1">
      <alignment vertical="top"/>
    </xf>
    <xf numFmtId="0" fontId="84" fillId="0" borderId="0" xfId="0" applyFont="1" applyAlignment="1">
      <alignment horizontal="right" vertical="center"/>
    </xf>
    <xf numFmtId="0" fontId="84" fillId="0" borderId="12" xfId="0" applyFont="1" applyBorder="1" applyAlignment="1">
      <alignment vertical="center"/>
    </xf>
    <xf numFmtId="0" fontId="80" fillId="0" borderId="0" xfId="51" applyFont="1" applyAlignment="1">
      <alignment vertical="center"/>
    </xf>
    <xf numFmtId="0" fontId="91" fillId="0" borderId="0" xfId="51" applyFont="1" applyAlignment="1">
      <alignment horizontal="right" vertical="top"/>
    </xf>
    <xf numFmtId="0" fontId="88" fillId="0" borderId="0" xfId="51" applyFont="1" applyAlignment="1">
      <alignment horizontal="right" vertical="center"/>
    </xf>
    <xf numFmtId="0" fontId="88" fillId="0" borderId="36" xfId="51" applyFont="1" applyBorder="1" applyAlignment="1">
      <alignment horizontal="right" vertical="center"/>
    </xf>
    <xf numFmtId="0" fontId="80" fillId="0" borderId="0" xfId="51" applyFont="1" applyAlignment="1">
      <alignment horizontal="right" vertical="center"/>
    </xf>
    <xf numFmtId="0" fontId="113" fillId="0" borderId="0" xfId="51" applyFont="1" applyAlignment="1">
      <alignment horizontal="center" vertical="center"/>
    </xf>
    <xf numFmtId="0" fontId="83" fillId="0" borderId="0" xfId="51" applyFont="1" applyAlignment="1">
      <alignment horizontal="center" vertical="center"/>
    </xf>
    <xf numFmtId="0" fontId="90" fillId="0" borderId="0" xfId="51" applyFont="1" applyAlignment="1">
      <alignment vertical="center"/>
    </xf>
    <xf numFmtId="0" fontId="89" fillId="0" borderId="36" xfId="51" applyFont="1" applyBorder="1" applyAlignment="1">
      <alignment vertical="center"/>
    </xf>
    <xf numFmtId="0" fontId="89" fillId="0" borderId="0" xfId="51" applyFont="1" applyAlignment="1">
      <alignment vertical="center"/>
    </xf>
    <xf numFmtId="0" fontId="13" fillId="0" borderId="0" xfId="74" applyAlignment="1">
      <alignment vertical="center"/>
    </xf>
    <xf numFmtId="0" fontId="117" fillId="0" borderId="0" xfId="75" applyFont="1" applyAlignment="1">
      <alignment horizontal="right"/>
    </xf>
    <xf numFmtId="0" fontId="118" fillId="0" borderId="10" xfId="75" applyFont="1" applyBorder="1" applyAlignment="1">
      <alignment horizontal="center" vertical="center"/>
    </xf>
    <xf numFmtId="0" fontId="118" fillId="0" borderId="10" xfId="75" applyFont="1" applyBorder="1" applyAlignment="1">
      <alignment horizontal="center" vertical="center" wrapText="1"/>
    </xf>
    <xf numFmtId="195" fontId="118" fillId="0" borderId="10" xfId="75" applyNumberFormat="1" applyFont="1" applyBorder="1" applyAlignment="1">
      <alignment horizontal="left" vertical="center" wrapText="1"/>
    </xf>
    <xf numFmtId="0" fontId="14" fillId="0" borderId="10" xfId="75" applyFont="1" applyBorder="1" applyAlignment="1">
      <alignment horizontal="center" vertical="center"/>
    </xf>
    <xf numFmtId="196" fontId="118" fillId="0" borderId="10" xfId="75" applyNumberFormat="1" applyFont="1" applyBorder="1" applyAlignment="1">
      <alignment horizontal="center" vertical="center"/>
    </xf>
    <xf numFmtId="0" fontId="14" fillId="0" borderId="10" xfId="75" applyFont="1" applyBorder="1" applyAlignment="1">
      <alignment horizontal="center" vertical="center" shrinkToFit="1"/>
    </xf>
    <xf numFmtId="197" fontId="118" fillId="0" borderId="10" xfId="75" applyNumberFormat="1" applyFont="1" applyBorder="1" applyAlignment="1">
      <alignment horizontal="center" vertical="center" shrinkToFit="1"/>
    </xf>
    <xf numFmtId="0" fontId="13" fillId="0" borderId="10" xfId="74" applyBorder="1" applyAlignment="1">
      <alignment horizontal="center" vertical="center"/>
    </xf>
    <xf numFmtId="0" fontId="119" fillId="0" borderId="10" xfId="75" applyFont="1" applyBorder="1" applyAlignment="1">
      <alignment horizontal="center" vertical="center" wrapText="1"/>
    </xf>
    <xf numFmtId="0" fontId="13" fillId="0" borderId="0" xfId="74" applyAlignment="1">
      <alignment horizontal="center" vertical="center"/>
    </xf>
    <xf numFmtId="0" fontId="13" fillId="0" borderId="51" xfId="74" applyBorder="1" applyAlignment="1">
      <alignment horizontal="center" vertical="center"/>
    </xf>
    <xf numFmtId="0" fontId="116" fillId="0" borderId="0" xfId="75">
      <alignment vertical="center"/>
    </xf>
    <xf numFmtId="0" fontId="13" fillId="34" borderId="10" xfId="75" applyFont="1" applyFill="1" applyBorder="1" applyAlignment="1">
      <alignment horizontal="center" vertical="center" wrapText="1"/>
    </xf>
    <xf numFmtId="0" fontId="117" fillId="0" borderId="0" xfId="75" applyFont="1">
      <alignment vertical="center"/>
    </xf>
    <xf numFmtId="0" fontId="120" fillId="0" borderId="0" xfId="75" applyFont="1">
      <alignment vertical="center"/>
    </xf>
    <xf numFmtId="0" fontId="122" fillId="0" borderId="10" xfId="43" applyFont="1" applyBorder="1">
      <alignment vertical="center"/>
    </xf>
    <xf numFmtId="49" fontId="128" fillId="0" borderId="0" xfId="0" applyNumberFormat="1" applyFont="1" applyAlignment="1">
      <alignment vertical="center"/>
    </xf>
    <xf numFmtId="0" fontId="128" fillId="0" borderId="0" xfId="0" applyFont="1" applyAlignment="1">
      <alignment vertical="center"/>
    </xf>
    <xf numFmtId="49" fontId="129" fillId="0" borderId="0" xfId="0" applyNumberFormat="1" applyFont="1" applyAlignment="1">
      <alignment vertical="top"/>
    </xf>
    <xf numFmtId="0" fontId="129" fillId="0" borderId="0" xfId="0" applyFont="1" applyAlignment="1">
      <alignment vertical="top"/>
    </xf>
    <xf numFmtId="0" fontId="130" fillId="0" borderId="0" xfId="43" applyFont="1">
      <alignment vertical="center"/>
    </xf>
    <xf numFmtId="0" fontId="135" fillId="0" borderId="164" xfId="0" applyFont="1" applyBorder="1" applyAlignment="1">
      <alignment horizontal="center" vertical="center" shrinkToFit="1"/>
    </xf>
    <xf numFmtId="0" fontId="135" fillId="0" borderId="165" xfId="0" applyFont="1" applyBorder="1" applyAlignment="1">
      <alignment horizontal="center" vertical="center" shrinkToFit="1"/>
    </xf>
    <xf numFmtId="0" fontId="135" fillId="0" borderId="166" xfId="0" applyFont="1" applyBorder="1" applyAlignment="1">
      <alignment horizontal="center" vertical="center" shrinkToFit="1"/>
    </xf>
    <xf numFmtId="0" fontId="129" fillId="0" borderId="0" xfId="0" applyFont="1" applyAlignment="1">
      <alignment vertical="center"/>
    </xf>
    <xf numFmtId="0" fontId="132" fillId="0" borderId="0" xfId="0" applyFont="1" applyAlignment="1">
      <alignment vertical="center"/>
    </xf>
    <xf numFmtId="182" fontId="135" fillId="0" borderId="87" xfId="0" applyNumberFormat="1" applyFont="1" applyBorder="1" applyAlignment="1">
      <alignment horizontal="right" vertical="center" shrinkToFit="1"/>
    </xf>
    <xf numFmtId="182" fontId="135" fillId="0" borderId="88" xfId="0" applyNumberFormat="1" applyFont="1" applyBorder="1" applyAlignment="1">
      <alignment horizontal="right" vertical="center" shrinkToFit="1"/>
    </xf>
    <xf numFmtId="198" fontId="135" fillId="0" borderId="161" xfId="0" applyNumberFormat="1" applyFont="1" applyBorder="1" applyAlignment="1">
      <alignment horizontal="right" vertical="center" shrinkToFit="1"/>
    </xf>
    <xf numFmtId="0" fontId="136" fillId="0" borderId="0" xfId="43" applyFont="1" applyAlignment="1"/>
    <xf numFmtId="0" fontId="128" fillId="0" borderId="0" xfId="0" applyFont="1" applyAlignment="1">
      <alignment horizontal="right" vertical="center"/>
    </xf>
    <xf numFmtId="0" fontId="131" fillId="0" borderId="0" xfId="0" applyFont="1" applyAlignment="1">
      <alignment vertical="center"/>
    </xf>
    <xf numFmtId="0" fontId="140" fillId="0" borderId="0" xfId="0" applyFont="1" applyAlignment="1">
      <alignment vertical="center"/>
    </xf>
    <xf numFmtId="0" fontId="132" fillId="0" borderId="0" xfId="0" applyFont="1" applyAlignment="1">
      <alignment vertical="top"/>
    </xf>
    <xf numFmtId="49" fontId="129" fillId="0" borderId="0" xfId="0" applyNumberFormat="1" applyFont="1" applyAlignment="1">
      <alignment vertical="top" wrapText="1"/>
    </xf>
    <xf numFmtId="49" fontId="129" fillId="0" borderId="0" xfId="0" applyNumberFormat="1" applyFont="1" applyAlignment="1">
      <alignment horizontal="left" vertical="top"/>
    </xf>
    <xf numFmtId="49" fontId="143" fillId="0" borderId="12" xfId="0" applyNumberFormat="1" applyFont="1" applyBorder="1" applyAlignment="1">
      <alignment vertical="top" wrapText="1"/>
    </xf>
    <xf numFmtId="0" fontId="129" fillId="0" borderId="96" xfId="0" applyFont="1" applyBorder="1" applyAlignment="1">
      <alignment vertical="top"/>
    </xf>
    <xf numFmtId="0" fontId="143" fillId="0" borderId="96" xfId="0" applyFont="1" applyBorder="1" applyAlignment="1">
      <alignment vertical="top" wrapText="1"/>
    </xf>
    <xf numFmtId="0" fontId="143" fillId="0" borderId="0" xfId="0" applyFont="1" applyAlignment="1">
      <alignment vertical="top" wrapText="1"/>
    </xf>
    <xf numFmtId="0" fontId="144" fillId="0" borderId="0" xfId="0" applyFont="1" applyAlignment="1">
      <alignment vertical="center"/>
    </xf>
    <xf numFmtId="49" fontId="129" fillId="0" borderId="0" xfId="0" applyNumberFormat="1" applyFont="1" applyAlignment="1">
      <alignment vertical="center"/>
    </xf>
    <xf numFmtId="0" fontId="129" fillId="0" borderId="0" xfId="0" applyFont="1" applyAlignment="1">
      <alignment vertical="center" wrapText="1"/>
    </xf>
    <xf numFmtId="0" fontId="142" fillId="0" borderId="0" xfId="0" applyFont="1" applyAlignment="1">
      <alignment horizontal="right" vertical="center"/>
    </xf>
    <xf numFmtId="49" fontId="144" fillId="0" borderId="0" xfId="0" applyNumberFormat="1" applyFont="1" applyAlignment="1">
      <alignment vertical="center"/>
    </xf>
    <xf numFmtId="0" fontId="142" fillId="0" borderId="0" xfId="0" applyFont="1" applyAlignment="1">
      <alignment vertical="center"/>
    </xf>
    <xf numFmtId="0" fontId="145" fillId="0" borderId="10" xfId="0" applyFont="1" applyBorder="1" applyAlignment="1">
      <alignment horizontal="center" vertical="center" wrapText="1"/>
    </xf>
    <xf numFmtId="2" fontId="129" fillId="0" borderId="10" xfId="0" applyNumberFormat="1" applyFont="1" applyBorder="1" applyAlignment="1">
      <alignment horizontal="center" vertical="center"/>
    </xf>
    <xf numFmtId="198" fontId="135" fillId="0" borderId="158" xfId="46" applyNumberFormat="1" applyFont="1" applyFill="1" applyBorder="1" applyAlignment="1">
      <alignment horizontal="right" vertical="center" shrinkToFit="1"/>
    </xf>
    <xf numFmtId="198" fontId="135" fillId="0" borderId="162" xfId="0" applyNumberFormat="1" applyFont="1" applyBorder="1" applyAlignment="1">
      <alignment horizontal="right" vertical="center" shrinkToFit="1"/>
    </xf>
    <xf numFmtId="198" fontId="135" fillId="0" borderId="163" xfId="0" applyNumberFormat="1" applyFont="1" applyBorder="1" applyAlignment="1">
      <alignment horizontal="right" vertical="center" shrinkToFit="1"/>
    </xf>
    <xf numFmtId="198" fontId="135" fillId="0" borderId="161" xfId="46" applyNumberFormat="1" applyFont="1" applyFill="1" applyBorder="1" applyAlignment="1">
      <alignment horizontal="right" vertical="center" shrinkToFit="1"/>
    </xf>
    <xf numFmtId="182" fontId="135" fillId="0" borderId="89" xfId="0" applyNumberFormat="1" applyFont="1" applyBorder="1" applyAlignment="1">
      <alignment horizontal="right" vertical="center" shrinkToFit="1"/>
    </xf>
    <xf numFmtId="198" fontId="135" fillId="0" borderId="164" xfId="46" applyNumberFormat="1" applyFont="1" applyFill="1" applyBorder="1" applyAlignment="1">
      <alignment horizontal="right" vertical="center" shrinkToFit="1"/>
    </xf>
    <xf numFmtId="198" fontId="135" fillId="0" borderId="165" xfId="0" applyNumberFormat="1" applyFont="1" applyBorder="1" applyAlignment="1">
      <alignment horizontal="right" vertical="center" shrinkToFit="1"/>
    </xf>
    <xf numFmtId="198" fontId="135" fillId="0" borderId="166" xfId="0" applyNumberFormat="1" applyFont="1" applyBorder="1" applyAlignment="1">
      <alignment horizontal="right" vertical="center" shrinkToFit="1"/>
    </xf>
    <xf numFmtId="187" fontId="129" fillId="0" borderId="10" xfId="0" applyNumberFormat="1" applyFont="1" applyBorder="1" applyAlignment="1">
      <alignment horizontal="center" vertical="center" shrinkToFit="1"/>
    </xf>
    <xf numFmtId="0" fontId="134" fillId="0" borderId="0" xfId="0" applyFont="1" applyAlignment="1">
      <alignment horizontal="right" vertical="center"/>
    </xf>
    <xf numFmtId="0" fontId="134" fillId="0" borderId="0" xfId="0" applyFont="1" applyAlignment="1">
      <alignment vertical="center"/>
    </xf>
    <xf numFmtId="49" fontId="144" fillId="0" borderId="0" xfId="0" applyNumberFormat="1" applyFont="1" applyAlignment="1">
      <alignment vertical="center" wrapText="1"/>
    </xf>
    <xf numFmtId="49" fontId="129" fillId="0" borderId="0" xfId="0" applyNumberFormat="1" applyFont="1" applyAlignment="1">
      <alignment vertical="center" wrapText="1"/>
    </xf>
    <xf numFmtId="49" fontId="128" fillId="0" borderId="0" xfId="0" applyNumberFormat="1" applyFont="1" applyAlignment="1">
      <alignment vertical="center" wrapText="1"/>
    </xf>
    <xf numFmtId="0" fontId="129" fillId="0" borderId="0" xfId="0" applyFont="1" applyAlignment="1">
      <alignment horizontal="left" vertical="center" wrapText="1"/>
    </xf>
    <xf numFmtId="49" fontId="128" fillId="0" borderId="0" xfId="0" applyNumberFormat="1" applyFont="1" applyAlignment="1">
      <alignment horizontal="center" vertical="center"/>
    </xf>
    <xf numFmtId="49" fontId="128" fillId="0" borderId="0" xfId="0" applyNumberFormat="1" applyFont="1" applyAlignment="1">
      <alignment horizontal="left" vertical="center"/>
    </xf>
    <xf numFmtId="49" fontId="129" fillId="0" borderId="0" xfId="0" applyNumberFormat="1" applyFont="1" applyAlignment="1">
      <alignment horizontal="left" vertical="center"/>
    </xf>
    <xf numFmtId="49" fontId="129" fillId="0" borderId="0" xfId="0" applyNumberFormat="1" applyFont="1" applyAlignment="1">
      <alignment horizontal="left" vertical="center" wrapText="1"/>
    </xf>
    <xf numFmtId="0" fontId="135" fillId="0" borderId="0" xfId="0" applyFont="1" applyAlignment="1">
      <alignment vertical="center"/>
    </xf>
    <xf numFmtId="0" fontId="146" fillId="0" borderId="0" xfId="0" applyFont="1" applyAlignment="1">
      <alignment vertical="center"/>
    </xf>
    <xf numFmtId="180" fontId="146" fillId="0" borderId="0" xfId="0" applyNumberFormat="1" applyFont="1" applyAlignment="1">
      <alignment vertical="center"/>
    </xf>
    <xf numFmtId="182" fontId="146" fillId="0" borderId="0" xfId="0" applyNumberFormat="1" applyFont="1" applyAlignment="1">
      <alignment vertical="center"/>
    </xf>
    <xf numFmtId="0" fontId="130" fillId="0" borderId="73" xfId="43" applyFont="1" applyBorder="1" applyProtection="1">
      <alignment vertical="center"/>
      <protection locked="0"/>
    </xf>
    <xf numFmtId="0" fontId="130" fillId="0" borderId="10" xfId="43" applyFont="1" applyBorder="1">
      <alignment vertical="center"/>
    </xf>
    <xf numFmtId="0" fontId="136" fillId="0" borderId="0" xfId="43" applyFont="1">
      <alignment vertical="center"/>
    </xf>
    <xf numFmtId="0" fontId="137" fillId="0" borderId="0" xfId="43" applyFont="1">
      <alignment vertical="center"/>
    </xf>
    <xf numFmtId="0" fontId="137" fillId="0" borderId="10" xfId="43" applyFont="1" applyBorder="1">
      <alignment vertical="center"/>
    </xf>
    <xf numFmtId="0" fontId="130" fillId="0" borderId="167" xfId="43" applyFont="1" applyBorder="1">
      <alignment vertical="center"/>
    </xf>
    <xf numFmtId="0" fontId="130" fillId="0" borderId="0" xfId="43" applyFont="1" applyAlignment="1">
      <alignment horizontal="right" vertical="center"/>
    </xf>
    <xf numFmtId="0" fontId="137" fillId="0" borderId="0" xfId="43" applyFont="1" applyAlignment="1">
      <alignment horizontal="right" vertical="center"/>
    </xf>
    <xf numFmtId="0" fontId="130" fillId="0" borderId="10" xfId="43" applyFont="1" applyBorder="1" applyAlignment="1"/>
    <xf numFmtId="0" fontId="136" fillId="0" borderId="10" xfId="43" applyFont="1" applyBorder="1" applyAlignment="1"/>
    <xf numFmtId="0" fontId="130" fillId="0" borderId="0" xfId="43" applyFont="1" applyAlignment="1"/>
    <xf numFmtId="38" fontId="130" fillId="0" borderId="10" xfId="46" applyFont="1" applyBorder="1" applyAlignment="1" applyProtection="1"/>
    <xf numFmtId="38" fontId="130" fillId="0" borderId="27" xfId="43" applyNumberFormat="1" applyFont="1" applyBorder="1">
      <alignment vertical="center"/>
    </xf>
    <xf numFmtId="49" fontId="143" fillId="0" borderId="0" xfId="0" applyNumberFormat="1" applyFont="1" applyAlignment="1">
      <alignment vertical="top" wrapText="1"/>
    </xf>
    <xf numFmtId="0" fontId="129" fillId="0" borderId="0" xfId="0" applyFont="1" applyAlignment="1">
      <alignment vertical="top" shrinkToFit="1"/>
    </xf>
    <xf numFmtId="0" fontId="81" fillId="0" borderId="0" xfId="79" applyFont="1">
      <alignment vertical="center"/>
    </xf>
    <xf numFmtId="0" fontId="81" fillId="0" borderId="0" xfId="79" applyFont="1" applyAlignment="1">
      <alignment horizontal="right" vertical="center"/>
    </xf>
    <xf numFmtId="183" fontId="81" fillId="0" borderId="0" xfId="79" applyNumberFormat="1" applyFont="1">
      <alignment vertical="center"/>
    </xf>
    <xf numFmtId="0" fontId="81" fillId="0" borderId="0" xfId="79" applyFont="1" applyAlignment="1">
      <alignment horizontal="left" vertical="center"/>
    </xf>
    <xf numFmtId="49" fontId="81" fillId="0" borderId="0" xfId="79" applyNumberFormat="1" applyFont="1">
      <alignment vertical="center"/>
    </xf>
    <xf numFmtId="0" fontId="124" fillId="0" borderId="0" xfId="80" applyFont="1">
      <alignment vertical="center"/>
    </xf>
    <xf numFmtId="0" fontId="148" fillId="0" borderId="0" xfId="80" applyFont="1">
      <alignment vertical="center"/>
    </xf>
    <xf numFmtId="190" fontId="148" fillId="0" borderId="0" xfId="80" applyNumberFormat="1" applyFont="1" applyAlignment="1">
      <alignment horizontal="center" vertical="center"/>
    </xf>
    <xf numFmtId="0" fontId="148" fillId="51" borderId="10" xfId="80" applyFont="1" applyFill="1" applyBorder="1" applyAlignment="1">
      <alignment vertical="center" shrinkToFit="1"/>
    </xf>
    <xf numFmtId="0" fontId="148" fillId="0" borderId="39" xfId="80" applyFont="1" applyBorder="1" applyAlignment="1">
      <alignment horizontal="right" vertical="center" shrinkToFit="1"/>
    </xf>
    <xf numFmtId="0" fontId="148" fillId="0" borderId="74" xfId="80" applyFont="1" applyBorder="1" applyAlignment="1">
      <alignment horizontal="right" vertical="center" shrinkToFit="1"/>
    </xf>
    <xf numFmtId="0" fontId="148" fillId="0" borderId="10" xfId="80" applyFont="1" applyBorder="1" applyAlignment="1">
      <alignment horizontal="right" vertical="center"/>
    </xf>
    <xf numFmtId="0" fontId="148" fillId="0" borderId="10" xfId="80" applyFont="1" applyBorder="1" applyAlignment="1" applyProtection="1">
      <alignment horizontal="center" vertical="center"/>
      <protection locked="0"/>
    </xf>
    <xf numFmtId="0" fontId="148" fillId="0" borderId="14" xfId="80" applyFont="1" applyBorder="1" applyAlignment="1">
      <alignment horizontal="center" vertical="center"/>
    </xf>
    <xf numFmtId="190" fontId="148" fillId="0" borderId="16" xfId="80" applyNumberFormat="1" applyFont="1" applyBorder="1" applyAlignment="1">
      <alignment horizontal="center" vertical="center"/>
    </xf>
    <xf numFmtId="0" fontId="148" fillId="48" borderId="73" xfId="80" applyFont="1" applyFill="1" applyBorder="1">
      <alignment vertical="center"/>
    </xf>
    <xf numFmtId="0" fontId="148" fillId="0" borderId="10" xfId="80" applyFont="1" applyBorder="1">
      <alignment vertical="center"/>
    </xf>
    <xf numFmtId="0" fontId="148" fillId="0" borderId="18" xfId="80" applyFont="1" applyBorder="1">
      <alignment vertical="center"/>
    </xf>
    <xf numFmtId="6" fontId="150" fillId="0" borderId="51" xfId="82" applyFont="1" applyBorder="1" applyAlignment="1">
      <alignment horizontal="right" vertical="center"/>
    </xf>
    <xf numFmtId="0" fontId="148" fillId="0" borderId="51" xfId="80" applyFont="1" applyBorder="1">
      <alignment vertical="center"/>
    </xf>
    <xf numFmtId="0" fontId="148" fillId="0" borderId="16" xfId="80" applyFont="1" applyBorder="1" applyAlignment="1">
      <alignment vertical="center" shrinkToFit="1"/>
    </xf>
    <xf numFmtId="6" fontId="150" fillId="0" borderId="10" xfId="82" applyFont="1" applyBorder="1">
      <alignment vertical="center"/>
    </xf>
    <xf numFmtId="0" fontId="148" fillId="0" borderId="10" xfId="80" applyFont="1" applyBorder="1" applyAlignment="1">
      <alignment vertical="center" shrinkToFit="1"/>
    </xf>
    <xf numFmtId="6" fontId="148" fillId="0" borderId="10" xfId="80" applyNumberFormat="1" applyFont="1" applyBorder="1">
      <alignment vertical="center"/>
    </xf>
    <xf numFmtId="6" fontId="148" fillId="0" borderId="47" xfId="80" applyNumberFormat="1" applyFont="1" applyBorder="1">
      <alignment vertical="center"/>
    </xf>
    <xf numFmtId="0" fontId="148" fillId="0" borderId="169" xfId="80" applyFont="1" applyBorder="1" applyAlignment="1">
      <alignment vertical="center" shrinkToFit="1"/>
    </xf>
    <xf numFmtId="6" fontId="150" fillId="0" borderId="144" xfId="82" applyFont="1" applyBorder="1">
      <alignment vertical="center"/>
    </xf>
    <xf numFmtId="0" fontId="148" fillId="0" borderId="144" xfId="80" applyFont="1" applyBorder="1" applyAlignment="1">
      <alignment vertical="center" shrinkToFit="1"/>
    </xf>
    <xf numFmtId="6" fontId="150" fillId="0" borderId="168" xfId="82" applyFont="1" applyBorder="1">
      <alignment vertical="center"/>
    </xf>
    <xf numFmtId="0" fontId="153" fillId="0" borderId="0" xfId="80" applyFont="1">
      <alignment vertical="center"/>
    </xf>
    <xf numFmtId="0" fontId="148" fillId="0" borderId="18" xfId="80" applyFont="1" applyBorder="1" applyAlignment="1">
      <alignment vertical="center" shrinkToFit="1"/>
    </xf>
    <xf numFmtId="6" fontId="150" fillId="0" borderId="51" xfId="82" applyFont="1" applyBorder="1">
      <alignment vertical="center"/>
    </xf>
    <xf numFmtId="0" fontId="148" fillId="0" borderId="51" xfId="80" applyFont="1" applyBorder="1" applyAlignment="1">
      <alignment vertical="center" shrinkToFit="1"/>
    </xf>
    <xf numFmtId="6" fontId="148" fillId="0" borderId="51" xfId="80" applyNumberFormat="1" applyFont="1" applyBorder="1">
      <alignment vertical="center"/>
    </xf>
    <xf numFmtId="6" fontId="148" fillId="0" borderId="52" xfId="80" applyNumberFormat="1" applyFont="1" applyBorder="1">
      <alignment vertical="center"/>
    </xf>
    <xf numFmtId="6" fontId="150" fillId="0" borderId="10" xfId="82" applyFont="1" applyBorder="1" applyAlignment="1">
      <alignment horizontal="right" vertical="center"/>
    </xf>
    <xf numFmtId="6" fontId="148" fillId="0" borderId="80" xfId="80" applyNumberFormat="1" applyFont="1" applyBorder="1">
      <alignment vertical="center"/>
    </xf>
    <xf numFmtId="0" fontId="153" fillId="0" borderId="179" xfId="80" applyFont="1" applyBorder="1">
      <alignment vertical="center"/>
    </xf>
    <xf numFmtId="6" fontId="153" fillId="0" borderId="78" xfId="82" applyFont="1" applyBorder="1">
      <alignment vertical="center"/>
    </xf>
    <xf numFmtId="0" fontId="153" fillId="0" borderId="78" xfId="80" applyFont="1" applyBorder="1">
      <alignment vertical="center"/>
    </xf>
    <xf numFmtId="6" fontId="153" fillId="0" borderId="79" xfId="82" applyFont="1" applyBorder="1">
      <alignment vertical="center"/>
    </xf>
    <xf numFmtId="0" fontId="148" fillId="0" borderId="16" xfId="80" applyFont="1" applyBorder="1">
      <alignment vertical="center"/>
    </xf>
    <xf numFmtId="0" fontId="153" fillId="0" borderId="179" xfId="80" applyFont="1" applyBorder="1" applyAlignment="1">
      <alignment vertical="center" shrinkToFit="1"/>
    </xf>
    <xf numFmtId="6" fontId="153" fillId="0" borderId="78" xfId="82" applyFont="1" applyBorder="1" applyAlignment="1">
      <alignment vertical="center" shrinkToFit="1"/>
    </xf>
    <xf numFmtId="0" fontId="153" fillId="0" borderId="78" xfId="80" applyFont="1" applyBorder="1" applyAlignment="1">
      <alignment vertical="center" shrinkToFit="1"/>
    </xf>
    <xf numFmtId="6" fontId="153" fillId="0" borderId="79" xfId="82" applyFont="1" applyBorder="1" applyAlignment="1">
      <alignment vertical="center" shrinkToFit="1"/>
    </xf>
    <xf numFmtId="0" fontId="148" fillId="49" borderId="10" xfId="80" applyFont="1" applyFill="1" applyBorder="1" applyAlignment="1">
      <alignment horizontal="center" vertical="center"/>
    </xf>
    <xf numFmtId="6" fontId="150" fillId="0" borderId="10" xfId="82" applyFont="1" applyBorder="1" applyAlignment="1">
      <alignment horizontal="center" vertical="center"/>
    </xf>
    <xf numFmtId="0" fontId="148" fillId="0" borderId="0" xfId="80" applyFont="1" applyAlignment="1">
      <alignment horizontal="left" vertical="center" shrinkToFit="1"/>
    </xf>
    <xf numFmtId="0" fontId="148" fillId="0" borderId="0" xfId="80" applyFont="1" applyAlignment="1">
      <alignment horizontal="center" vertical="center"/>
    </xf>
    <xf numFmtId="0" fontId="104" fillId="0" borderId="0" xfId="0" applyFont="1" applyAlignment="1">
      <alignment horizontal="center" vertical="center" wrapText="1"/>
    </xf>
    <xf numFmtId="0" fontId="148" fillId="51" borderId="10" xfId="80" applyFont="1" applyFill="1" applyBorder="1" applyAlignment="1">
      <alignment horizontal="center" vertical="center"/>
    </xf>
    <xf numFmtId="0" fontId="148" fillId="0" borderId="100" xfId="80" applyFont="1" applyBorder="1" applyAlignment="1">
      <alignment vertical="center" shrinkToFit="1"/>
    </xf>
    <xf numFmtId="6" fontId="150" fillId="0" borderId="249" xfId="82" applyFont="1" applyBorder="1">
      <alignment vertical="center"/>
    </xf>
    <xf numFmtId="6" fontId="150" fillId="0" borderId="250" xfId="82" applyFont="1" applyBorder="1">
      <alignment vertical="center"/>
    </xf>
    <xf numFmtId="6" fontId="148" fillId="0" borderId="10" xfId="54" applyFont="1" applyBorder="1">
      <alignment vertical="center"/>
    </xf>
    <xf numFmtId="38" fontId="148" fillId="0" borderId="10" xfId="46" applyFont="1" applyBorder="1">
      <alignment vertical="center"/>
    </xf>
    <xf numFmtId="0" fontId="148" fillId="0" borderId="10" xfId="43" applyFont="1" applyBorder="1">
      <alignment vertical="center"/>
    </xf>
    <xf numFmtId="0" fontId="148" fillId="0" borderId="48" xfId="80" applyFont="1" applyBorder="1">
      <alignment vertical="center"/>
    </xf>
    <xf numFmtId="6" fontId="148" fillId="0" borderId="47" xfId="54" applyFont="1" applyBorder="1">
      <alignment vertical="center"/>
    </xf>
    <xf numFmtId="6" fontId="148" fillId="0" borderId="48" xfId="54" applyFont="1" applyBorder="1">
      <alignment vertical="center"/>
    </xf>
    <xf numFmtId="6" fontId="148" fillId="0" borderId="49" xfId="54" applyFont="1" applyBorder="1">
      <alignment vertical="center"/>
    </xf>
    <xf numFmtId="0" fontId="158" fillId="0" borderId="0" xfId="0" applyFont="1" applyAlignment="1">
      <alignment vertical="center"/>
    </xf>
    <xf numFmtId="0" fontId="159" fillId="0" borderId="0" xfId="0" applyFont="1" applyAlignment="1">
      <alignment vertical="center"/>
    </xf>
    <xf numFmtId="0" fontId="158" fillId="0" borderId="0" xfId="0" applyFont="1" applyAlignment="1">
      <alignment vertical="top"/>
    </xf>
    <xf numFmtId="49" fontId="158" fillId="0" borderId="0" xfId="0" applyNumberFormat="1" applyFont="1" applyAlignment="1">
      <alignment vertical="top"/>
    </xf>
    <xf numFmtId="0" fontId="160" fillId="0" borderId="0" xfId="0" applyFont="1" applyAlignment="1">
      <alignment vertical="top"/>
    </xf>
    <xf numFmtId="0" fontId="158" fillId="0" borderId="0" xfId="0" applyFont="1" applyAlignment="1">
      <alignment horizontal="left" vertical="center"/>
    </xf>
    <xf numFmtId="0" fontId="158" fillId="0" borderId="14" xfId="0" applyFont="1" applyBorder="1" applyAlignment="1">
      <alignment vertical="top"/>
    </xf>
    <xf numFmtId="0" fontId="158" fillId="0" borderId="16" xfId="0" applyFont="1" applyBorder="1" applyAlignment="1">
      <alignment vertical="center"/>
    </xf>
    <xf numFmtId="0" fontId="158" fillId="0" borderId="16" xfId="0" applyFont="1" applyBorder="1" applyAlignment="1">
      <alignment vertical="center" wrapText="1"/>
    </xf>
    <xf numFmtId="0" fontId="158" fillId="0" borderId="23" xfId="0" applyFont="1" applyBorder="1" applyAlignment="1">
      <alignment vertical="top"/>
    </xf>
    <xf numFmtId="0" fontId="158" fillId="0" borderId="24" xfId="0" applyFont="1" applyBorder="1" applyAlignment="1">
      <alignment vertical="center"/>
    </xf>
    <xf numFmtId="0" fontId="158" fillId="0" borderId="11" xfId="0" applyFont="1" applyBorder="1" applyAlignment="1">
      <alignment vertical="top"/>
    </xf>
    <xf numFmtId="0" fontId="158" fillId="0" borderId="18" xfId="0" applyFont="1" applyBorder="1" applyAlignment="1">
      <alignment vertical="center"/>
    </xf>
    <xf numFmtId="49" fontId="158" fillId="0" borderId="0" xfId="0" applyNumberFormat="1" applyFont="1" applyAlignment="1">
      <alignment horizontal="left" vertical="center"/>
    </xf>
    <xf numFmtId="0" fontId="158" fillId="0" borderId="14" xfId="0" applyFont="1" applyBorder="1" applyAlignment="1">
      <alignment vertical="center"/>
    </xf>
    <xf numFmtId="0" fontId="158" fillId="0" borderId="23" xfId="0" applyFont="1" applyBorder="1" applyAlignment="1">
      <alignment vertical="center"/>
    </xf>
    <xf numFmtId="0" fontId="158" fillId="0" borderId="15" xfId="0" applyFont="1" applyBorder="1" applyAlignment="1">
      <alignment vertical="center"/>
    </xf>
    <xf numFmtId="0" fontId="161" fillId="0" borderId="15" xfId="0" applyFont="1" applyBorder="1" applyAlignment="1">
      <alignment vertical="center"/>
    </xf>
    <xf numFmtId="0" fontId="161" fillId="0" borderId="16" xfId="0" applyFont="1" applyBorder="1" applyAlignment="1">
      <alignment vertical="center"/>
    </xf>
    <xf numFmtId="0" fontId="158" fillId="0" borderId="0" xfId="0" applyFont="1" applyAlignment="1">
      <alignment vertical="top" wrapText="1"/>
    </xf>
    <xf numFmtId="0" fontId="161" fillId="0" borderId="0" xfId="0" applyFont="1" applyAlignment="1">
      <alignment vertical="top"/>
    </xf>
    <xf numFmtId="0" fontId="163" fillId="0" borderId="0" xfId="0" applyFont="1" applyAlignment="1">
      <alignment vertical="top"/>
    </xf>
    <xf numFmtId="0" fontId="162" fillId="0" borderId="14" xfId="0" applyFont="1" applyBorder="1" applyAlignment="1">
      <alignment vertical="center" shrinkToFit="1"/>
    </xf>
    <xf numFmtId="0" fontId="162" fillId="0" borderId="16" xfId="0" applyFont="1" applyBorder="1" applyAlignment="1">
      <alignment vertical="center" shrinkToFit="1"/>
    </xf>
    <xf numFmtId="0" fontId="158" fillId="0" borderId="0" xfId="0" applyFont="1" applyAlignment="1">
      <alignment horizontal="left" vertical="top"/>
    </xf>
    <xf numFmtId="49" fontId="164" fillId="0" borderId="0" xfId="0" applyNumberFormat="1" applyFont="1" applyAlignment="1">
      <alignment vertical="top"/>
    </xf>
    <xf numFmtId="49" fontId="164" fillId="0" borderId="0" xfId="0" applyNumberFormat="1" applyFont="1" applyAlignment="1">
      <alignment vertical="top" wrapText="1"/>
    </xf>
    <xf numFmtId="49" fontId="158" fillId="0" borderId="0" xfId="0" applyNumberFormat="1" applyFont="1" applyAlignment="1">
      <alignment vertical="top" wrapText="1"/>
    </xf>
    <xf numFmtId="0" fontId="158" fillId="0" borderId="0" xfId="0" applyFont="1" applyAlignment="1">
      <alignment horizontal="left" vertical="top" indent="1"/>
    </xf>
    <xf numFmtId="0" fontId="158" fillId="0" borderId="0" xfId="0" applyFont="1" applyAlignment="1">
      <alignment horizontal="right" vertical="top"/>
    </xf>
    <xf numFmtId="49" fontId="158" fillId="0" borderId="0" xfId="0" applyNumberFormat="1" applyFont="1" applyAlignment="1">
      <alignment horizontal="center" vertical="top"/>
    </xf>
    <xf numFmtId="49" fontId="158" fillId="0" borderId="0" xfId="0" applyNumberFormat="1" applyFont="1" applyAlignment="1">
      <alignment horizontal="left" vertical="top"/>
    </xf>
    <xf numFmtId="49" fontId="158" fillId="0" borderId="0" xfId="0" applyNumberFormat="1" applyFont="1" applyAlignment="1">
      <alignment horizontal="right" vertical="top"/>
    </xf>
    <xf numFmtId="49" fontId="158" fillId="0" borderId="0" xfId="0" applyNumberFormat="1" applyFont="1" applyAlignment="1">
      <alignment vertical="center"/>
    </xf>
    <xf numFmtId="0" fontId="158" fillId="0" borderId="0" xfId="0" applyFont="1" applyAlignment="1">
      <alignment vertical="top" shrinkToFit="1"/>
    </xf>
    <xf numFmtId="0" fontId="160" fillId="0" borderId="0" xfId="0" applyFont="1" applyAlignment="1">
      <alignment vertical="center"/>
    </xf>
    <xf numFmtId="188" fontId="129" fillId="0" borderId="10" xfId="0" applyNumberFormat="1" applyFont="1" applyBorder="1" applyAlignment="1">
      <alignment horizontal="right" vertical="center" shrinkToFit="1"/>
    </xf>
    <xf numFmtId="6" fontId="148" fillId="0" borderId="10" xfId="75" applyNumberFormat="1" applyFont="1" applyBorder="1">
      <alignment vertical="center"/>
    </xf>
    <xf numFmtId="6" fontId="148" fillId="0" borderId="47" xfId="75" applyNumberFormat="1" applyFont="1" applyBorder="1">
      <alignment vertical="center"/>
    </xf>
    <xf numFmtId="0" fontId="109" fillId="0" borderId="0" xfId="0" applyFont="1" applyAlignment="1">
      <alignment horizontal="left" vertical="top" shrinkToFit="1"/>
    </xf>
    <xf numFmtId="0" fontId="80" fillId="0" borderId="0" xfId="0" applyFont="1" applyAlignment="1">
      <alignment horizontal="left" vertical="center"/>
    </xf>
    <xf numFmtId="0" fontId="132" fillId="0" borderId="0" xfId="43" applyFont="1">
      <alignment vertical="center"/>
    </xf>
    <xf numFmtId="0" fontId="167" fillId="0" borderId="0" xfId="80" applyFont="1">
      <alignment vertical="center"/>
    </xf>
    <xf numFmtId="0" fontId="168" fillId="0" borderId="0" xfId="0" applyFont="1" applyAlignment="1">
      <alignment vertical="top"/>
    </xf>
    <xf numFmtId="0" fontId="169" fillId="0" borderId="0" xfId="0" applyFont="1" applyAlignment="1">
      <alignment vertical="top"/>
    </xf>
    <xf numFmtId="0" fontId="169" fillId="0" borderId="0" xfId="43" applyFont="1">
      <alignment vertical="center"/>
    </xf>
    <xf numFmtId="0" fontId="169" fillId="0" borderId="0" xfId="0" applyFont="1" applyAlignment="1">
      <alignment vertical="center"/>
    </xf>
    <xf numFmtId="0" fontId="170" fillId="0" borderId="0" xfId="79" applyFont="1">
      <alignment vertical="center"/>
    </xf>
    <xf numFmtId="0" fontId="171" fillId="0" borderId="0" xfId="80" applyFont="1">
      <alignment vertical="center"/>
    </xf>
    <xf numFmtId="0" fontId="172" fillId="0" borderId="0" xfId="0" applyFont="1" applyAlignment="1">
      <alignment vertical="top"/>
    </xf>
    <xf numFmtId="0" fontId="173" fillId="0" borderId="0" xfId="0" applyFont="1" applyAlignment="1">
      <alignment vertical="top"/>
    </xf>
    <xf numFmtId="0" fontId="170" fillId="0" borderId="0" xfId="0" applyFont="1" applyAlignment="1">
      <alignment vertical="top"/>
    </xf>
    <xf numFmtId="0" fontId="174" fillId="0" borderId="0" xfId="51" applyFont="1" applyAlignment="1">
      <alignment vertical="center"/>
    </xf>
    <xf numFmtId="0" fontId="175" fillId="0" borderId="0" xfId="74" applyFont="1" applyAlignment="1">
      <alignment vertical="center"/>
    </xf>
    <xf numFmtId="0" fontId="176" fillId="0" borderId="0" xfId="75" applyFont="1">
      <alignment vertical="center"/>
    </xf>
    <xf numFmtId="0" fontId="170" fillId="0" borderId="0" xfId="47" applyFont="1">
      <alignment vertical="center"/>
    </xf>
    <xf numFmtId="0" fontId="122" fillId="0" borderId="0" xfId="43" applyFont="1">
      <alignment vertical="center"/>
    </xf>
    <xf numFmtId="0" fontId="122" fillId="0" borderId="14" xfId="43" applyFont="1" applyBorder="1" applyAlignment="1" applyProtection="1">
      <alignment horizontal="right" vertical="center"/>
      <protection locked="0"/>
    </xf>
    <xf numFmtId="0" fontId="122" fillId="0" borderId="16" xfId="43" applyFont="1" applyBorder="1">
      <alignment vertical="center"/>
    </xf>
    <xf numFmtId="0" fontId="126" fillId="0" borderId="0" xfId="43" applyFont="1" applyAlignment="1"/>
    <xf numFmtId="0" fontId="122" fillId="0" borderId="0" xfId="43" applyFont="1" applyAlignment="1"/>
    <xf numFmtId="0" fontId="126" fillId="0" borderId="0" xfId="43" applyFont="1">
      <alignment vertical="center"/>
    </xf>
    <xf numFmtId="0" fontId="125" fillId="0" borderId="0" xfId="43" applyFont="1">
      <alignment vertical="center"/>
    </xf>
    <xf numFmtId="49" fontId="19" fillId="0" borderId="0" xfId="0" applyNumberFormat="1" applyFont="1" applyAlignment="1">
      <alignment vertical="top" wrapText="1"/>
    </xf>
    <xf numFmtId="0" fontId="181" fillId="0" borderId="0" xfId="0" applyFont="1" applyAlignment="1">
      <alignment vertical="top"/>
    </xf>
    <xf numFmtId="0" fontId="0" fillId="0" borderId="0" xfId="0" applyAlignment="1">
      <alignment horizontal="left" vertical="center"/>
    </xf>
    <xf numFmtId="49" fontId="182" fillId="0" borderId="0" xfId="0" applyNumberFormat="1" applyFont="1" applyAlignment="1">
      <alignment vertical="top"/>
    </xf>
    <xf numFmtId="0" fontId="182" fillId="0" borderId="0" xfId="0" applyFont="1" applyAlignment="1">
      <alignment vertical="top"/>
    </xf>
    <xf numFmtId="49" fontId="183" fillId="0" borderId="0" xfId="0" applyNumberFormat="1" applyFont="1" applyAlignment="1">
      <alignment vertical="top" wrapText="1"/>
    </xf>
    <xf numFmtId="0" fontId="182" fillId="0" borderId="0" xfId="0" applyFont="1" applyAlignment="1">
      <alignment vertical="center"/>
    </xf>
    <xf numFmtId="0" fontId="122" fillId="0" borderId="167" xfId="43" applyFont="1" applyBorder="1">
      <alignment vertical="center"/>
    </xf>
    <xf numFmtId="0" fontId="122" fillId="0" borderId="0" xfId="43" applyFont="1" applyAlignment="1">
      <alignment horizontal="right" vertical="center"/>
    </xf>
    <xf numFmtId="0" fontId="125" fillId="0" borderId="0" xfId="43" applyFont="1" applyAlignment="1">
      <alignment horizontal="right" vertical="center"/>
    </xf>
    <xf numFmtId="0" fontId="125" fillId="0" borderId="0" xfId="43" applyFont="1" applyAlignment="1">
      <alignment vertical="center" shrinkToFit="1"/>
    </xf>
    <xf numFmtId="6" fontId="180" fillId="0" borderId="0" xfId="77" applyFont="1">
      <alignment vertical="center"/>
    </xf>
    <xf numFmtId="0" fontId="185" fillId="0" borderId="0" xfId="0" applyFont="1" applyAlignment="1">
      <alignment vertical="center"/>
    </xf>
    <xf numFmtId="0" fontId="148" fillId="51" borderId="10" xfId="75" applyFont="1" applyFill="1" applyBorder="1" applyAlignment="1">
      <alignment vertical="center" shrinkToFit="1"/>
    </xf>
    <xf numFmtId="0" fontId="148" fillId="0" borderId="0" xfId="75" applyFont="1">
      <alignment vertical="center"/>
    </xf>
    <xf numFmtId="0" fontId="0" fillId="0" borderId="0" xfId="0" applyAlignment="1">
      <alignment vertical="center"/>
    </xf>
    <xf numFmtId="1" fontId="186" fillId="0" borderId="0" xfId="0" applyNumberFormat="1" applyFont="1" applyAlignment="1">
      <alignment horizontal="right" vertical="top" shrinkToFit="1"/>
    </xf>
    <xf numFmtId="0" fontId="145" fillId="0" borderId="0" xfId="0" applyFont="1" applyAlignment="1">
      <alignment horizontal="right" vertical="center" wrapText="1"/>
    </xf>
    <xf numFmtId="3" fontId="145" fillId="0" borderId="0" xfId="0" applyNumberFormat="1" applyFont="1" applyAlignment="1">
      <alignment horizontal="right" vertical="center" wrapText="1"/>
    </xf>
    <xf numFmtId="38" fontId="130" fillId="0" borderId="167" xfId="46" applyFont="1" applyBorder="1" applyAlignment="1" applyProtection="1">
      <alignment horizontal="right" vertical="center"/>
    </xf>
    <xf numFmtId="0" fontId="182" fillId="0" borderId="0" xfId="0" applyFont="1" applyAlignment="1">
      <alignment horizontal="right" vertical="top"/>
    </xf>
    <xf numFmtId="0" fontId="187" fillId="0" borderId="0" xfId="0" applyFont="1" applyAlignment="1">
      <alignment vertical="top"/>
    </xf>
    <xf numFmtId="0" fontId="129" fillId="0" borderId="12" xfId="0" applyFont="1" applyBorder="1" applyAlignment="1">
      <alignment vertical="top"/>
    </xf>
    <xf numFmtId="0" fontId="142" fillId="0" borderId="12" xfId="0" applyFont="1" applyBorder="1" applyAlignment="1">
      <alignment vertical="top" wrapText="1"/>
    </xf>
    <xf numFmtId="49" fontId="132" fillId="0" borderId="0" xfId="0" applyNumberFormat="1" applyFont="1" applyAlignment="1">
      <alignment vertical="top" wrapText="1"/>
    </xf>
    <xf numFmtId="0" fontId="148" fillId="0" borderId="0" xfId="80" applyFont="1" applyAlignment="1">
      <alignment horizontal="right" vertical="center" shrinkToFit="1"/>
    </xf>
    <xf numFmtId="0" fontId="148" fillId="0" borderId="0" xfId="80" applyFont="1" applyAlignment="1">
      <alignment horizontal="center" vertical="center" shrinkToFit="1"/>
    </xf>
    <xf numFmtId="0" fontId="148" fillId="0" borderId="0" xfId="80" applyFont="1" applyAlignment="1">
      <alignment vertical="center" shrinkToFit="1"/>
    </xf>
    <xf numFmtId="0" fontId="95" fillId="0" borderId="12" xfId="43" applyFont="1" applyBorder="1">
      <alignment vertical="center"/>
    </xf>
    <xf numFmtId="0" fontId="96" fillId="0" borderId="12" xfId="47" applyFont="1" applyBorder="1" applyAlignment="1">
      <alignment vertical="top" wrapText="1"/>
    </xf>
    <xf numFmtId="0" fontId="83" fillId="0" borderId="12" xfId="0" applyFont="1" applyBorder="1" applyAlignment="1">
      <alignment vertical="top"/>
    </xf>
    <xf numFmtId="49" fontId="83" fillId="0" borderId="12" xfId="0" applyNumberFormat="1" applyFont="1" applyBorder="1" applyAlignment="1">
      <alignment vertical="top" wrapText="1"/>
    </xf>
    <xf numFmtId="49" fontId="96" fillId="0" borderId="12" xfId="0" applyNumberFormat="1" applyFont="1" applyBorder="1" applyAlignment="1">
      <alignment vertical="top" wrapText="1"/>
    </xf>
    <xf numFmtId="0" fontId="81" fillId="0" borderId="255" xfId="47" applyFont="1" applyBorder="1" applyAlignment="1">
      <alignment horizontal="left" vertical="center"/>
    </xf>
    <xf numFmtId="0" fontId="148" fillId="0" borderId="254" xfId="80" applyFont="1" applyBorder="1" applyAlignment="1">
      <alignment vertical="center" shrinkToFit="1"/>
    </xf>
    <xf numFmtId="6" fontId="150" fillId="0" borderId="255" xfId="82" applyFont="1" applyBorder="1">
      <alignment vertical="center"/>
    </xf>
    <xf numFmtId="0" fontId="148" fillId="0" borderId="255" xfId="80" applyFont="1" applyBorder="1" applyAlignment="1">
      <alignment vertical="center" shrinkToFit="1"/>
    </xf>
    <xf numFmtId="6" fontId="148" fillId="0" borderId="255" xfId="80" applyNumberFormat="1" applyFont="1" applyBorder="1">
      <alignment vertical="center"/>
    </xf>
    <xf numFmtId="0" fontId="158" fillId="0" borderId="256" xfId="0" applyFont="1" applyBorder="1" applyAlignment="1">
      <alignment vertical="top"/>
    </xf>
    <xf numFmtId="0" fontId="158" fillId="0" borderId="254" xfId="0" applyFont="1" applyBorder="1" applyAlignment="1">
      <alignment vertical="center"/>
    </xf>
    <xf numFmtId="0" fontId="158" fillId="0" borderId="256" xfId="0" applyFont="1" applyBorder="1" applyAlignment="1">
      <alignment vertical="center"/>
    </xf>
    <xf numFmtId="0" fontId="162" fillId="0" borderId="256" xfId="0" applyFont="1" applyBorder="1" applyAlignment="1">
      <alignment vertical="center" shrinkToFit="1"/>
    </xf>
    <xf numFmtId="0" fontId="162" fillId="0" borderId="254" xfId="0" applyFont="1" applyBorder="1" applyAlignment="1">
      <alignment vertical="center" shrinkToFit="1"/>
    </xf>
    <xf numFmtId="0" fontId="84" fillId="0" borderId="256" xfId="0" applyFont="1" applyBorder="1" applyAlignment="1">
      <alignment vertical="center"/>
    </xf>
    <xf numFmtId="0" fontId="84" fillId="0" borderId="254" xfId="0" applyFont="1" applyBorder="1" applyAlignment="1">
      <alignment vertical="center"/>
    </xf>
    <xf numFmtId="0" fontId="104" fillId="0" borderId="257" xfId="0" applyFont="1" applyBorder="1" applyAlignment="1">
      <alignment vertical="center"/>
    </xf>
    <xf numFmtId="0" fontId="84" fillId="0" borderId="257" xfId="0" applyFont="1" applyBorder="1" applyAlignment="1">
      <alignment vertical="top"/>
    </xf>
    <xf numFmtId="0" fontId="84" fillId="0" borderId="257" xfId="0" applyFont="1" applyBorder="1" applyAlignment="1">
      <alignment vertical="top" wrapText="1"/>
    </xf>
    <xf numFmtId="0" fontId="84" fillId="0" borderId="257" xfId="0" applyFont="1" applyBorder="1" applyAlignment="1">
      <alignment horizontal="right" vertical="center"/>
    </xf>
    <xf numFmtId="0" fontId="84" fillId="0" borderId="257" xfId="0" applyFont="1" applyBorder="1" applyAlignment="1">
      <alignment vertical="center"/>
    </xf>
    <xf numFmtId="0" fontId="18" fillId="0" borderId="257" xfId="44" applyFont="1" applyBorder="1">
      <alignment vertical="center"/>
    </xf>
    <xf numFmtId="0" fontId="148" fillId="0" borderId="0" xfId="80" applyFont="1" applyAlignment="1">
      <alignment horizontal="right" vertical="center"/>
    </xf>
    <xf numFmtId="6" fontId="148" fillId="0" borderId="10" xfId="54" applyFont="1" applyBorder="1" applyAlignment="1">
      <alignment horizontal="right" vertical="center"/>
    </xf>
    <xf numFmtId="6" fontId="148" fillId="0" borderId="0" xfId="80" applyNumberFormat="1" applyFont="1">
      <alignment vertical="center"/>
    </xf>
    <xf numFmtId="49" fontId="182" fillId="0" borderId="0" xfId="0" applyNumberFormat="1" applyFont="1" applyAlignment="1">
      <alignment horizontal="left" vertical="top" wrapText="1"/>
    </xf>
    <xf numFmtId="0" fontId="18" fillId="0" borderId="0" xfId="0" applyFont="1" applyAlignment="1">
      <alignment horizontal="left" vertical="top" wrapText="1"/>
    </xf>
    <xf numFmtId="0" fontId="129" fillId="0" borderId="0" xfId="0" applyFont="1" applyAlignment="1">
      <alignment horizontal="left" vertical="top" shrinkToFit="1"/>
    </xf>
    <xf numFmtId="0" fontId="129" fillId="0" borderId="0" xfId="0" applyFont="1" applyAlignment="1">
      <alignment horizontal="left" vertical="top" wrapText="1"/>
    </xf>
    <xf numFmtId="49" fontId="129" fillId="0" borderId="12" xfId="0" applyNumberFormat="1" applyFont="1" applyBorder="1" applyAlignment="1">
      <alignment horizontal="left" vertical="top" wrapText="1"/>
    </xf>
    <xf numFmtId="49" fontId="128" fillId="0" borderId="0" xfId="0" applyNumberFormat="1" applyFont="1" applyAlignment="1">
      <alignment horizontal="left" vertical="center" wrapText="1"/>
    </xf>
    <xf numFmtId="0" fontId="135" fillId="0" borderId="10" xfId="0" applyFont="1" applyBorder="1" applyAlignment="1">
      <alignment horizontal="center" vertical="center" shrinkToFit="1"/>
    </xf>
    <xf numFmtId="0" fontId="135" fillId="0" borderId="87" xfId="0" applyFont="1" applyBorder="1" applyAlignment="1">
      <alignment horizontal="center" vertical="center" shrinkToFit="1"/>
    </xf>
    <xf numFmtId="0" fontId="135" fillId="0" borderId="88" xfId="0" applyFont="1" applyBorder="1" applyAlignment="1">
      <alignment horizontal="center" vertical="center" shrinkToFit="1"/>
    </xf>
    <xf numFmtId="0" fontId="135" fillId="0" borderId="89" xfId="0" applyFont="1" applyBorder="1" applyAlignment="1">
      <alignment horizontal="center" vertical="center" shrinkToFit="1"/>
    </xf>
    <xf numFmtId="0" fontId="125" fillId="27" borderId="10" xfId="43" applyFont="1" applyFill="1" applyBorder="1" applyAlignment="1">
      <alignment horizontal="center" vertical="center" shrinkToFit="1"/>
    </xf>
    <xf numFmtId="0" fontId="129" fillId="0" borderId="0" xfId="0" applyFont="1" applyAlignment="1">
      <alignment horizontal="center" vertical="top"/>
    </xf>
    <xf numFmtId="49" fontId="129" fillId="0" borderId="0" xfId="0" applyNumberFormat="1" applyFont="1" applyAlignment="1">
      <alignment horizontal="left" vertical="top" wrapText="1"/>
    </xf>
    <xf numFmtId="0" fontId="81" fillId="0" borderId="0" xfId="47" applyFont="1" applyAlignment="1">
      <alignment horizontal="right" vertical="center"/>
    </xf>
    <xf numFmtId="0" fontId="95" fillId="0" borderId="0" xfId="43" applyFont="1" applyAlignment="1">
      <alignment horizontal="left" vertical="center"/>
    </xf>
    <xf numFmtId="0" fontId="95" fillId="0" borderId="0" xfId="43" applyFont="1" applyAlignment="1">
      <alignment horizontal="left" vertical="center" wrapText="1"/>
    </xf>
    <xf numFmtId="0" fontId="107" fillId="0" borderId="0" xfId="79" applyFont="1" applyAlignment="1">
      <alignment horizontal="center" vertical="center"/>
    </xf>
    <xf numFmtId="0" fontId="81" fillId="0" borderId="0" xfId="79" applyFont="1" applyAlignment="1">
      <alignment horizontal="center" vertical="center"/>
    </xf>
    <xf numFmtId="0" fontId="80" fillId="0" borderId="257" xfId="49" applyFont="1" applyBorder="1" applyAlignment="1">
      <alignment horizontal="center" vertical="center"/>
    </xf>
    <xf numFmtId="0" fontId="80" fillId="0" borderId="12" xfId="49" applyFont="1" applyBorder="1" applyAlignment="1">
      <alignment horizontal="center" vertical="center"/>
    </xf>
    <xf numFmtId="0" fontId="80" fillId="0" borderId="0" xfId="49" applyFont="1" applyAlignment="1" applyProtection="1">
      <alignment horizontal="center" vertical="center"/>
      <protection locked="0"/>
    </xf>
    <xf numFmtId="0" fontId="80" fillId="0" borderId="19" xfId="49" applyFont="1" applyBorder="1" applyAlignment="1" applyProtection="1">
      <alignment horizontal="center" vertical="center"/>
      <protection locked="0"/>
    </xf>
    <xf numFmtId="38" fontId="38" fillId="0" borderId="0" xfId="45" applyFont="1" applyFill="1" applyBorder="1" applyAlignment="1">
      <alignment horizontal="left" vertical="center"/>
    </xf>
    <xf numFmtId="38" fontId="67" fillId="0" borderId="0" xfId="46" applyFont="1" applyBorder="1" applyAlignment="1">
      <alignment horizontal="center" vertical="center" shrinkToFit="1"/>
    </xf>
    <xf numFmtId="0" fontId="39" fillId="0" borderId="0" xfId="44" applyFont="1" applyAlignment="1">
      <alignment horizontal="left" vertical="center"/>
    </xf>
    <xf numFmtId="0" fontId="80" fillId="0" borderId="11" xfId="44" applyFont="1" applyBorder="1" applyAlignment="1">
      <alignment horizontal="center" vertical="center" shrinkToFit="1"/>
    </xf>
    <xf numFmtId="0" fontId="80" fillId="0" borderId="12" xfId="44" applyFont="1" applyBorder="1" applyAlignment="1">
      <alignment horizontal="center" vertical="center" shrinkToFit="1"/>
    </xf>
    <xf numFmtId="194" fontId="80" fillId="0" borderId="10" xfId="52" applyNumberFormat="1" applyFont="1" applyBorder="1" applyAlignment="1">
      <alignment horizontal="center" vertical="center" shrinkToFit="1"/>
    </xf>
    <xf numFmtId="0" fontId="88" fillId="0" borderId="0" xfId="52" applyFont="1" applyAlignment="1">
      <alignment horizontal="left" vertical="center" shrinkToFit="1"/>
    </xf>
    <xf numFmtId="194" fontId="80" fillId="0" borderId="14" xfId="52" applyNumberFormat="1" applyFont="1" applyBorder="1" applyAlignment="1">
      <alignment horizontal="center" vertical="center" shrinkToFit="1"/>
    </xf>
    <xf numFmtId="0" fontId="88" fillId="0" borderId="0" xfId="52" applyFont="1" applyAlignment="1">
      <alignment horizontal="center" vertical="center" shrinkToFit="1"/>
    </xf>
    <xf numFmtId="0" fontId="84" fillId="29" borderId="48" xfId="52" applyFont="1" applyFill="1" applyBorder="1" applyAlignment="1">
      <alignment horizontal="center" vertical="center" shrinkToFit="1"/>
    </xf>
    <xf numFmtId="0" fontId="148" fillId="50" borderId="10" xfId="80" applyFont="1" applyFill="1" applyBorder="1" applyAlignment="1">
      <alignment horizontal="center" vertical="center"/>
    </xf>
    <xf numFmtId="0" fontId="148" fillId="0" borderId="10" xfId="80" applyFont="1" applyBorder="1" applyAlignment="1">
      <alignment horizontal="center" vertical="center"/>
    </xf>
    <xf numFmtId="0" fontId="148" fillId="49" borderId="10" xfId="80" applyFont="1" applyFill="1" applyBorder="1" applyAlignment="1">
      <alignment horizontal="center" vertical="center" shrinkToFit="1"/>
    </xf>
    <xf numFmtId="0" fontId="150" fillId="49" borderId="10" xfId="80" applyFont="1" applyFill="1" applyBorder="1" applyAlignment="1">
      <alignment horizontal="center" vertical="center" shrinkToFit="1"/>
    </xf>
    <xf numFmtId="0" fontId="149" fillId="48" borderId="15" xfId="80" applyFont="1" applyFill="1" applyBorder="1" applyAlignment="1">
      <alignment horizontal="center" vertical="center"/>
    </xf>
    <xf numFmtId="0" fontId="149" fillId="48" borderId="16" xfId="80" applyFont="1" applyFill="1" applyBorder="1" applyAlignment="1">
      <alignment horizontal="center" vertical="center"/>
    </xf>
    <xf numFmtId="0" fontId="148" fillId="50" borderId="10" xfId="80" applyFont="1" applyFill="1" applyBorder="1" applyAlignment="1">
      <alignment horizontal="center" vertical="center" shrinkToFit="1"/>
    </xf>
    <xf numFmtId="0" fontId="84" fillId="0" borderId="0" xfId="0" applyFont="1" applyAlignment="1">
      <alignment horizontal="left" vertical="center" wrapText="1"/>
    </xf>
    <xf numFmtId="49" fontId="83" fillId="0" borderId="0" xfId="0" applyNumberFormat="1" applyFont="1" applyAlignment="1">
      <alignment horizontal="right" vertical="top" wrapText="1"/>
    </xf>
    <xf numFmtId="0" fontId="83" fillId="0" borderId="0" xfId="0" applyFont="1" applyAlignment="1">
      <alignment horizontal="left" vertical="top"/>
    </xf>
    <xf numFmtId="0" fontId="83" fillId="0" borderId="0" xfId="0" applyFont="1" applyAlignment="1">
      <alignment horizontal="left" vertical="top" wrapText="1"/>
    </xf>
    <xf numFmtId="49" fontId="83" fillId="0" borderId="0" xfId="0" applyNumberFormat="1" applyFont="1" applyAlignment="1">
      <alignment horizontal="left" vertical="top" wrapText="1"/>
    </xf>
    <xf numFmtId="0" fontId="83" fillId="0" borderId="0" xfId="0" applyFont="1" applyAlignment="1">
      <alignment horizontal="center" vertical="top"/>
    </xf>
    <xf numFmtId="49" fontId="84" fillId="0" borderId="0" xfId="0" applyNumberFormat="1" applyFont="1" applyAlignment="1">
      <alignment horizontal="left" vertical="top" wrapText="1"/>
    </xf>
    <xf numFmtId="0" fontId="80" fillId="0" borderId="0" xfId="0" applyFont="1" applyAlignment="1">
      <alignment horizontal="left" vertical="top" shrinkToFit="1"/>
    </xf>
    <xf numFmtId="0" fontId="13" fillId="34" borderId="10" xfId="75" applyFont="1" applyFill="1" applyBorder="1" applyAlignment="1">
      <alignment horizontal="center" vertical="center"/>
    </xf>
    <xf numFmtId="0" fontId="18" fillId="0" borderId="90" xfId="44" applyFont="1" applyBorder="1" applyAlignment="1" applyProtection="1">
      <alignment horizontal="center" vertical="center"/>
      <protection locked="0"/>
    </xf>
    <xf numFmtId="0" fontId="18" fillId="0" borderId="88" xfId="44" applyFont="1" applyBorder="1" applyAlignment="1" applyProtection="1">
      <alignment horizontal="center" vertical="center"/>
      <protection locked="0"/>
    </xf>
    <xf numFmtId="0" fontId="18" fillId="35" borderId="10" xfId="44" applyFont="1" applyFill="1" applyBorder="1" applyAlignment="1">
      <alignment horizontal="center" vertical="center"/>
    </xf>
    <xf numFmtId="0" fontId="18" fillId="35" borderId="14" xfId="44" applyFont="1" applyFill="1" applyBorder="1" applyAlignment="1">
      <alignment horizontal="center" vertical="center"/>
    </xf>
    <xf numFmtId="0" fontId="18" fillId="35" borderId="16" xfId="44" applyFont="1" applyFill="1" applyBorder="1" applyAlignment="1">
      <alignment horizontal="center" vertical="center"/>
    </xf>
    <xf numFmtId="0" fontId="18" fillId="0" borderId="87" xfId="44" applyFont="1" applyBorder="1" applyAlignment="1" applyProtection="1">
      <alignment horizontal="center" vertical="center"/>
      <protection locked="0"/>
    </xf>
    <xf numFmtId="0" fontId="18" fillId="0" borderId="89" xfId="44" applyFont="1" applyBorder="1" applyAlignment="1" applyProtection="1">
      <alignment horizontal="center" vertical="center"/>
      <protection locked="0"/>
    </xf>
    <xf numFmtId="0" fontId="18" fillId="0" borderId="53" xfId="44" applyFont="1" applyBorder="1" applyAlignment="1" applyProtection="1">
      <alignment horizontal="center" vertical="center"/>
      <protection locked="0"/>
    </xf>
    <xf numFmtId="0" fontId="18" fillId="0" borderId="15" xfId="44" applyFont="1" applyBorder="1" applyAlignment="1" applyProtection="1">
      <alignment horizontal="center" vertical="center" shrinkToFit="1"/>
      <protection locked="0"/>
    </xf>
    <xf numFmtId="0" fontId="18" fillId="0" borderId="16" xfId="44" applyFont="1" applyBorder="1" applyAlignment="1" applyProtection="1">
      <alignment horizontal="center" vertical="center" shrinkToFit="1"/>
      <protection locked="0"/>
    </xf>
    <xf numFmtId="0" fontId="18" fillId="35" borderId="142" xfId="44" applyFont="1" applyFill="1" applyBorder="1" applyAlignment="1">
      <alignment horizontal="center" vertical="center"/>
    </xf>
    <xf numFmtId="49" fontId="134" fillId="0" borderId="0" xfId="0" applyNumberFormat="1" applyFont="1" applyAlignment="1">
      <alignment horizontal="left" vertical="center" wrapText="1"/>
    </xf>
    <xf numFmtId="0" fontId="135" fillId="0" borderId="257" xfId="0" applyFont="1" applyBorder="1" applyAlignment="1">
      <alignment horizontal="center" vertical="center" shrinkToFit="1"/>
    </xf>
    <xf numFmtId="0" fontId="129" fillId="0" borderId="255" xfId="0" applyFont="1" applyBorder="1" applyAlignment="1">
      <alignment horizontal="center" vertical="center" shrinkToFit="1"/>
    </xf>
    <xf numFmtId="0" fontId="161" fillId="0" borderId="0" xfId="0" applyFont="1" applyAlignment="1">
      <alignment horizontal="left" vertical="top" wrapText="1"/>
    </xf>
    <xf numFmtId="182" fontId="135" fillId="0" borderId="259" xfId="0" applyNumberFormat="1" applyFont="1" applyBorder="1" applyAlignment="1">
      <alignment horizontal="right" vertical="center" shrinkToFit="1"/>
    </xf>
    <xf numFmtId="0" fontId="191" fillId="0" borderId="0" xfId="0" applyFont="1" applyAlignment="1">
      <alignment vertical="center"/>
    </xf>
    <xf numFmtId="0" fontId="191" fillId="0" borderId="0" xfId="0" applyFont="1" applyAlignment="1">
      <alignment vertical="center" shrinkToFit="1"/>
    </xf>
    <xf numFmtId="0" fontId="191" fillId="33" borderId="0" xfId="0" applyFont="1" applyFill="1" applyAlignment="1">
      <alignment vertical="center"/>
    </xf>
    <xf numFmtId="0" fontId="193" fillId="33" borderId="0" xfId="0" applyFont="1" applyFill="1" applyAlignment="1">
      <alignment horizontal="left" vertical="center" wrapText="1"/>
    </xf>
    <xf numFmtId="0" fontId="191" fillId="33" borderId="0" xfId="0" applyFont="1" applyFill="1" applyAlignment="1">
      <alignment vertical="center" shrinkToFit="1"/>
    </xf>
    <xf numFmtId="0" fontId="191" fillId="0" borderId="61" xfId="0" applyFont="1" applyBorder="1" applyAlignment="1" applyProtection="1">
      <alignment horizontal="center" vertical="center"/>
      <protection locked="0"/>
    </xf>
    <xf numFmtId="0" fontId="191" fillId="0" borderId="179" xfId="0" applyFont="1" applyBorder="1" applyAlignment="1" applyProtection="1">
      <alignment horizontal="right" vertical="center"/>
      <protection locked="0"/>
    </xf>
    <xf numFmtId="0" fontId="191" fillId="39" borderId="78" xfId="0" applyFont="1" applyFill="1" applyBorder="1" applyAlignment="1">
      <alignment horizontal="left" vertical="center"/>
    </xf>
    <xf numFmtId="177" fontId="191" fillId="0" borderId="78" xfId="0" applyNumberFormat="1" applyFont="1" applyBorder="1" applyAlignment="1" applyProtection="1">
      <alignment vertical="center"/>
      <protection locked="0"/>
    </xf>
    <xf numFmtId="0" fontId="191" fillId="39" borderId="79" xfId="0" applyFont="1" applyFill="1" applyBorder="1" applyAlignment="1">
      <alignment vertical="center"/>
    </xf>
    <xf numFmtId="0" fontId="192" fillId="0" borderId="0" xfId="0" applyFont="1" applyAlignment="1">
      <alignment vertical="center"/>
    </xf>
    <xf numFmtId="0" fontId="191" fillId="0" borderId="10" xfId="0" applyFont="1" applyBorder="1" applyAlignment="1">
      <alignment vertical="center" shrinkToFit="1"/>
    </xf>
    <xf numFmtId="49" fontId="191" fillId="0" borderId="0" xfId="0" applyNumberFormat="1" applyFont="1" applyAlignment="1">
      <alignment vertical="center"/>
    </xf>
    <xf numFmtId="0" fontId="191" fillId="33" borderId="29" xfId="0" applyFont="1" applyFill="1" applyBorder="1" applyAlignment="1">
      <alignment vertical="center"/>
    </xf>
    <xf numFmtId="0" fontId="191" fillId="33" borderId="30" xfId="0" applyFont="1" applyFill="1" applyBorder="1" applyAlignment="1">
      <alignment vertical="center"/>
    </xf>
    <xf numFmtId="0" fontId="191" fillId="0" borderId="16" xfId="0" applyFont="1" applyBorder="1" applyAlignment="1" applyProtection="1">
      <alignment vertical="center"/>
      <protection locked="0"/>
    </xf>
    <xf numFmtId="0" fontId="191" fillId="33" borderId="10" xfId="0" applyFont="1" applyFill="1" applyBorder="1" applyAlignment="1" applyProtection="1">
      <alignment horizontal="center" vertical="center"/>
      <protection locked="0"/>
    </xf>
    <xf numFmtId="0" fontId="191" fillId="0" borderId="10" xfId="0" applyFont="1" applyBorder="1" applyAlignment="1" applyProtection="1">
      <alignment vertical="center"/>
      <protection locked="0"/>
    </xf>
    <xf numFmtId="0" fontId="191" fillId="0" borderId="51" xfId="0" applyFont="1" applyBorder="1" applyAlignment="1" applyProtection="1">
      <alignment vertical="center"/>
      <protection locked="0"/>
    </xf>
    <xf numFmtId="0" fontId="191" fillId="0" borderId="42" xfId="0" applyFont="1" applyBorder="1" applyAlignment="1" applyProtection="1">
      <alignment vertical="center"/>
      <protection locked="0"/>
    </xf>
    <xf numFmtId="0" fontId="191" fillId="0" borderId="79" xfId="0" applyFont="1" applyBorder="1" applyAlignment="1" applyProtection="1">
      <alignment vertical="center"/>
      <protection locked="0"/>
    </xf>
    <xf numFmtId="0" fontId="191" fillId="0" borderId="25" xfId="0" applyFont="1" applyBorder="1" applyAlignment="1" applyProtection="1">
      <alignment horizontal="center" vertical="center"/>
      <protection locked="0"/>
    </xf>
    <xf numFmtId="0" fontId="191" fillId="0" borderId="16" xfId="0" applyFont="1" applyBorder="1" applyAlignment="1" applyProtection="1">
      <alignment horizontal="right" vertical="center"/>
      <protection locked="0"/>
    </xf>
    <xf numFmtId="0" fontId="191" fillId="31" borderId="10" xfId="0" applyFont="1" applyFill="1" applyBorder="1" applyAlignment="1">
      <alignment horizontal="left" vertical="center"/>
    </xf>
    <xf numFmtId="177" fontId="191" fillId="0" borderId="42" xfId="0" applyNumberFormat="1" applyFont="1" applyBorder="1" applyAlignment="1" applyProtection="1">
      <alignment horizontal="right" vertical="center"/>
      <protection locked="0"/>
    </xf>
    <xf numFmtId="0" fontId="191" fillId="31" borderId="42" xfId="0" applyFont="1" applyFill="1" applyBorder="1" applyAlignment="1">
      <alignment horizontal="left" vertical="center"/>
    </xf>
    <xf numFmtId="0" fontId="191" fillId="31" borderId="47" xfId="0" applyFont="1" applyFill="1" applyBorder="1" applyAlignment="1">
      <alignment vertical="center"/>
    </xf>
    <xf numFmtId="0" fontId="191" fillId="33" borderId="61" xfId="0" applyFont="1" applyFill="1" applyBorder="1" applyAlignment="1">
      <alignment vertical="center"/>
    </xf>
    <xf numFmtId="0" fontId="191" fillId="33" borderId="68" xfId="0" applyFont="1" applyFill="1" applyBorder="1" applyAlignment="1">
      <alignment vertical="center"/>
    </xf>
    <xf numFmtId="0" fontId="191" fillId="33" borderId="48" xfId="0" applyFont="1" applyFill="1" applyBorder="1" applyAlignment="1" applyProtection="1">
      <alignment horizontal="center" vertical="center"/>
      <protection locked="0"/>
    </xf>
    <xf numFmtId="0" fontId="191" fillId="33" borderId="255" xfId="0" applyFont="1" applyFill="1" applyBorder="1" applyAlignment="1" applyProtection="1">
      <alignment horizontal="center" vertical="center"/>
      <protection locked="0"/>
    </xf>
    <xf numFmtId="49" fontId="191" fillId="0" borderId="180" xfId="0" applyNumberFormat="1" applyFont="1" applyBorder="1" applyAlignment="1" applyProtection="1">
      <alignment horizontal="right" vertical="center" shrinkToFit="1"/>
      <protection locked="0"/>
    </xf>
    <xf numFmtId="0" fontId="191" fillId="33" borderId="66" xfId="0" applyFont="1" applyFill="1" applyBorder="1" applyAlignment="1" applyProtection="1">
      <alignment horizontal="center" vertical="center"/>
      <protection locked="0"/>
    </xf>
    <xf numFmtId="49" fontId="191" fillId="0" borderId="58" xfId="0" applyNumberFormat="1" applyFont="1" applyBorder="1" applyAlignment="1" applyProtection="1">
      <alignment horizontal="right" vertical="center" shrinkToFit="1"/>
      <protection locked="0"/>
    </xf>
    <xf numFmtId="0" fontId="191" fillId="31" borderId="179" xfId="0" applyFont="1" applyFill="1" applyBorder="1" applyAlignment="1">
      <alignment horizontal="center" vertical="center"/>
    </xf>
    <xf numFmtId="0" fontId="191" fillId="32" borderId="0" xfId="0" applyFont="1" applyFill="1" applyAlignment="1">
      <alignment vertical="center" shrinkToFit="1"/>
    </xf>
    <xf numFmtId="0" fontId="191" fillId="32" borderId="0" xfId="0" applyFont="1" applyFill="1" applyAlignment="1">
      <alignment vertical="center"/>
    </xf>
    <xf numFmtId="0" fontId="191" fillId="0" borderId="15" xfId="0" applyFont="1" applyBorder="1" applyAlignment="1" applyProtection="1">
      <alignment horizontal="right" vertical="center" shrinkToFit="1"/>
      <protection locked="0"/>
    </xf>
    <xf numFmtId="0" fontId="191" fillId="33" borderId="47" xfId="0" applyFont="1" applyFill="1" applyBorder="1" applyAlignment="1">
      <alignment horizontal="left" vertical="center" shrinkToFit="1"/>
    </xf>
    <xf numFmtId="0" fontId="191" fillId="0" borderId="50" xfId="0" applyFont="1" applyBorder="1" applyAlignment="1" applyProtection="1">
      <alignment horizontal="right" vertical="center" shrinkToFit="1"/>
      <protection locked="0"/>
    </xf>
    <xf numFmtId="0" fontId="191" fillId="33" borderId="52" xfId="0" applyFont="1" applyFill="1" applyBorder="1" applyAlignment="1">
      <alignment horizontal="left" vertical="center" shrinkToFit="1"/>
    </xf>
    <xf numFmtId="0" fontId="191" fillId="33" borderId="0" xfId="0" applyFont="1" applyFill="1" applyAlignment="1">
      <alignment horizontal="center" vertical="center" shrinkToFit="1"/>
    </xf>
    <xf numFmtId="0" fontId="194" fillId="32" borderId="50" xfId="0" applyFont="1" applyFill="1" applyBorder="1" applyAlignment="1">
      <alignment vertical="center" shrinkToFit="1"/>
    </xf>
    <xf numFmtId="0" fontId="194" fillId="32" borderId="48" xfId="0" applyFont="1" applyFill="1" applyBorder="1" applyAlignment="1">
      <alignment vertical="center" shrinkToFit="1"/>
    </xf>
    <xf numFmtId="0" fontId="194" fillId="32" borderId="49" xfId="0" applyFont="1" applyFill="1" applyBorder="1" applyAlignment="1">
      <alignment vertical="center" shrinkToFit="1"/>
    </xf>
    <xf numFmtId="1" fontId="195" fillId="33" borderId="46" xfId="0" applyNumberFormat="1" applyFont="1" applyFill="1" applyBorder="1" applyAlignment="1">
      <alignment horizontal="center" vertical="center" shrinkToFit="1"/>
    </xf>
    <xf numFmtId="1" fontId="195" fillId="33" borderId="10" xfId="0" applyNumberFormat="1" applyFont="1" applyFill="1" applyBorder="1" applyAlignment="1">
      <alignment horizontal="center" vertical="center" shrinkToFit="1"/>
    </xf>
    <xf numFmtId="1" fontId="195" fillId="33" borderId="47" xfId="0" applyNumberFormat="1" applyFont="1" applyFill="1" applyBorder="1" applyAlignment="1">
      <alignment horizontal="center" vertical="center" shrinkToFit="1"/>
    </xf>
    <xf numFmtId="0" fontId="191" fillId="32" borderId="10" xfId="0" applyFont="1" applyFill="1" applyBorder="1" applyAlignment="1">
      <alignment vertical="center" shrinkToFit="1"/>
    </xf>
    <xf numFmtId="0" fontId="191" fillId="32" borderId="14" xfId="0" applyFont="1" applyFill="1" applyBorder="1" applyAlignment="1">
      <alignment vertical="center"/>
    </xf>
    <xf numFmtId="38" fontId="194" fillId="32" borderId="46" xfId="46" applyFont="1" applyFill="1" applyBorder="1" applyAlignment="1">
      <alignment horizontal="center" vertical="center" wrapText="1"/>
    </xf>
    <xf numFmtId="38" fontId="194" fillId="32" borderId="10" xfId="46" applyFont="1" applyFill="1" applyBorder="1" applyAlignment="1">
      <alignment horizontal="center" vertical="center" wrapText="1"/>
    </xf>
    <xf numFmtId="38" fontId="194" fillId="32" borderId="47" xfId="46" applyFont="1" applyFill="1" applyBorder="1" applyAlignment="1">
      <alignment horizontal="center" vertical="center" wrapText="1"/>
    </xf>
    <xf numFmtId="38" fontId="194" fillId="32" borderId="41" xfId="46" applyFont="1" applyFill="1" applyBorder="1" applyAlignment="1">
      <alignment horizontal="center" vertical="center" wrapText="1"/>
    </xf>
    <xf numFmtId="38" fontId="194" fillId="32" borderId="42" xfId="46" applyFont="1" applyFill="1" applyBorder="1" applyAlignment="1">
      <alignment horizontal="center" vertical="center" wrapText="1"/>
    </xf>
    <xf numFmtId="38" fontId="194" fillId="32" borderId="43" xfId="46" applyFont="1" applyFill="1" applyBorder="1" applyAlignment="1">
      <alignment horizontal="center" vertical="center" wrapText="1"/>
    </xf>
    <xf numFmtId="0" fontId="191" fillId="54" borderId="10" xfId="0" applyFont="1" applyFill="1" applyBorder="1" applyAlignment="1">
      <alignment horizontal="left" vertical="center"/>
    </xf>
    <xf numFmtId="177" fontId="191" fillId="0" borderId="10" xfId="0" applyNumberFormat="1" applyFont="1" applyBorder="1" applyAlignment="1" applyProtection="1">
      <alignment horizontal="right" vertical="center"/>
      <protection locked="0"/>
    </xf>
    <xf numFmtId="0" fontId="191" fillId="54" borderId="10" xfId="0" applyFont="1" applyFill="1" applyBorder="1" applyAlignment="1">
      <alignment vertical="center"/>
    </xf>
    <xf numFmtId="0" fontId="194" fillId="0" borderId="0" xfId="0" applyFont="1" applyAlignment="1">
      <alignment vertical="center" shrinkToFit="1"/>
    </xf>
    <xf numFmtId="0" fontId="191" fillId="27" borderId="18" xfId="0" applyFont="1" applyFill="1" applyBorder="1" applyAlignment="1">
      <alignment vertical="center" shrinkToFit="1"/>
    </xf>
    <xf numFmtId="0" fontId="191" fillId="27" borderId="16" xfId="0" applyFont="1" applyFill="1" applyBorder="1" applyAlignment="1">
      <alignment vertical="center" shrinkToFit="1"/>
    </xf>
    <xf numFmtId="198" fontId="194" fillId="0" borderId="239" xfId="46" applyNumberFormat="1" applyFont="1" applyBorder="1" applyAlignment="1">
      <alignment horizontal="center" vertical="center" wrapText="1"/>
    </xf>
    <xf numFmtId="0" fontId="194" fillId="0" borderId="0" xfId="0" applyFont="1" applyAlignment="1">
      <alignment horizontal="center" vertical="center" wrapText="1"/>
    </xf>
    <xf numFmtId="0" fontId="191" fillId="33" borderId="15" xfId="0" applyFont="1" applyFill="1" applyBorder="1" applyAlignment="1">
      <alignment horizontal="right" vertical="center" shrinkToFit="1"/>
    </xf>
    <xf numFmtId="198" fontId="194" fillId="0" borderId="75" xfId="46" applyNumberFormat="1" applyFont="1" applyBorder="1" applyAlignment="1">
      <alignment horizontal="center" vertical="center" wrapText="1"/>
    </xf>
    <xf numFmtId="198" fontId="194" fillId="0" borderId="52" xfId="46" applyNumberFormat="1" applyFont="1" applyBorder="1" applyAlignment="1">
      <alignment horizontal="center" vertical="center" wrapText="1"/>
    </xf>
    <xf numFmtId="198" fontId="194" fillId="0" borderId="0" xfId="46" applyNumberFormat="1" applyFont="1" applyBorder="1" applyAlignment="1">
      <alignment horizontal="center" vertical="center" wrapText="1"/>
    </xf>
    <xf numFmtId="0" fontId="191" fillId="33" borderId="257" xfId="0" applyFont="1" applyFill="1" applyBorder="1" applyAlignment="1">
      <alignment horizontal="right" vertical="center" shrinkToFit="1"/>
    </xf>
    <xf numFmtId="0" fontId="194" fillId="33" borderId="0" xfId="0" applyFont="1" applyFill="1" applyAlignment="1">
      <alignment horizontal="left" vertical="center"/>
    </xf>
    <xf numFmtId="0" fontId="191" fillId="33" borderId="0" xfId="0" applyFont="1" applyFill="1" applyAlignment="1">
      <alignment horizontal="left" vertical="center"/>
    </xf>
    <xf numFmtId="198" fontId="194" fillId="0" borderId="243" xfId="46" applyNumberFormat="1" applyFont="1" applyBorder="1" applyAlignment="1">
      <alignment horizontal="center" vertical="center" wrapText="1"/>
    </xf>
    <xf numFmtId="198" fontId="194" fillId="0" borderId="244" xfId="46" applyNumberFormat="1" applyFont="1" applyBorder="1" applyAlignment="1">
      <alignment horizontal="center" vertical="center" wrapText="1"/>
    </xf>
    <xf numFmtId="198" fontId="194" fillId="0" borderId="58" xfId="46" applyNumberFormat="1" applyFont="1" applyBorder="1" applyAlignment="1">
      <alignment horizontal="center" vertical="center" wrapText="1"/>
    </xf>
    <xf numFmtId="0" fontId="191" fillId="28" borderId="256" xfId="0" applyFont="1" applyFill="1" applyBorder="1" applyAlignment="1">
      <alignment vertical="center" shrinkToFit="1"/>
    </xf>
    <xf numFmtId="0" fontId="191" fillId="0" borderId="245" xfId="0" applyFont="1" applyBorder="1" applyAlignment="1" applyProtection="1">
      <alignment vertical="center" shrinkToFit="1"/>
      <protection locked="0"/>
    </xf>
    <xf numFmtId="0" fontId="191" fillId="28" borderId="254" xfId="0" applyFont="1" applyFill="1" applyBorder="1" applyAlignment="1">
      <alignment vertical="center" shrinkToFit="1"/>
    </xf>
    <xf numFmtId="178" fontId="191" fillId="30" borderId="255" xfId="0" applyNumberFormat="1" applyFont="1" applyFill="1" applyBorder="1" applyAlignment="1">
      <alignment vertical="center" shrinkToFit="1"/>
    </xf>
    <xf numFmtId="0" fontId="191" fillId="0" borderId="0" xfId="0" applyFont="1" applyAlignment="1">
      <alignment horizontal="right" vertical="center" shrinkToFit="1"/>
    </xf>
    <xf numFmtId="0" fontId="194" fillId="28" borderId="10" xfId="0" applyFont="1" applyFill="1" applyBorder="1" applyAlignment="1">
      <alignment vertical="center" shrinkToFit="1"/>
    </xf>
    <xf numFmtId="0" fontId="191" fillId="30" borderId="10" xfId="0" applyFont="1" applyFill="1" applyBorder="1" applyAlignment="1">
      <alignment horizontal="right" vertical="center" shrinkToFit="1"/>
    </xf>
    <xf numFmtId="0" fontId="197" fillId="0" borderId="10" xfId="0" applyFont="1" applyBorder="1" applyAlignment="1">
      <alignment vertical="center" shrinkToFit="1"/>
    </xf>
    <xf numFmtId="0" fontId="194" fillId="32" borderId="10" xfId="0" applyFont="1" applyFill="1" applyBorder="1" applyAlignment="1">
      <alignment vertical="center" shrinkToFit="1"/>
    </xf>
    <xf numFmtId="0" fontId="197" fillId="32" borderId="10" xfId="0" applyFont="1" applyFill="1" applyBorder="1" applyAlignment="1">
      <alignment vertical="center" shrinkToFit="1"/>
    </xf>
    <xf numFmtId="179" fontId="191" fillId="30" borderId="10" xfId="0" applyNumberFormat="1" applyFont="1" applyFill="1" applyBorder="1" applyAlignment="1">
      <alignment horizontal="right" vertical="center" shrinkToFit="1"/>
    </xf>
    <xf numFmtId="186" fontId="191" fillId="32" borderId="10" xfId="0" applyNumberFormat="1" applyFont="1" applyFill="1" applyBorder="1" applyAlignment="1">
      <alignment vertical="center" shrinkToFit="1"/>
    </xf>
    <xf numFmtId="0" fontId="191" fillId="32" borderId="10" xfId="0" applyFont="1" applyFill="1" applyBorder="1" applyAlignment="1">
      <alignment vertical="center"/>
    </xf>
    <xf numFmtId="38" fontId="191" fillId="32" borderId="10" xfId="46" applyFont="1" applyFill="1" applyBorder="1" applyAlignment="1">
      <alignment vertical="center" shrinkToFit="1"/>
    </xf>
    <xf numFmtId="38" fontId="197" fillId="32" borderId="10" xfId="46" applyFont="1" applyFill="1" applyBorder="1" applyAlignment="1">
      <alignment vertical="center" shrinkToFit="1"/>
    </xf>
    <xf numFmtId="0" fontId="191" fillId="28" borderId="10" xfId="0" applyFont="1" applyFill="1" applyBorder="1" applyAlignment="1">
      <alignment vertical="center" shrinkToFit="1"/>
    </xf>
    <xf numFmtId="0" fontId="191" fillId="28" borderId="10" xfId="0" applyFont="1" applyFill="1" applyBorder="1" applyAlignment="1">
      <alignment vertical="center"/>
    </xf>
    <xf numFmtId="0" fontId="191" fillId="0" borderId="10" xfId="0" applyFont="1" applyBorder="1" applyAlignment="1">
      <alignment vertical="center"/>
    </xf>
    <xf numFmtId="0" fontId="194" fillId="0" borderId="10" xfId="0" applyFont="1" applyBorder="1" applyAlignment="1">
      <alignment vertical="center" shrinkToFit="1"/>
    </xf>
    <xf numFmtId="0" fontId="191" fillId="0" borderId="16" xfId="0" applyFont="1" applyBorder="1" applyAlignment="1">
      <alignment vertical="center" shrinkToFit="1"/>
    </xf>
    <xf numFmtId="0" fontId="191" fillId="0" borderId="14" xfId="0" applyFont="1" applyBorder="1" applyAlignment="1">
      <alignment vertical="center"/>
    </xf>
    <xf numFmtId="198" fontId="194" fillId="0" borderId="10" xfId="46" applyNumberFormat="1" applyFont="1" applyBorder="1" applyAlignment="1">
      <alignment horizontal="right" vertical="center" wrapText="1"/>
    </xf>
    <xf numFmtId="38" fontId="197" fillId="0" borderId="10" xfId="46" applyFont="1" applyBorder="1" applyAlignment="1">
      <alignment horizontal="right" vertical="center" shrinkToFit="1"/>
    </xf>
    <xf numFmtId="38" fontId="191" fillId="0" borderId="10" xfId="46" applyFont="1" applyBorder="1" applyAlignment="1">
      <alignment horizontal="right" vertical="center" shrinkToFit="1"/>
    </xf>
    <xf numFmtId="0" fontId="191" fillId="0" borderId="54" xfId="0" applyFont="1" applyBorder="1" applyAlignment="1">
      <alignment horizontal="left" vertical="center" shrinkToFit="1"/>
    </xf>
    <xf numFmtId="0" fontId="191" fillId="0" borderId="0" xfId="0" applyFont="1" applyAlignment="1">
      <alignment horizontal="left" vertical="center" shrinkToFit="1"/>
    </xf>
    <xf numFmtId="0" fontId="191" fillId="0" borderId="10" xfId="0" applyFont="1" applyBorder="1" applyAlignment="1">
      <alignment vertical="center" wrapText="1" shrinkToFit="1"/>
    </xf>
    <xf numFmtId="0" fontId="191" fillId="0" borderId="51" xfId="0" applyFont="1" applyBorder="1" applyAlignment="1">
      <alignment vertical="center"/>
    </xf>
    <xf numFmtId="0" fontId="13" fillId="0" borderId="10" xfId="44" applyBorder="1" applyAlignment="1">
      <alignment vertical="center" shrinkToFit="1"/>
    </xf>
    <xf numFmtId="49" fontId="191" fillId="0" borderId="10" xfId="0" applyNumberFormat="1" applyFont="1" applyBorder="1" applyAlignment="1">
      <alignment vertical="center"/>
    </xf>
    <xf numFmtId="0" fontId="194" fillId="0" borderId="0" xfId="0" applyFont="1" applyAlignment="1">
      <alignment horizontal="center" vertical="center" shrinkToFit="1"/>
    </xf>
    <xf numFmtId="49" fontId="191" fillId="33" borderId="0" xfId="0" applyNumberFormat="1" applyFont="1" applyFill="1" applyAlignment="1">
      <alignment vertical="center"/>
    </xf>
    <xf numFmtId="0" fontId="191" fillId="33" borderId="0" xfId="0" applyFont="1" applyFill="1" applyAlignment="1">
      <alignment horizontal="center" vertical="center"/>
    </xf>
    <xf numFmtId="0" fontId="191" fillId="30" borderId="14" xfId="0" applyFont="1" applyFill="1" applyBorder="1" applyAlignment="1">
      <alignment vertical="center"/>
    </xf>
    <xf numFmtId="49" fontId="191" fillId="0" borderId="93" xfId="0" applyNumberFormat="1" applyFont="1" applyBorder="1" applyAlignment="1" applyProtection="1">
      <alignment horizontal="right" vertical="center" shrinkToFit="1"/>
      <protection locked="0"/>
    </xf>
    <xf numFmtId="0" fontId="191" fillId="33" borderId="78" xfId="0" applyFont="1" applyFill="1" applyBorder="1" applyAlignment="1">
      <alignment horizontal="center" vertical="center"/>
    </xf>
    <xf numFmtId="49" fontId="191" fillId="0" borderId="86" xfId="0" applyNumberFormat="1" applyFont="1" applyBorder="1" applyAlignment="1" applyProtection="1">
      <alignment horizontal="right" vertical="center" shrinkToFit="1"/>
      <protection locked="0"/>
    </xf>
    <xf numFmtId="0" fontId="191" fillId="30" borderId="10" xfId="0" applyFont="1" applyFill="1" applyBorder="1" applyAlignment="1">
      <alignment vertical="center"/>
    </xf>
    <xf numFmtId="0" fontId="194" fillId="28" borderId="255" xfId="0" applyFont="1" applyFill="1" applyBorder="1" applyAlignment="1">
      <alignment horizontal="left" vertical="center" shrinkToFit="1"/>
    </xf>
    <xf numFmtId="0" fontId="194" fillId="0" borderId="81" xfId="0" applyFont="1" applyBorder="1" applyAlignment="1" applyProtection="1">
      <alignment horizontal="right" vertical="center" shrinkToFit="1"/>
      <protection locked="0"/>
    </xf>
    <xf numFmtId="0" fontId="194" fillId="0" borderId="82" xfId="0" applyFont="1" applyBorder="1" applyAlignment="1" applyProtection="1">
      <alignment horizontal="right" vertical="center" shrinkToFit="1"/>
      <protection locked="0"/>
    </xf>
    <xf numFmtId="0" fontId="194" fillId="0" borderId="83" xfId="0" applyFont="1" applyBorder="1" applyAlignment="1" applyProtection="1">
      <alignment horizontal="right" vertical="center" shrinkToFit="1"/>
      <protection locked="0"/>
    </xf>
    <xf numFmtId="49" fontId="194" fillId="28" borderId="10" xfId="56" applyNumberFormat="1" applyFont="1" applyFill="1" applyBorder="1" applyAlignment="1">
      <alignment horizontal="center" vertical="center"/>
    </xf>
    <xf numFmtId="0" fontId="191" fillId="0" borderId="78" xfId="0" applyFont="1" applyBorder="1" applyAlignment="1" applyProtection="1">
      <alignment vertical="center"/>
      <protection locked="0"/>
    </xf>
    <xf numFmtId="0" fontId="191" fillId="30" borderId="78" xfId="0" applyFont="1" applyFill="1" applyBorder="1" applyAlignment="1">
      <alignment horizontal="left" vertical="center"/>
    </xf>
    <xf numFmtId="177" fontId="191" fillId="0" borderId="78" xfId="0" applyNumberFormat="1" applyFont="1" applyBorder="1" applyAlignment="1">
      <alignment horizontal="right" vertical="center"/>
    </xf>
    <xf numFmtId="0" fontId="191" fillId="30" borderId="79" xfId="0" applyFont="1" applyFill="1" applyBorder="1" applyAlignment="1">
      <alignment vertical="center"/>
    </xf>
    <xf numFmtId="0" fontId="191" fillId="33" borderId="257" xfId="0" applyFont="1" applyFill="1" applyBorder="1" applyAlignment="1">
      <alignment horizontal="left" vertical="center"/>
    </xf>
    <xf numFmtId="0" fontId="191" fillId="33" borderId="257" xfId="0" applyFont="1" applyFill="1" applyBorder="1" applyAlignment="1">
      <alignment horizontal="center" vertical="center" shrinkToFit="1"/>
    </xf>
    <xf numFmtId="177" fontId="191" fillId="33" borderId="0" xfId="0" applyNumberFormat="1" applyFont="1" applyFill="1" applyAlignment="1">
      <alignment horizontal="left" vertical="center"/>
    </xf>
    <xf numFmtId="0" fontId="191" fillId="30" borderId="10" xfId="0" applyFont="1" applyFill="1" applyBorder="1" applyAlignment="1">
      <alignment horizontal="left" vertical="center"/>
    </xf>
    <xf numFmtId="0" fontId="191" fillId="41" borderId="50" xfId="0" applyFont="1" applyFill="1" applyBorder="1" applyAlignment="1">
      <alignment horizontal="center" vertical="center"/>
    </xf>
    <xf numFmtId="0" fontId="135" fillId="0" borderId="255" xfId="0" applyFont="1" applyBorder="1" applyAlignment="1">
      <alignment horizontal="center" vertical="center" shrinkToFit="1"/>
    </xf>
    <xf numFmtId="182" fontId="135" fillId="0" borderId="255" xfId="0" applyNumberFormat="1" applyFont="1" applyBorder="1" applyAlignment="1">
      <alignment horizontal="right" vertical="center" shrinkToFit="1"/>
    </xf>
    <xf numFmtId="198" fontId="135" fillId="0" borderId="178" xfId="46" applyNumberFormat="1" applyFont="1" applyFill="1" applyBorder="1" applyAlignment="1">
      <alignment horizontal="right" vertical="center" shrinkToFit="1"/>
    </xf>
    <xf numFmtId="0" fontId="194" fillId="0" borderId="48" xfId="0" applyFont="1" applyBorder="1" applyAlignment="1">
      <alignment vertical="center" shrinkToFit="1"/>
    </xf>
    <xf numFmtId="0" fontId="194" fillId="0" borderId="10" xfId="0" applyFont="1" applyBorder="1" applyAlignment="1">
      <alignment horizontal="center" vertical="center" wrapText="1"/>
    </xf>
    <xf numFmtId="0" fontId="194" fillId="0" borderId="33" xfId="0" applyFont="1" applyBorder="1" applyAlignment="1">
      <alignment vertical="center" shrinkToFit="1"/>
    </xf>
    <xf numFmtId="0" fontId="194" fillId="0" borderId="14" xfId="0" applyFont="1" applyBorder="1" applyAlignment="1">
      <alignment horizontal="center" vertical="center" wrapText="1"/>
    </xf>
    <xf numFmtId="198" fontId="194" fillId="0" borderId="11" xfId="46" applyNumberFormat="1" applyFont="1" applyBorder="1" applyAlignment="1">
      <alignment horizontal="center" vertical="center" wrapText="1"/>
    </xf>
    <xf numFmtId="198" fontId="194" fillId="0" borderId="57" xfId="46" applyNumberFormat="1" applyFont="1" applyBorder="1" applyAlignment="1">
      <alignment horizontal="center" vertical="center" wrapText="1"/>
    </xf>
    <xf numFmtId="0" fontId="194" fillId="0" borderId="50" xfId="0" applyFont="1" applyBorder="1" applyAlignment="1">
      <alignment vertical="center" shrinkToFit="1"/>
    </xf>
    <xf numFmtId="0" fontId="194" fillId="0" borderId="49" xfId="0" applyFont="1" applyBorder="1" applyAlignment="1">
      <alignment vertical="center" shrinkToFit="1"/>
    </xf>
    <xf numFmtId="198" fontId="194" fillId="0" borderId="63" xfId="46" applyNumberFormat="1" applyFont="1" applyBorder="1" applyAlignment="1">
      <alignment horizontal="center" vertical="center" wrapText="1"/>
    </xf>
    <xf numFmtId="0" fontId="194" fillId="0" borderId="47" xfId="0" applyFont="1" applyBorder="1" applyAlignment="1">
      <alignment horizontal="center" vertical="center" wrapText="1"/>
    </xf>
    <xf numFmtId="0" fontId="194" fillId="0" borderId="67" xfId="0" applyFont="1" applyBorder="1" applyAlignment="1">
      <alignment vertical="center" shrinkToFit="1"/>
    </xf>
    <xf numFmtId="198" fontId="194" fillId="0" borderId="18" xfId="46" applyNumberFormat="1" applyFont="1" applyBorder="1" applyAlignment="1">
      <alignment horizontal="center" vertical="center" wrapText="1"/>
    </xf>
    <xf numFmtId="198" fontId="194" fillId="0" borderId="157" xfId="46" applyNumberFormat="1" applyFont="1" applyBorder="1" applyAlignment="1">
      <alignment horizontal="center" vertical="center" wrapText="1"/>
    </xf>
    <xf numFmtId="198" fontId="194" fillId="0" borderId="260" xfId="46" applyNumberFormat="1" applyFont="1" applyBorder="1" applyAlignment="1">
      <alignment horizontal="center" vertical="center" wrapText="1"/>
    </xf>
    <xf numFmtId="0" fontId="191" fillId="0" borderId="30" xfId="0" applyFont="1" applyBorder="1" applyAlignment="1">
      <alignment vertical="center"/>
    </xf>
    <xf numFmtId="0" fontId="194" fillId="32" borderId="34" xfId="0" applyFont="1" applyFill="1" applyBorder="1" applyAlignment="1">
      <alignment vertical="center" shrinkToFit="1"/>
    </xf>
    <xf numFmtId="3" fontId="194" fillId="32" borderId="17" xfId="0" applyNumberFormat="1" applyFont="1" applyFill="1" applyBorder="1" applyAlignment="1">
      <alignment horizontal="center" vertical="center" wrapText="1"/>
    </xf>
    <xf numFmtId="0" fontId="194" fillId="32" borderId="10" xfId="0" applyFont="1" applyFill="1" applyBorder="1" applyAlignment="1">
      <alignment horizontal="center" vertical="center" wrapText="1"/>
    </xf>
    <xf numFmtId="3" fontId="194" fillId="32" borderId="10" xfId="0" applyNumberFormat="1" applyFont="1" applyFill="1" applyBorder="1" applyAlignment="1">
      <alignment horizontal="center" vertical="center" wrapText="1"/>
    </xf>
    <xf numFmtId="0" fontId="194" fillId="32" borderId="33" xfId="0" applyFont="1" applyFill="1" applyBorder="1" applyAlignment="1">
      <alignment vertical="center" shrinkToFit="1"/>
    </xf>
    <xf numFmtId="0" fontId="194" fillId="32" borderId="14" xfId="0" applyFont="1" applyFill="1" applyBorder="1" applyAlignment="1">
      <alignment horizontal="center" vertical="center" wrapText="1"/>
    </xf>
    <xf numFmtId="38" fontId="194" fillId="32" borderId="14" xfId="46" applyFont="1" applyFill="1" applyBorder="1" applyAlignment="1">
      <alignment horizontal="center" vertical="center" wrapText="1"/>
    </xf>
    <xf numFmtId="38" fontId="194" fillId="32" borderId="32" xfId="46" applyFont="1" applyFill="1" applyBorder="1" applyAlignment="1">
      <alignment horizontal="center" vertical="center" wrapText="1"/>
    </xf>
    <xf numFmtId="0" fontId="194" fillId="32" borderId="46" xfId="0" applyFont="1" applyFill="1" applyBorder="1" applyAlignment="1">
      <alignment horizontal="center" vertical="center" wrapText="1"/>
    </xf>
    <xf numFmtId="3" fontId="194" fillId="32" borderId="14" xfId="0" applyNumberFormat="1" applyFont="1" applyFill="1" applyBorder="1" applyAlignment="1">
      <alignment horizontal="center" vertical="center" wrapText="1"/>
    </xf>
    <xf numFmtId="0" fontId="194" fillId="32" borderId="67" xfId="0" applyFont="1" applyFill="1" applyBorder="1" applyAlignment="1">
      <alignment vertical="center" shrinkToFit="1"/>
    </xf>
    <xf numFmtId="0" fontId="194" fillId="32" borderId="16" xfId="0" applyFont="1" applyFill="1" applyBorder="1" applyAlignment="1">
      <alignment horizontal="center" vertical="center" wrapText="1"/>
    </xf>
    <xf numFmtId="38" fontId="194" fillId="32" borderId="16" xfId="46" applyFont="1" applyFill="1" applyBorder="1" applyAlignment="1">
      <alignment horizontal="center" vertical="center" wrapText="1"/>
    </xf>
    <xf numFmtId="38" fontId="194" fillId="32" borderId="31" xfId="46" applyFont="1" applyFill="1" applyBorder="1" applyAlignment="1">
      <alignment horizontal="center" vertical="center" wrapText="1"/>
    </xf>
    <xf numFmtId="3" fontId="194" fillId="32" borderId="47" xfId="0" applyNumberFormat="1" applyFont="1" applyFill="1" applyBorder="1" applyAlignment="1">
      <alignment horizontal="center" vertical="center" wrapText="1"/>
    </xf>
    <xf numFmtId="0" fontId="194" fillId="32" borderId="47" xfId="0" applyFont="1" applyFill="1" applyBorder="1" applyAlignment="1">
      <alignment horizontal="center" vertical="center" wrapText="1"/>
    </xf>
    <xf numFmtId="0" fontId="194" fillId="32" borderId="22" xfId="0" applyFont="1" applyFill="1" applyBorder="1" applyAlignment="1">
      <alignment vertical="center" shrinkToFit="1"/>
    </xf>
    <xf numFmtId="0" fontId="194" fillId="32" borderId="15" xfId="0" applyFont="1" applyFill="1" applyBorder="1" applyAlignment="1">
      <alignment horizontal="center" vertical="center" wrapText="1"/>
    </xf>
    <xf numFmtId="38" fontId="194" fillId="32" borderId="15" xfId="46" applyFont="1" applyFill="1" applyBorder="1" applyAlignment="1">
      <alignment horizontal="center" vertical="center" wrapText="1"/>
    </xf>
    <xf numFmtId="38" fontId="194" fillId="32" borderId="20" xfId="46" applyFont="1" applyFill="1" applyBorder="1" applyAlignment="1">
      <alignment horizontal="center" vertical="center" wrapText="1"/>
    </xf>
    <xf numFmtId="0" fontId="129" fillId="0" borderId="12" xfId="0" applyFont="1" applyBorder="1" applyAlignment="1">
      <alignment vertical="center" shrinkToFit="1"/>
    </xf>
    <xf numFmtId="182" fontId="135" fillId="0" borderId="257" xfId="0" applyNumberFormat="1" applyFont="1" applyBorder="1" applyAlignment="1">
      <alignment horizontal="right" vertical="center" shrinkToFit="1"/>
    </xf>
    <xf numFmtId="198" fontId="135" fillId="0" borderId="257" xfId="46" applyNumberFormat="1" applyFont="1" applyFill="1" applyBorder="1" applyAlignment="1">
      <alignment horizontal="right" vertical="center" shrinkToFit="1"/>
    </xf>
    <xf numFmtId="198" fontId="135" fillId="0" borderId="257" xfId="0" applyNumberFormat="1" applyFont="1" applyBorder="1" applyAlignment="1">
      <alignment horizontal="right" vertical="center" shrinkToFit="1"/>
    </xf>
    <xf numFmtId="49" fontId="129" fillId="0" borderId="12" xfId="0" applyNumberFormat="1" applyFont="1" applyBorder="1" applyAlignment="1">
      <alignment vertical="center" shrinkToFit="1"/>
    </xf>
    <xf numFmtId="199" fontId="135" fillId="0" borderId="39" xfId="46" applyNumberFormat="1" applyFont="1" applyFill="1" applyBorder="1" applyAlignment="1">
      <alignment horizontal="right" vertical="center" shrinkToFit="1"/>
    </xf>
    <xf numFmtId="199" fontId="135" fillId="0" borderId="165" xfId="0" applyNumberFormat="1" applyFont="1" applyBorder="1" applyAlignment="1">
      <alignment horizontal="right" vertical="center" shrinkToFit="1"/>
    </xf>
    <xf numFmtId="199" fontId="135" fillId="0" borderId="166" xfId="0" applyNumberFormat="1" applyFont="1" applyBorder="1" applyAlignment="1">
      <alignment horizontal="right" vertical="center" shrinkToFit="1"/>
    </xf>
    <xf numFmtId="6" fontId="122" fillId="0" borderId="0" xfId="77" applyFont="1" applyFill="1" applyBorder="1" applyAlignment="1" applyProtection="1">
      <alignment vertical="center"/>
    </xf>
    <xf numFmtId="1" fontId="130" fillId="0" borderId="10" xfId="43" applyNumberFormat="1" applyFont="1" applyBorder="1">
      <alignment vertical="center"/>
    </xf>
    <xf numFmtId="0" fontId="149" fillId="48" borderId="14" xfId="80" applyFont="1" applyFill="1" applyBorder="1" applyAlignment="1">
      <alignment horizontal="left" vertical="center"/>
    </xf>
    <xf numFmtId="49" fontId="161" fillId="0" borderId="0" xfId="0" applyNumberFormat="1" applyFont="1" applyAlignment="1">
      <alignment vertical="top"/>
    </xf>
    <xf numFmtId="49" fontId="199" fillId="0" borderId="0" xfId="0" applyNumberFormat="1" applyFont="1" applyAlignment="1">
      <alignment horizontal="right" vertical="top" wrapText="1"/>
    </xf>
    <xf numFmtId="49" fontId="199" fillId="0" borderId="0" xfId="0" applyNumberFormat="1" applyFont="1" applyAlignment="1">
      <alignment horizontal="left" vertical="top"/>
    </xf>
    <xf numFmtId="0" fontId="158" fillId="0" borderId="0" xfId="0" applyFont="1" applyAlignment="1">
      <alignment horizontal="center" vertical="center"/>
    </xf>
    <xf numFmtId="198" fontId="135" fillId="0" borderId="261" xfId="0" applyNumberFormat="1" applyFont="1" applyBorder="1" applyAlignment="1">
      <alignment horizontal="right" vertical="center" shrinkToFit="1"/>
    </xf>
    <xf numFmtId="198" fontId="135" fillId="0" borderId="262" xfId="0" applyNumberFormat="1" applyFont="1" applyBorder="1" applyAlignment="1">
      <alignment horizontal="right" vertical="center" shrinkToFit="1"/>
    </xf>
    <xf numFmtId="0" fontId="129" fillId="0" borderId="259" xfId="0" applyFont="1" applyBorder="1" applyAlignment="1">
      <alignment horizontal="center" vertical="center" shrinkToFit="1"/>
    </xf>
    <xf numFmtId="0" fontId="135" fillId="0" borderId="51" xfId="0" applyFont="1" applyBorder="1" applyAlignment="1">
      <alignment horizontal="center" vertical="center" shrinkToFit="1"/>
    </xf>
    <xf numFmtId="198" fontId="135" fillId="0" borderId="75" xfId="0" applyNumberFormat="1" applyFont="1" applyBorder="1" applyAlignment="1">
      <alignment horizontal="right" vertical="center" shrinkToFit="1"/>
    </xf>
    <xf numFmtId="198" fontId="135" fillId="0" borderId="76" xfId="0" applyNumberFormat="1" applyFont="1" applyBorder="1" applyAlignment="1">
      <alignment horizontal="right" vertical="center" shrinkToFit="1"/>
    </xf>
    <xf numFmtId="198" fontId="135" fillId="0" borderId="77" xfId="0" applyNumberFormat="1" applyFont="1" applyBorder="1" applyAlignment="1">
      <alignment horizontal="right" vertical="center" shrinkToFit="1"/>
    </xf>
    <xf numFmtId="0" fontId="129" fillId="0" borderId="88" xfId="0" applyFont="1" applyBorder="1" applyAlignment="1">
      <alignment horizontal="center" vertical="center" shrinkToFit="1"/>
    </xf>
    <xf numFmtId="0" fontId="182" fillId="0" borderId="0" xfId="0" applyFont="1" applyAlignment="1">
      <alignment horizontal="left" vertical="top" wrapText="1"/>
    </xf>
    <xf numFmtId="0" fontId="200" fillId="0" borderId="0" xfId="0" applyFont="1" applyAlignment="1">
      <alignment horizontal="left" vertical="center"/>
    </xf>
    <xf numFmtId="0" fontId="200" fillId="0" borderId="0" xfId="0" applyFont="1" applyAlignment="1">
      <alignment horizontal="center" vertical="center"/>
    </xf>
    <xf numFmtId="0" fontId="201" fillId="0" borderId="0" xfId="0" applyFont="1" applyAlignment="1">
      <alignment vertical="top"/>
    </xf>
    <xf numFmtId="49" fontId="189" fillId="0" borderId="0" xfId="0" applyNumberFormat="1" applyFont="1" applyAlignment="1">
      <alignment vertical="top"/>
    </xf>
    <xf numFmtId="0" fontId="182" fillId="0" borderId="0" xfId="0" applyFont="1" applyAlignment="1">
      <alignment vertical="top" wrapText="1"/>
    </xf>
    <xf numFmtId="0" fontId="189" fillId="0" borderId="0" xfId="0" applyFont="1" applyAlignment="1">
      <alignment horizontal="right" vertical="top" wrapText="1"/>
    </xf>
    <xf numFmtId="0" fontId="189" fillId="0" borderId="0" xfId="0" applyFont="1" applyAlignment="1">
      <alignment horizontal="left" vertical="top"/>
    </xf>
    <xf numFmtId="0" fontId="189" fillId="0" borderId="0" xfId="0" applyFont="1" applyAlignment="1">
      <alignment horizontal="left" vertical="top" wrapText="1"/>
    </xf>
    <xf numFmtId="0" fontId="189" fillId="0" borderId="0" xfId="0" applyFont="1" applyAlignment="1">
      <alignment horizontal="right" vertical="top"/>
    </xf>
    <xf numFmtId="49" fontId="189" fillId="0" borderId="0" xfId="0" applyNumberFormat="1" applyFont="1" applyAlignment="1">
      <alignment horizontal="left" vertical="top"/>
    </xf>
    <xf numFmtId="49" fontId="189" fillId="0" borderId="0" xfId="0" applyNumberFormat="1" applyFont="1" applyAlignment="1">
      <alignment horizontal="right" vertical="top" wrapText="1"/>
    </xf>
    <xf numFmtId="0" fontId="200" fillId="0" borderId="0" xfId="0" applyFont="1" applyAlignment="1">
      <alignment vertical="center"/>
    </xf>
    <xf numFmtId="0" fontId="203" fillId="0" borderId="0" xfId="0" applyFont="1" applyAlignment="1">
      <alignment vertical="top"/>
    </xf>
    <xf numFmtId="0" fontId="182" fillId="0" borderId="0" xfId="0" applyFont="1" applyAlignment="1">
      <alignment horizontal="center" vertical="top"/>
    </xf>
    <xf numFmtId="0" fontId="189" fillId="0" borderId="0" xfId="0" applyFont="1" applyAlignment="1">
      <alignment vertical="top" wrapText="1"/>
    </xf>
    <xf numFmtId="49" fontId="189" fillId="0" borderId="0" xfId="0" applyNumberFormat="1" applyFont="1" applyAlignment="1">
      <alignment horizontal="left" vertical="top" wrapText="1"/>
    </xf>
    <xf numFmtId="49" fontId="182" fillId="0" borderId="0" xfId="0" applyNumberFormat="1" applyFont="1" applyAlignment="1">
      <alignment horizontal="right" vertical="top"/>
    </xf>
    <xf numFmtId="0" fontId="182" fillId="0" borderId="14" xfId="0" applyFont="1" applyBorder="1" applyAlignment="1">
      <alignment vertical="top"/>
    </xf>
    <xf numFmtId="0" fontId="182" fillId="0" borderId="16" xfId="0" applyFont="1" applyBorder="1" applyAlignment="1">
      <alignment vertical="top"/>
    </xf>
    <xf numFmtId="0" fontId="182" fillId="0" borderId="16" xfId="0" applyFont="1" applyBorder="1" applyAlignment="1">
      <alignment vertical="top" wrapText="1"/>
    </xf>
    <xf numFmtId="0" fontId="182" fillId="0" borderId="256" xfId="0" applyFont="1" applyBorder="1" applyAlignment="1">
      <alignment vertical="top"/>
    </xf>
    <xf numFmtId="0" fontId="182" fillId="0" borderId="254" xfId="0" applyFont="1" applyBorder="1" applyAlignment="1">
      <alignment vertical="top"/>
    </xf>
    <xf numFmtId="0" fontId="182" fillId="0" borderId="23" xfId="0" applyFont="1" applyBorder="1" applyAlignment="1">
      <alignment vertical="top"/>
    </xf>
    <xf numFmtId="0" fontId="182" fillId="0" borderId="24" xfId="0" applyFont="1" applyBorder="1" applyAlignment="1">
      <alignment vertical="top"/>
    </xf>
    <xf numFmtId="0" fontId="182" fillId="0" borderId="11" xfId="0" applyFont="1" applyBorder="1" applyAlignment="1">
      <alignment vertical="top"/>
    </xf>
    <xf numFmtId="0" fontId="182" fillId="0" borderId="18" xfId="0" applyFont="1" applyBorder="1" applyAlignment="1">
      <alignment vertical="top"/>
    </xf>
    <xf numFmtId="0" fontId="188" fillId="0" borderId="257" xfId="0" applyFont="1" applyBorder="1" applyAlignment="1">
      <alignment vertical="center"/>
    </xf>
    <xf numFmtId="0" fontId="182" fillId="0" borderId="257" xfId="0" applyFont="1" applyBorder="1" applyAlignment="1">
      <alignment vertical="top"/>
    </xf>
    <xf numFmtId="0" fontId="182" fillId="0" borderId="257" xfId="0" applyFont="1" applyBorder="1" applyAlignment="1">
      <alignment vertical="top" wrapText="1"/>
    </xf>
    <xf numFmtId="0" fontId="188" fillId="0" borderId="0" xfId="0" applyFont="1" applyAlignment="1">
      <alignment vertical="center"/>
    </xf>
    <xf numFmtId="0" fontId="188" fillId="0" borderId="0" xfId="0" applyFont="1" applyAlignment="1">
      <alignment vertical="center" shrinkToFit="1"/>
    </xf>
    <xf numFmtId="0" fontId="188" fillId="0" borderId="12" xfId="0" applyFont="1" applyBorder="1" applyAlignment="1">
      <alignment vertical="center" shrinkToFit="1"/>
    </xf>
    <xf numFmtId="0" fontId="182" fillId="0" borderId="12" xfId="0" applyFont="1" applyBorder="1" applyAlignment="1">
      <alignment vertical="top" shrinkToFit="1"/>
    </xf>
    <xf numFmtId="49" fontId="182" fillId="0" borderId="0" xfId="0" applyNumberFormat="1" applyFont="1" applyAlignment="1">
      <alignment vertical="top" wrapText="1"/>
    </xf>
    <xf numFmtId="0" fontId="188" fillId="0" borderId="0" xfId="0" applyFont="1" applyAlignment="1">
      <alignment horizontal="center" vertical="center" wrapText="1"/>
    </xf>
    <xf numFmtId="0" fontId="188" fillId="0" borderId="0" xfId="0" applyFont="1" applyAlignment="1">
      <alignment horizontal="distributed" vertical="center" wrapText="1"/>
    </xf>
    <xf numFmtId="0" fontId="182" fillId="0" borderId="0" xfId="0" applyFont="1" applyAlignment="1">
      <alignment horizontal="left" vertical="top"/>
    </xf>
    <xf numFmtId="0" fontId="182" fillId="0" borderId="0" xfId="0" applyFont="1" applyAlignment="1">
      <alignment horizontal="center" vertical="center"/>
    </xf>
    <xf numFmtId="0" fontId="182" fillId="0" borderId="0" xfId="0" applyFont="1" applyAlignment="1">
      <alignment horizontal="center" vertical="center" wrapText="1"/>
    </xf>
    <xf numFmtId="49" fontId="182" fillId="0" borderId="0" xfId="0" applyNumberFormat="1" applyFont="1" applyAlignment="1">
      <alignment horizontal="right" vertical="top" wrapText="1"/>
    </xf>
    <xf numFmtId="0" fontId="182" fillId="0" borderId="0" xfId="0" applyFont="1" applyAlignment="1">
      <alignment vertical="top" shrinkToFit="1"/>
    </xf>
    <xf numFmtId="0" fontId="182" fillId="0" borderId="0" xfId="0" applyFont="1" applyAlignment="1">
      <alignment horizontal="left" vertical="top" indent="1"/>
    </xf>
    <xf numFmtId="49" fontId="182" fillId="0" borderId="0" xfId="0" applyNumberFormat="1" applyFont="1" applyAlignment="1">
      <alignment horizontal="left" vertical="top"/>
    </xf>
    <xf numFmtId="49" fontId="200" fillId="0" borderId="0" xfId="0" applyNumberFormat="1" applyFont="1" applyAlignment="1">
      <alignment vertical="center"/>
    </xf>
    <xf numFmtId="49" fontId="182" fillId="37" borderId="0" xfId="0" applyNumberFormat="1" applyFont="1" applyFill="1" applyAlignment="1">
      <alignment vertical="top"/>
    </xf>
    <xf numFmtId="49" fontId="182" fillId="0" borderId="0" xfId="0" quotePrefix="1" applyNumberFormat="1" applyFont="1" applyAlignment="1">
      <alignment vertical="top"/>
    </xf>
    <xf numFmtId="0" fontId="190" fillId="0" borderId="0" xfId="0" applyFont="1" applyAlignment="1">
      <alignment horizontal="left" vertical="center"/>
    </xf>
    <xf numFmtId="0" fontId="190" fillId="0" borderId="0" xfId="0" applyFont="1" applyAlignment="1">
      <alignment horizontal="center" vertical="center"/>
    </xf>
    <xf numFmtId="0" fontId="204" fillId="0" borderId="0" xfId="0" applyFont="1" applyAlignment="1">
      <alignment vertical="top"/>
    </xf>
    <xf numFmtId="0" fontId="199" fillId="0" borderId="0" xfId="0" applyFont="1" applyAlignment="1">
      <alignment horizontal="left" vertical="top"/>
    </xf>
    <xf numFmtId="0" fontId="199" fillId="0" borderId="0" xfId="0" applyFont="1" applyAlignment="1">
      <alignment horizontal="right" vertical="top"/>
    </xf>
    <xf numFmtId="0" fontId="80" fillId="0" borderId="0" xfId="0" applyFont="1" applyAlignment="1">
      <alignment horizontal="center" vertical="center"/>
    </xf>
    <xf numFmtId="49" fontId="81" fillId="0" borderId="0" xfId="0" applyNumberFormat="1" applyFont="1" applyAlignment="1">
      <alignment vertical="top"/>
    </xf>
    <xf numFmtId="0" fontId="81" fillId="0" borderId="0" xfId="0" applyFont="1" applyAlignment="1">
      <alignment horizontal="right" vertical="top" wrapText="1"/>
    </xf>
    <xf numFmtId="0" fontId="81" fillId="0" borderId="0" xfId="0" applyFont="1" applyAlignment="1">
      <alignment horizontal="right" vertical="top"/>
    </xf>
    <xf numFmtId="49" fontId="81" fillId="0" borderId="0" xfId="0" applyNumberFormat="1" applyFont="1" applyAlignment="1">
      <alignment horizontal="left" vertical="top"/>
    </xf>
    <xf numFmtId="0" fontId="182" fillId="0" borderId="0" xfId="0" applyFont="1" applyAlignment="1">
      <alignment horizontal="left" vertical="center" wrapText="1"/>
    </xf>
    <xf numFmtId="0" fontId="200" fillId="0" borderId="0" xfId="0" applyFont="1" applyAlignment="1">
      <alignment horizontal="left" vertical="top" wrapText="1"/>
    </xf>
    <xf numFmtId="0" fontId="199" fillId="0" borderId="0" xfId="0" applyFont="1" applyAlignment="1">
      <alignment horizontal="left" vertical="top" wrapText="1"/>
    </xf>
    <xf numFmtId="0" fontId="158" fillId="0" borderId="0" xfId="0" applyFont="1" applyAlignment="1">
      <alignment horizontal="left" vertical="top" wrapText="1"/>
    </xf>
    <xf numFmtId="49" fontId="158" fillId="0" borderId="0" xfId="0" applyNumberFormat="1" applyFont="1" applyAlignment="1">
      <alignment horizontal="left" vertical="top" wrapText="1"/>
    </xf>
    <xf numFmtId="0" fontId="81" fillId="0" borderId="0" xfId="0" applyFont="1" applyAlignment="1">
      <alignment horizontal="left" vertical="top" wrapText="1"/>
    </xf>
    <xf numFmtId="0" fontId="81" fillId="0" borderId="0" xfId="0" applyFont="1" applyAlignment="1">
      <alignment horizontal="left" vertical="top"/>
    </xf>
    <xf numFmtId="0" fontId="194" fillId="28" borderId="10" xfId="0" applyFont="1" applyFill="1" applyBorder="1" applyAlignment="1">
      <alignment horizontal="left" vertical="center" shrinkToFit="1"/>
    </xf>
    <xf numFmtId="0" fontId="191" fillId="0" borderId="16" xfId="0" applyFont="1" applyBorder="1" applyAlignment="1" applyProtection="1">
      <alignment horizontal="center" vertical="center"/>
      <protection locked="0"/>
    </xf>
    <xf numFmtId="0" fontId="191" fillId="0" borderId="10" xfId="0" applyFont="1" applyBorder="1" applyAlignment="1" applyProtection="1">
      <alignment horizontal="center" vertical="center"/>
      <protection locked="0"/>
    </xf>
    <xf numFmtId="0" fontId="191" fillId="31" borderId="78" xfId="0" applyFont="1" applyFill="1" applyBorder="1" applyAlignment="1">
      <alignment horizontal="center" vertical="center"/>
    </xf>
    <xf numFmtId="0" fontId="198" fillId="33" borderId="0" xfId="0" applyFont="1" applyFill="1" applyAlignment="1">
      <alignment horizontal="left" vertical="center" shrinkToFit="1"/>
    </xf>
    <xf numFmtId="0" fontId="191" fillId="33" borderId="0" xfId="0" applyFont="1" applyFill="1" applyAlignment="1">
      <alignment horizontal="left" vertical="center" shrinkToFit="1"/>
    </xf>
    <xf numFmtId="49" fontId="0" fillId="0" borderId="0" xfId="0" applyNumberFormat="1" applyAlignment="1">
      <alignment vertical="center"/>
    </xf>
    <xf numFmtId="0" fontId="165" fillId="0" borderId="0" xfId="0" applyFont="1" applyAlignment="1">
      <alignment horizontal="left" vertical="center"/>
    </xf>
    <xf numFmtId="0" fontId="165" fillId="0" borderId="0" xfId="0" applyFont="1" applyAlignment="1">
      <alignment vertical="center"/>
    </xf>
    <xf numFmtId="187" fontId="205" fillId="0" borderId="0" xfId="0" applyNumberFormat="1" applyFont="1" applyAlignment="1">
      <alignment vertical="center"/>
    </xf>
    <xf numFmtId="188" fontId="165" fillId="0" borderId="0" xfId="0" applyNumberFormat="1" applyFont="1" applyAlignment="1">
      <alignment vertical="center"/>
    </xf>
    <xf numFmtId="0" fontId="166" fillId="0" borderId="0" xfId="0" applyFont="1" applyAlignment="1">
      <alignment vertical="center"/>
    </xf>
    <xf numFmtId="49" fontId="205" fillId="0" borderId="0" xfId="0" applyNumberFormat="1" applyFont="1" applyAlignment="1">
      <alignment vertical="center"/>
    </xf>
    <xf numFmtId="0" fontId="205" fillId="0" borderId="0" xfId="0" applyFont="1" applyAlignment="1">
      <alignment vertical="center"/>
    </xf>
    <xf numFmtId="0" fontId="206" fillId="0" borderId="0" xfId="0" applyFont="1" applyAlignment="1">
      <alignment vertical="center"/>
    </xf>
    <xf numFmtId="180" fontId="165" fillId="0" borderId="0" xfId="0" applyNumberFormat="1" applyFont="1" applyAlignment="1">
      <alignment vertical="center"/>
    </xf>
    <xf numFmtId="182" fontId="165" fillId="0" borderId="0" xfId="0" applyNumberFormat="1" applyFont="1" applyAlignment="1">
      <alignment vertical="center"/>
    </xf>
    <xf numFmtId="0" fontId="207" fillId="0" borderId="0" xfId="0" applyFont="1" applyAlignment="1">
      <alignment vertical="center"/>
    </xf>
    <xf numFmtId="0" fontId="205" fillId="0" borderId="0" xfId="0" applyFont="1" applyAlignment="1">
      <alignment horizontal="left" vertical="center"/>
    </xf>
    <xf numFmtId="0" fontId="209" fillId="0" borderId="0" xfId="0" applyFont="1" applyAlignment="1">
      <alignment vertical="center"/>
    </xf>
    <xf numFmtId="180" fontId="205" fillId="0" borderId="0" xfId="0" applyNumberFormat="1" applyFont="1" applyAlignment="1">
      <alignment vertical="center"/>
    </xf>
    <xf numFmtId="182" fontId="205" fillId="0" borderId="0" xfId="0" applyNumberFormat="1" applyFont="1" applyAlignment="1">
      <alignment vertical="center"/>
    </xf>
    <xf numFmtId="0" fontId="208" fillId="0" borderId="0" xfId="0" applyFont="1" applyAlignment="1">
      <alignment vertical="center"/>
    </xf>
    <xf numFmtId="180" fontId="166" fillId="0" borderId="0" xfId="0" applyNumberFormat="1" applyFont="1" applyAlignment="1">
      <alignment vertical="center"/>
    </xf>
    <xf numFmtId="182" fontId="166" fillId="0" borderId="0" xfId="54" applyNumberFormat="1" applyFont="1" applyFill="1" applyBorder="1" applyAlignment="1">
      <alignment vertical="center"/>
    </xf>
    <xf numFmtId="182" fontId="166" fillId="0" borderId="0" xfId="0" applyNumberFormat="1" applyFont="1" applyAlignment="1">
      <alignment vertical="center"/>
    </xf>
    <xf numFmtId="0" fontId="166" fillId="0" borderId="0" xfId="0" applyFont="1" applyAlignment="1">
      <alignment horizontal="left" vertical="center" wrapText="1"/>
    </xf>
    <xf numFmtId="0" fontId="189" fillId="0" borderId="0" xfId="43" applyFont="1">
      <alignment vertical="center"/>
    </xf>
    <xf numFmtId="0" fontId="189" fillId="0" borderId="73" xfId="43" applyFont="1" applyBorder="1" applyProtection="1">
      <alignment vertical="center"/>
      <protection locked="0"/>
    </xf>
    <xf numFmtId="0" fontId="187" fillId="0" borderId="0" xfId="43" applyFont="1">
      <alignment vertical="center"/>
    </xf>
    <xf numFmtId="0" fontId="189" fillId="0" borderId="10" xfId="43" applyFont="1" applyBorder="1">
      <alignment vertical="center"/>
    </xf>
    <xf numFmtId="0" fontId="203" fillId="0" borderId="0" xfId="43" applyFont="1">
      <alignment vertical="center"/>
    </xf>
    <xf numFmtId="0" fontId="214" fillId="0" borderId="0" xfId="43" applyFont="1">
      <alignment vertical="center"/>
    </xf>
    <xf numFmtId="0" fontId="213" fillId="27" borderId="10" xfId="43" applyFont="1" applyFill="1" applyBorder="1" applyAlignment="1">
      <alignment horizontal="center" vertical="center" shrinkToFit="1"/>
    </xf>
    <xf numFmtId="0" fontId="213" fillId="0" borderId="0" xfId="43" applyFont="1">
      <alignment vertical="center"/>
    </xf>
    <xf numFmtId="0" fontId="189" fillId="0" borderId="14" xfId="43" applyFont="1" applyBorder="1" applyAlignment="1" applyProtection="1">
      <alignment horizontal="right" vertical="center"/>
      <protection locked="0"/>
    </xf>
    <xf numFmtId="0" fontId="189" fillId="0" borderId="16" xfId="43" applyFont="1" applyBorder="1">
      <alignment vertical="center"/>
    </xf>
    <xf numFmtId="0" fontId="189" fillId="0" borderId="10" xfId="43" applyFont="1" applyBorder="1" applyAlignment="1"/>
    <xf numFmtId="0" fontId="213" fillId="0" borderId="10" xfId="43" applyFont="1" applyBorder="1">
      <alignment vertical="center"/>
    </xf>
    <xf numFmtId="1" fontId="189" fillId="0" borderId="10" xfId="43" applyNumberFormat="1" applyFont="1" applyBorder="1">
      <alignment vertical="center"/>
    </xf>
    <xf numFmtId="0" fontId="189" fillId="0" borderId="167" xfId="43" applyFont="1" applyBorder="1">
      <alignment vertical="center"/>
    </xf>
    <xf numFmtId="0" fontId="189" fillId="0" borderId="0" xfId="43" applyFont="1" applyAlignment="1">
      <alignment horizontal="right" vertical="center"/>
    </xf>
    <xf numFmtId="0" fontId="214" fillId="0" borderId="0" xfId="43" applyFont="1" applyAlignment="1"/>
    <xf numFmtId="0" fontId="213" fillId="0" borderId="0" xfId="43" applyFont="1" applyAlignment="1">
      <alignment horizontal="right" vertical="center"/>
    </xf>
    <xf numFmtId="0" fontId="189" fillId="0" borderId="10" xfId="43" applyFont="1" applyBorder="1" applyAlignment="1">
      <alignment vertical="center" shrinkToFit="1"/>
    </xf>
    <xf numFmtId="0" fontId="214" fillId="0" borderId="10" xfId="43" applyFont="1" applyBorder="1" applyAlignment="1"/>
    <xf numFmtId="0" fontId="189" fillId="0" borderId="0" xfId="43" applyFont="1" applyAlignment="1"/>
    <xf numFmtId="0" fontId="213" fillId="0" borderId="0" xfId="43" applyFont="1" applyAlignment="1">
      <alignment vertical="center" shrinkToFit="1"/>
    </xf>
    <xf numFmtId="6" fontId="215" fillId="0" borderId="0" xfId="77" applyFont="1">
      <alignment vertical="center"/>
    </xf>
    <xf numFmtId="38" fontId="189" fillId="0" borderId="10" xfId="46" applyFont="1" applyBorder="1" applyAlignment="1" applyProtection="1"/>
    <xf numFmtId="0" fontId="189" fillId="0" borderId="10" xfId="43" applyFont="1" applyBorder="1" applyAlignment="1">
      <alignment horizontal="center" vertical="center" shrinkToFit="1"/>
    </xf>
    <xf numFmtId="0" fontId="189" fillId="0" borderId="16" xfId="43" applyFont="1" applyBorder="1" applyAlignment="1">
      <alignment vertical="center" shrinkToFit="1"/>
    </xf>
    <xf numFmtId="38" fontId="189" fillId="0" borderId="10" xfId="46" applyFont="1" applyBorder="1" applyAlignment="1" applyProtection="1">
      <alignment horizontal="right"/>
    </xf>
    <xf numFmtId="38" fontId="189" fillId="0" borderId="10" xfId="46" applyFont="1" applyBorder="1" applyAlignment="1" applyProtection="1">
      <alignment horizontal="right" vertical="center"/>
    </xf>
    <xf numFmtId="38" fontId="189" fillId="0" borderId="167" xfId="46" applyFont="1" applyBorder="1" applyAlignment="1" applyProtection="1">
      <alignment horizontal="right" vertical="center"/>
    </xf>
    <xf numFmtId="38" fontId="189" fillId="0" borderId="27" xfId="43" applyNumberFormat="1" applyFont="1" applyBorder="1">
      <alignment vertical="center"/>
    </xf>
    <xf numFmtId="0" fontId="189" fillId="0" borderId="0" xfId="47" applyFont="1" applyAlignment="1">
      <alignment horizontal="right" vertical="center"/>
    </xf>
    <xf numFmtId="0" fontId="189" fillId="0" borderId="0" xfId="58" applyFont="1">
      <alignment vertical="center"/>
    </xf>
    <xf numFmtId="0" fontId="188" fillId="0" borderId="0" xfId="43" applyFont="1">
      <alignment vertical="center"/>
    </xf>
    <xf numFmtId="0" fontId="188" fillId="0" borderId="12" xfId="43" applyFont="1" applyBorder="1">
      <alignment vertical="center"/>
    </xf>
    <xf numFmtId="49" fontId="217" fillId="0" borderId="12" xfId="47" applyNumberFormat="1" applyFont="1" applyBorder="1" applyAlignment="1">
      <alignment vertical="top" wrapText="1"/>
    </xf>
    <xf numFmtId="1" fontId="218" fillId="0" borderId="0" xfId="0" applyNumberFormat="1" applyFont="1" applyAlignment="1">
      <alignment horizontal="right" vertical="top" shrinkToFit="1"/>
    </xf>
    <xf numFmtId="0" fontId="219" fillId="0" borderId="0" xfId="0" applyFont="1" applyAlignment="1">
      <alignment horizontal="right" vertical="center" wrapText="1"/>
    </xf>
    <xf numFmtId="3" fontId="219" fillId="0" borderId="0" xfId="0" applyNumberFormat="1" applyFont="1" applyAlignment="1">
      <alignment horizontal="right" vertical="center" wrapText="1"/>
    </xf>
    <xf numFmtId="49" fontId="199" fillId="0" borderId="0" xfId="0" applyNumberFormat="1" applyFont="1" applyAlignment="1">
      <alignment vertical="top"/>
    </xf>
    <xf numFmtId="0" fontId="130" fillId="0" borderId="10" xfId="43" applyFont="1" applyBorder="1" applyAlignment="1">
      <alignment horizontal="left" vertical="center"/>
    </xf>
    <xf numFmtId="0" fontId="130" fillId="0" borderId="10" xfId="43" applyFont="1" applyBorder="1" applyAlignment="1">
      <alignment horizontal="left"/>
    </xf>
    <xf numFmtId="0" fontId="122" fillId="0" borderId="0" xfId="43" applyFont="1" applyAlignment="1">
      <alignment horizontal="center" vertical="center"/>
    </xf>
    <xf numFmtId="0" fontId="126" fillId="0" borderId="0" xfId="43" applyFont="1" applyAlignment="1">
      <alignment horizontal="center"/>
    </xf>
    <xf numFmtId="0" fontId="122" fillId="38" borderId="0" xfId="43" applyFont="1" applyFill="1">
      <alignment vertical="center"/>
    </xf>
    <xf numFmtId="1" fontId="122" fillId="38" borderId="0" xfId="46" applyNumberFormat="1" applyFont="1" applyFill="1" applyProtection="1">
      <alignment vertical="center"/>
    </xf>
    <xf numFmtId="0" fontId="130" fillId="0" borderId="10" xfId="43" applyFont="1" applyBorder="1" applyAlignment="1">
      <alignment vertical="center" shrinkToFit="1"/>
    </xf>
    <xf numFmtId="49" fontId="81" fillId="0" borderId="0" xfId="0" applyNumberFormat="1" applyFont="1" applyAlignment="1">
      <alignment horizontal="left" vertical="top" wrapText="1"/>
    </xf>
    <xf numFmtId="0" fontId="13" fillId="0" borderId="0" xfId="44" applyAlignment="1">
      <alignment vertical="center" shrinkToFit="1"/>
    </xf>
    <xf numFmtId="0" fontId="135" fillId="0" borderId="268" xfId="0" applyFont="1" applyBorder="1" applyAlignment="1">
      <alignment horizontal="center" vertical="center" shrinkToFit="1"/>
    </xf>
    <xf numFmtId="6" fontId="150" fillId="0" borderId="255" xfId="82" applyFont="1" applyBorder="1" applyAlignment="1">
      <alignment horizontal="center" vertical="center"/>
    </xf>
    <xf numFmtId="0" fontId="80" fillId="0" borderId="0" xfId="0" applyFont="1" applyAlignment="1">
      <alignment horizontal="right" vertical="center" shrinkToFit="1"/>
    </xf>
    <xf numFmtId="0" fontId="83" fillId="0" borderId="0" xfId="0" applyFont="1" applyAlignment="1">
      <alignment horizontal="right" vertical="center" shrinkToFit="1"/>
    </xf>
    <xf numFmtId="0" fontId="223" fillId="33" borderId="0" xfId="0" applyFont="1" applyFill="1" applyAlignment="1">
      <alignment vertical="center"/>
    </xf>
    <xf numFmtId="0" fontId="45" fillId="37" borderId="10" xfId="0" applyFont="1" applyFill="1" applyBorder="1" applyAlignment="1">
      <alignment horizontal="right" vertical="center" shrinkToFit="1"/>
    </xf>
    <xf numFmtId="0" fontId="224" fillId="32" borderId="10" xfId="0" applyFont="1" applyFill="1" applyBorder="1" applyAlignment="1">
      <alignment vertical="center" shrinkToFit="1"/>
    </xf>
    <xf numFmtId="38" fontId="225" fillId="32" borderId="10" xfId="46" applyFont="1" applyFill="1" applyBorder="1" applyAlignment="1">
      <alignment vertical="center" shrinkToFit="1"/>
    </xf>
    <xf numFmtId="38" fontId="225" fillId="0" borderId="10" xfId="46" applyFont="1" applyBorder="1" applyAlignment="1">
      <alignment horizontal="right" vertical="center" shrinkToFit="1"/>
    </xf>
    <xf numFmtId="179" fontId="183" fillId="30" borderId="10" xfId="0" applyNumberFormat="1" applyFont="1" applyFill="1" applyBorder="1" applyAlignment="1">
      <alignment horizontal="right" vertical="center" shrinkToFit="1"/>
    </xf>
    <xf numFmtId="0" fontId="226" fillId="0" borderId="0" xfId="0" applyFont="1" applyAlignment="1">
      <alignment vertical="center"/>
    </xf>
    <xf numFmtId="38" fontId="45" fillId="37" borderId="10" xfId="46" applyFont="1" applyFill="1" applyBorder="1" applyAlignment="1">
      <alignment horizontal="right" vertical="center" shrinkToFit="1"/>
    </xf>
    <xf numFmtId="0" fontId="130" fillId="0" borderId="10" xfId="43" applyFont="1" applyBorder="1" applyAlignment="1">
      <alignment horizontal="center" vertical="center"/>
    </xf>
    <xf numFmtId="0" fontId="83" fillId="0" borderId="0" xfId="0" applyFont="1" applyAlignment="1">
      <alignment horizontal="right" vertical="top"/>
    </xf>
    <xf numFmtId="1" fontId="189" fillId="0" borderId="10" xfId="43" applyNumberFormat="1" applyFont="1" applyBorder="1" applyAlignment="1">
      <alignment horizontal="left" vertical="center"/>
    </xf>
    <xf numFmtId="0" fontId="189" fillId="0" borderId="10" xfId="43" applyFont="1" applyBorder="1" applyAlignment="1">
      <alignment horizontal="left" vertical="center"/>
    </xf>
    <xf numFmtId="0" fontId="189" fillId="0" borderId="10" xfId="43" applyFont="1" applyBorder="1" applyAlignment="1">
      <alignment horizontal="right" vertical="center"/>
    </xf>
    <xf numFmtId="3" fontId="189" fillId="0" borderId="10" xfId="43" applyNumberFormat="1" applyFont="1" applyBorder="1" applyAlignment="1">
      <alignment horizontal="left" vertical="center"/>
    </xf>
    <xf numFmtId="0" fontId="130" fillId="0" borderId="10" xfId="43" applyFont="1" applyBorder="1" applyAlignment="1">
      <alignment horizontal="right" vertical="center"/>
    </xf>
    <xf numFmtId="1" fontId="189" fillId="0" borderId="10" xfId="43" applyNumberFormat="1" applyFont="1" applyBorder="1" applyAlignment="1"/>
    <xf numFmtId="38" fontId="148" fillId="0" borderId="10" xfId="80" applyNumberFormat="1" applyFont="1" applyBorder="1" applyAlignment="1">
      <alignment horizontal="right" vertical="center"/>
    </xf>
    <xf numFmtId="6" fontId="148" fillId="0" borderId="255" xfId="75" applyNumberFormat="1" applyFont="1" applyBorder="1">
      <alignment vertical="center"/>
    </xf>
    <xf numFmtId="6" fontId="148" fillId="0" borderId="80" xfId="75" applyNumberFormat="1" applyFont="1" applyBorder="1">
      <alignment vertical="center"/>
    </xf>
    <xf numFmtId="0" fontId="148" fillId="0" borderId="50" xfId="80" applyFont="1" applyBorder="1">
      <alignment vertical="center"/>
    </xf>
    <xf numFmtId="0" fontId="148" fillId="0" borderId="46" xfId="80" applyFont="1" applyBorder="1" applyAlignment="1">
      <alignment vertical="center" shrinkToFit="1"/>
    </xf>
    <xf numFmtId="0" fontId="148" fillId="0" borderId="269" xfId="80" applyFont="1" applyBorder="1" applyAlignment="1">
      <alignment vertical="center" shrinkToFit="1"/>
    </xf>
    <xf numFmtId="0" fontId="148" fillId="0" borderId="63" xfId="80" applyFont="1" applyBorder="1" applyAlignment="1">
      <alignment vertical="center" shrinkToFit="1"/>
    </xf>
    <xf numFmtId="0" fontId="148" fillId="0" borderId="41" xfId="80" applyFont="1" applyBorder="1" applyAlignment="1">
      <alignment vertical="center" shrinkToFit="1"/>
    </xf>
    <xf numFmtId="6" fontId="150" fillId="0" borderId="42" xfId="82" applyFont="1" applyBorder="1">
      <alignment vertical="center"/>
    </xf>
    <xf numFmtId="0" fontId="148" fillId="0" borderId="42" xfId="80" applyFont="1" applyBorder="1" applyAlignment="1">
      <alignment vertical="center" shrinkToFit="1"/>
    </xf>
    <xf numFmtId="6" fontId="148" fillId="0" borderId="42" xfId="80" applyNumberFormat="1" applyFont="1" applyBorder="1">
      <alignment vertical="center"/>
    </xf>
    <xf numFmtId="6" fontId="148" fillId="0" borderId="43" xfId="80" applyNumberFormat="1" applyFont="1" applyBorder="1">
      <alignment vertical="center"/>
    </xf>
    <xf numFmtId="0" fontId="228" fillId="0" borderId="0" xfId="0" applyFont="1" applyAlignment="1">
      <alignment vertical="center"/>
    </xf>
    <xf numFmtId="0" fontId="148" fillId="0" borderId="255" xfId="80" applyFont="1" applyBorder="1" applyAlignment="1">
      <alignment horizontal="right" vertical="center" shrinkToFit="1"/>
    </xf>
    <xf numFmtId="0" fontId="153" fillId="38" borderId="10" xfId="43" applyFont="1" applyFill="1" applyBorder="1">
      <alignment vertical="center"/>
    </xf>
    <xf numFmtId="38" fontId="137" fillId="38" borderId="10" xfId="46" applyFont="1" applyFill="1" applyBorder="1" applyAlignment="1" applyProtection="1"/>
    <xf numFmtId="1" fontId="148" fillId="0" borderId="0" xfId="80" applyNumberFormat="1" applyFont="1">
      <alignment vertical="center"/>
    </xf>
    <xf numFmtId="6" fontId="150" fillId="0" borderId="48" xfId="82" applyFont="1" applyBorder="1" applyAlignment="1">
      <alignment horizontal="right" vertical="center"/>
    </xf>
    <xf numFmtId="0" fontId="148" fillId="0" borderId="64" xfId="80" applyFont="1" applyBorder="1" applyAlignment="1">
      <alignment vertical="center" shrinkToFit="1"/>
    </xf>
    <xf numFmtId="6" fontId="150" fillId="0" borderId="249" xfId="82" applyFont="1" applyFill="1" applyBorder="1">
      <alignment vertical="center"/>
    </xf>
    <xf numFmtId="0" fontId="45" fillId="0" borderId="16" xfId="0" applyFont="1" applyBorder="1" applyAlignment="1" applyProtection="1">
      <alignment vertical="center"/>
      <protection locked="0"/>
    </xf>
    <xf numFmtId="0" fontId="45" fillId="33" borderId="10" xfId="0" applyFont="1" applyFill="1" applyBorder="1" applyAlignment="1" applyProtection="1">
      <alignment horizontal="center" vertical="center"/>
      <protection locked="0"/>
    </xf>
    <xf numFmtId="49" fontId="45" fillId="0" borderId="10" xfId="0" applyNumberFormat="1" applyFont="1" applyBorder="1" applyAlignment="1" applyProtection="1">
      <alignment vertical="center"/>
      <protection locked="0"/>
    </xf>
    <xf numFmtId="0" fontId="45" fillId="0" borderId="10" xfId="0" applyFont="1" applyBorder="1" applyAlignment="1" applyProtection="1">
      <alignment horizontal="center" vertical="center"/>
      <protection locked="0"/>
    </xf>
    <xf numFmtId="49" fontId="45" fillId="0" borderId="46" xfId="0" applyNumberFormat="1" applyFont="1" applyBorder="1" applyAlignment="1" applyProtection="1">
      <alignment horizontal="right" vertical="center" shrinkToFit="1"/>
      <protection locked="0"/>
    </xf>
    <xf numFmtId="49" fontId="45" fillId="0" borderId="64" xfId="0" applyNumberFormat="1" applyFont="1" applyBorder="1" applyAlignment="1" applyProtection="1">
      <alignment horizontal="right" vertical="center" shrinkToFit="1"/>
      <protection locked="0"/>
    </xf>
    <xf numFmtId="49" fontId="45" fillId="0" borderId="47" xfId="0" applyNumberFormat="1" applyFont="1" applyBorder="1" applyAlignment="1" applyProtection="1">
      <alignment horizontal="right" vertical="center" shrinkToFit="1"/>
      <protection locked="0"/>
    </xf>
    <xf numFmtId="49" fontId="45" fillId="0" borderId="80" xfId="0" applyNumberFormat="1" applyFont="1" applyBorder="1" applyAlignment="1" applyProtection="1">
      <alignment horizontal="right" vertical="center" shrinkToFit="1"/>
      <protection locked="0"/>
    </xf>
    <xf numFmtId="49" fontId="45" fillId="0" borderId="49" xfId="0" applyNumberFormat="1" applyFont="1" applyBorder="1" applyAlignment="1" applyProtection="1">
      <alignment horizontal="right" vertical="center" shrinkToFit="1"/>
      <protection locked="0"/>
    </xf>
    <xf numFmtId="0" fontId="45" fillId="0" borderId="18" xfId="0" applyFont="1" applyBorder="1" applyAlignment="1" applyProtection="1">
      <alignment horizontal="center" vertical="center"/>
      <protection locked="0"/>
    </xf>
    <xf numFmtId="0" fontId="45" fillId="0" borderId="51" xfId="0" applyFont="1" applyBorder="1" applyAlignment="1" applyProtection="1">
      <alignment horizontal="center" vertical="center"/>
      <protection locked="0"/>
    </xf>
    <xf numFmtId="0" fontId="45" fillId="0" borderId="54" xfId="0" applyFont="1" applyBorder="1" applyAlignment="1" applyProtection="1">
      <alignment horizontal="center" vertical="center"/>
      <protection locked="0"/>
    </xf>
    <xf numFmtId="0" fontId="45" fillId="0" borderId="23" xfId="0" applyFont="1" applyBorder="1" applyAlignment="1" applyProtection="1">
      <alignment horizontal="center" vertical="center"/>
      <protection locked="0"/>
    </xf>
    <xf numFmtId="49" fontId="45" fillId="0" borderId="46" xfId="0" applyNumberFormat="1" applyFont="1" applyBorder="1" applyAlignment="1" applyProtection="1">
      <alignment vertical="center"/>
      <protection locked="0"/>
    </xf>
    <xf numFmtId="0" fontId="45" fillId="26" borderId="271" xfId="0" applyFont="1" applyFill="1" applyBorder="1" applyAlignment="1">
      <alignment vertical="center" shrinkToFit="1"/>
    </xf>
    <xf numFmtId="0" fontId="232" fillId="0" borderId="46" xfId="0" applyFont="1" applyBorder="1" applyAlignment="1" applyProtection="1">
      <alignment horizontal="left" vertical="center"/>
      <protection locked="0"/>
    </xf>
    <xf numFmtId="177" fontId="232" fillId="0" borderId="16" xfId="0" applyNumberFormat="1" applyFont="1" applyBorder="1" applyAlignment="1" applyProtection="1">
      <alignment horizontal="right" vertical="center"/>
      <protection locked="0"/>
    </xf>
    <xf numFmtId="0" fontId="232" fillId="0" borderId="63" xfId="0" applyFont="1" applyBorder="1" applyAlignment="1" applyProtection="1">
      <alignment horizontal="left" vertical="center"/>
      <protection locked="0"/>
    </xf>
    <xf numFmtId="177" fontId="232" fillId="0" borderId="18" xfId="0" applyNumberFormat="1" applyFont="1" applyBorder="1" applyAlignment="1" applyProtection="1">
      <alignment horizontal="right" vertical="center"/>
      <protection locked="0"/>
    </xf>
    <xf numFmtId="0" fontId="232" fillId="0" borderId="51" xfId="0" applyFont="1" applyBorder="1" applyAlignment="1" applyProtection="1">
      <alignment horizontal="left" vertical="center"/>
      <protection locked="0"/>
    </xf>
    <xf numFmtId="177" fontId="45" fillId="0" borderId="10" xfId="0" applyNumberFormat="1" applyFont="1" applyBorder="1" applyAlignment="1" applyProtection="1">
      <alignment horizontal="right" vertical="center"/>
      <protection locked="0"/>
    </xf>
    <xf numFmtId="0" fontId="45" fillId="32" borderId="0" xfId="0" applyFont="1" applyFill="1" applyAlignment="1">
      <alignment horizontal="right" vertical="center"/>
    </xf>
    <xf numFmtId="49" fontId="18" fillId="0" borderId="0" xfId="0" applyNumberFormat="1" applyFont="1" applyAlignment="1">
      <alignment vertical="top"/>
    </xf>
    <xf numFmtId="0" fontId="18" fillId="0" borderId="0" xfId="0" applyFont="1" applyAlignment="1">
      <alignment vertical="top" wrapText="1"/>
    </xf>
    <xf numFmtId="0" fontId="40" fillId="0" borderId="0" xfId="0" applyFont="1" applyAlignment="1">
      <alignment horizontal="left" vertical="center"/>
    </xf>
    <xf numFmtId="49" fontId="18" fillId="0" borderId="0" xfId="0" applyNumberFormat="1" applyFont="1" applyAlignment="1">
      <alignment vertical="top" wrapText="1"/>
    </xf>
    <xf numFmtId="0" fontId="40" fillId="0" borderId="0" xfId="0" applyFont="1" applyAlignment="1">
      <alignment horizontal="center" vertical="center"/>
    </xf>
    <xf numFmtId="0" fontId="40" fillId="0" borderId="0" xfId="0" applyFont="1" applyAlignment="1">
      <alignment vertical="center"/>
    </xf>
    <xf numFmtId="0" fontId="235" fillId="0" borderId="0" xfId="0" applyFont="1" applyAlignment="1">
      <alignment vertical="center"/>
    </xf>
    <xf numFmtId="0" fontId="236" fillId="0" borderId="0" xfId="0" applyFont="1" applyAlignment="1">
      <alignment vertical="top"/>
    </xf>
    <xf numFmtId="0" fontId="18" fillId="0" borderId="0" xfId="0" applyFont="1" applyAlignment="1">
      <alignment horizontal="center" vertical="top"/>
    </xf>
    <xf numFmtId="0" fontId="237" fillId="0" borderId="0" xfId="0" applyFont="1" applyAlignment="1">
      <alignment vertical="top"/>
    </xf>
    <xf numFmtId="0" fontId="18" fillId="0" borderId="0" xfId="0" applyFont="1" applyAlignment="1">
      <alignment horizontal="right" vertical="top"/>
    </xf>
    <xf numFmtId="0" fontId="239" fillId="0" borderId="0" xfId="0" applyFont="1" applyAlignment="1">
      <alignment vertical="top"/>
    </xf>
    <xf numFmtId="0" fontId="54" fillId="0" borderId="0" xfId="0" applyFont="1" applyAlignment="1">
      <alignment horizontal="left" vertical="top" wrapText="1"/>
    </xf>
    <xf numFmtId="0" fontId="54" fillId="0" borderId="0" xfId="0" applyFont="1" applyAlignment="1">
      <alignment vertical="top" wrapText="1"/>
    </xf>
    <xf numFmtId="49" fontId="54" fillId="0" borderId="0" xfId="0" applyNumberFormat="1" applyFont="1" applyAlignment="1">
      <alignment vertical="top"/>
    </xf>
    <xf numFmtId="0" fontId="54" fillId="0" borderId="0" xfId="0" applyFont="1" applyAlignment="1">
      <alignment horizontal="right" vertical="top" wrapText="1"/>
    </xf>
    <xf numFmtId="0" fontId="54" fillId="0" borderId="0" xfId="0" applyFont="1" applyAlignment="1">
      <alignment horizontal="left" vertical="top"/>
    </xf>
    <xf numFmtId="0" fontId="54" fillId="0" borderId="0" xfId="0" applyFont="1" applyAlignment="1">
      <alignment horizontal="right" vertical="top"/>
    </xf>
    <xf numFmtId="49" fontId="54" fillId="0" borderId="0" xfId="0" applyNumberFormat="1" applyFont="1" applyAlignment="1">
      <alignment horizontal="left" vertical="top"/>
    </xf>
    <xf numFmtId="49" fontId="54" fillId="0" borderId="0" xfId="0" applyNumberFormat="1" applyFont="1" applyAlignment="1">
      <alignment horizontal="left" vertical="top" wrapText="1"/>
    </xf>
    <xf numFmtId="0" fontId="18" fillId="0" borderId="0" xfId="0" quotePrefix="1" applyFont="1" applyAlignment="1">
      <alignment vertical="top"/>
    </xf>
    <xf numFmtId="49" fontId="18" fillId="0" borderId="0" xfId="0" applyNumberFormat="1" applyFont="1" applyAlignment="1">
      <alignment horizontal="right" vertical="top"/>
    </xf>
    <xf numFmtId="0" fontId="54" fillId="0" borderId="0" xfId="0" applyFont="1" applyAlignment="1">
      <alignment vertical="top"/>
    </xf>
    <xf numFmtId="0" fontId="54" fillId="0" borderId="14" xfId="0" applyFont="1" applyBorder="1" applyAlignment="1">
      <alignment vertical="top"/>
    </xf>
    <xf numFmtId="0" fontId="54" fillId="0" borderId="16" xfId="0" applyFont="1" applyBorder="1" applyAlignment="1">
      <alignment vertical="top"/>
    </xf>
    <xf numFmtId="0" fontId="54" fillId="0" borderId="16" xfId="0" applyFont="1" applyBorder="1" applyAlignment="1">
      <alignment vertical="top" wrapText="1"/>
    </xf>
    <xf numFmtId="0" fontId="54" fillId="0" borderId="256" xfId="0" applyFont="1" applyBorder="1" applyAlignment="1">
      <alignment vertical="top"/>
    </xf>
    <xf numFmtId="0" fontId="54" fillId="0" borderId="254" xfId="0" applyFont="1" applyBorder="1" applyAlignment="1">
      <alignment vertical="top"/>
    </xf>
    <xf numFmtId="0" fontId="54" fillId="0" borderId="23" xfId="0" applyFont="1" applyBorder="1" applyAlignment="1">
      <alignment vertical="top"/>
    </xf>
    <xf numFmtId="0" fontId="54" fillId="0" borderId="24" xfId="0" applyFont="1" applyBorder="1" applyAlignment="1">
      <alignment vertical="top"/>
    </xf>
    <xf numFmtId="0" fontId="54" fillId="0" borderId="0" xfId="0" applyFont="1" applyAlignment="1">
      <alignment horizontal="left" vertical="center" wrapText="1"/>
    </xf>
    <xf numFmtId="0" fontId="54" fillId="0" borderId="11" xfId="0" applyFont="1" applyBorder="1" applyAlignment="1">
      <alignment vertical="top"/>
    </xf>
    <xf numFmtId="0" fontId="54" fillId="0" borderId="18" xfId="0" applyFont="1" applyBorder="1" applyAlignment="1">
      <alignment vertical="top"/>
    </xf>
    <xf numFmtId="0" fontId="54" fillId="0" borderId="16" xfId="0" applyFont="1" applyBorder="1" applyAlignment="1">
      <alignment vertical="center"/>
    </xf>
    <xf numFmtId="0" fontId="54" fillId="0" borderId="0" xfId="0" applyFont="1" applyAlignment="1">
      <alignment horizontal="center" vertical="center" wrapText="1"/>
    </xf>
    <xf numFmtId="0" fontId="54" fillId="0" borderId="256" xfId="0" applyFont="1" applyBorder="1" applyAlignment="1">
      <alignment vertical="center" shrinkToFit="1"/>
    </xf>
    <xf numFmtId="0" fontId="54" fillId="0" borderId="254" xfId="0" applyFont="1" applyBorder="1" applyAlignment="1">
      <alignment vertical="center" shrinkToFit="1"/>
    </xf>
    <xf numFmtId="0" fontId="54" fillId="0" borderId="11" xfId="0" applyFont="1" applyBorder="1" applyAlignment="1">
      <alignment vertical="center" shrinkToFit="1"/>
    </xf>
    <xf numFmtId="0" fontId="54" fillId="0" borderId="18" xfId="0" applyFont="1" applyBorder="1" applyAlignment="1">
      <alignment vertical="center" shrinkToFit="1"/>
    </xf>
    <xf numFmtId="0" fontId="54" fillId="0" borderId="0" xfId="0" applyFont="1" applyAlignment="1">
      <alignment vertical="center" shrinkToFit="1"/>
    </xf>
    <xf numFmtId="0" fontId="54" fillId="0" borderId="0" xfId="0" applyFont="1" applyAlignment="1">
      <alignment horizontal="distributed" vertical="center" shrinkToFit="1"/>
    </xf>
    <xf numFmtId="49" fontId="54" fillId="0" borderId="0" xfId="0" applyNumberFormat="1" applyFont="1" applyAlignment="1">
      <alignment vertical="top" wrapText="1"/>
    </xf>
    <xf numFmtId="49" fontId="54" fillId="0" borderId="0" xfId="0" applyNumberFormat="1" applyFont="1" applyAlignment="1">
      <alignment horizontal="right" vertical="top"/>
    </xf>
    <xf numFmtId="0" fontId="242" fillId="0" borderId="0" xfId="0" applyFont="1" applyAlignment="1">
      <alignment vertical="center"/>
    </xf>
    <xf numFmtId="0" fontId="54" fillId="0" borderId="0" xfId="0" applyFont="1" applyAlignment="1">
      <alignment horizontal="center" vertical="center" shrinkToFit="1"/>
    </xf>
    <xf numFmtId="0" fontId="54" fillId="0" borderId="0" xfId="0" applyFont="1" applyAlignment="1">
      <alignment vertical="center" wrapText="1"/>
    </xf>
    <xf numFmtId="49" fontId="54" fillId="0" borderId="0" xfId="0" applyNumberFormat="1" applyFont="1" applyAlignment="1">
      <alignment horizontal="right" vertical="top" wrapText="1"/>
    </xf>
    <xf numFmtId="49" fontId="18" fillId="0" borderId="0" xfId="0" applyNumberFormat="1" applyFont="1" applyAlignment="1">
      <alignment horizontal="left" vertical="top" wrapText="1"/>
    </xf>
    <xf numFmtId="0" fontId="54" fillId="0" borderId="0" xfId="0" applyFont="1" applyAlignment="1">
      <alignment vertical="top" shrinkToFit="1"/>
    </xf>
    <xf numFmtId="0" fontId="54" fillId="0" borderId="0" xfId="0" applyFont="1" applyAlignment="1">
      <alignment horizontal="left" vertical="top" indent="1"/>
    </xf>
    <xf numFmtId="49" fontId="241" fillId="0" borderId="0" xfId="0" applyNumberFormat="1" applyFont="1" applyAlignment="1">
      <alignment vertical="top" wrapText="1"/>
    </xf>
    <xf numFmtId="0" fontId="18" fillId="0" borderId="0" xfId="0" applyFont="1" applyAlignment="1">
      <alignment vertical="center"/>
    </xf>
    <xf numFmtId="49" fontId="242" fillId="0" borderId="0" xfId="0" applyNumberFormat="1" applyFont="1" applyAlignment="1">
      <alignment vertical="center"/>
    </xf>
    <xf numFmtId="49" fontId="18" fillId="0" borderId="0" xfId="0" applyNumberFormat="1" applyFont="1" applyAlignment="1">
      <alignment horizontal="left" vertical="top"/>
    </xf>
    <xf numFmtId="49" fontId="244" fillId="0" borderId="0" xfId="0" applyNumberFormat="1" applyFont="1" applyAlignment="1">
      <alignment vertical="top" wrapText="1"/>
    </xf>
    <xf numFmtId="49" fontId="244" fillId="0" borderId="12" xfId="0" applyNumberFormat="1" applyFont="1" applyBorder="1" applyAlignment="1">
      <alignment vertical="top" wrapText="1"/>
    </xf>
    <xf numFmtId="0" fontId="18" fillId="0" borderId="0" xfId="0" applyFont="1" applyAlignment="1">
      <alignment horizontal="left" vertical="top" shrinkToFit="1"/>
    </xf>
    <xf numFmtId="0" fontId="18" fillId="0" borderId="0" xfId="0" applyFont="1" applyAlignment="1">
      <alignment vertical="top" shrinkToFit="1"/>
    </xf>
    <xf numFmtId="49" fontId="18" fillId="0" borderId="12" xfId="0" applyNumberFormat="1" applyFont="1" applyBorder="1" applyAlignment="1">
      <alignment horizontal="left" vertical="top" wrapText="1"/>
    </xf>
    <xf numFmtId="49" fontId="40" fillId="0" borderId="0" xfId="0" applyNumberFormat="1" applyFont="1" applyAlignment="1">
      <alignment vertical="center"/>
    </xf>
    <xf numFmtId="0" fontId="191" fillId="41" borderId="205" xfId="0" applyFont="1" applyFill="1" applyBorder="1" applyAlignment="1">
      <alignment horizontal="center" vertical="center"/>
    </xf>
    <xf numFmtId="0" fontId="191" fillId="41" borderId="180" xfId="0" applyFont="1" applyFill="1" applyBorder="1" applyAlignment="1">
      <alignment horizontal="center" vertical="center"/>
    </xf>
    <xf numFmtId="0" fontId="191" fillId="0" borderId="96" xfId="0" applyFont="1" applyBorder="1" applyAlignment="1" applyProtection="1">
      <alignment horizontal="left" vertical="center"/>
      <protection locked="0"/>
    </xf>
    <xf numFmtId="0" fontId="191" fillId="0" borderId="258" xfId="0" applyFont="1" applyBorder="1" applyAlignment="1" applyProtection="1">
      <alignment horizontal="left" vertical="center"/>
      <protection locked="0"/>
    </xf>
    <xf numFmtId="0" fontId="191" fillId="0" borderId="246" xfId="0" applyFont="1" applyBorder="1" applyAlignment="1" applyProtection="1">
      <alignment horizontal="left" vertical="center"/>
      <protection locked="0"/>
    </xf>
    <xf numFmtId="0" fontId="191" fillId="0" borderId="247" xfId="0" applyFont="1" applyBorder="1" applyAlignment="1" applyProtection="1">
      <alignment horizontal="left" vertical="center"/>
      <protection locked="0"/>
    </xf>
    <xf numFmtId="0" fontId="191" fillId="24" borderId="37" xfId="0" applyFont="1" applyFill="1" applyBorder="1" applyAlignment="1">
      <alignment horizontal="left" vertical="center" wrapText="1" shrinkToFit="1"/>
    </xf>
    <xf numFmtId="0" fontId="191" fillId="24" borderId="253" xfId="0" applyFont="1" applyFill="1" applyBorder="1" applyAlignment="1">
      <alignment horizontal="left" vertical="center" wrapText="1" shrinkToFit="1"/>
    </xf>
    <xf numFmtId="0" fontId="191" fillId="0" borderId="22" xfId="0" applyFont="1" applyBorder="1" applyAlignment="1" applyProtection="1">
      <alignment horizontal="left" vertical="center"/>
      <protection locked="0"/>
    </xf>
    <xf numFmtId="0" fontId="191" fillId="0" borderId="34" xfId="0" applyFont="1" applyBorder="1" applyAlignment="1" applyProtection="1">
      <alignment horizontal="left" vertical="center"/>
      <protection locked="0"/>
    </xf>
    <xf numFmtId="0" fontId="191" fillId="41" borderId="64" xfId="0" applyFont="1" applyFill="1" applyBorder="1" applyAlignment="1">
      <alignment horizontal="center" vertical="center"/>
    </xf>
    <xf numFmtId="0" fontId="191" fillId="41" borderId="63" xfId="0" applyFont="1" applyFill="1" applyBorder="1" applyAlignment="1">
      <alignment horizontal="center" vertical="center"/>
    </xf>
    <xf numFmtId="0" fontId="191" fillId="0" borderId="59" xfId="0" applyFont="1" applyBorder="1" applyAlignment="1" applyProtection="1">
      <alignment horizontal="left" vertical="center"/>
      <protection locked="0"/>
    </xf>
    <xf numFmtId="0" fontId="191" fillId="0" borderId="174" xfId="0" applyFont="1" applyBorder="1" applyAlignment="1" applyProtection="1">
      <alignment horizontal="left" vertical="center"/>
      <protection locked="0"/>
    </xf>
    <xf numFmtId="0" fontId="191" fillId="0" borderId="70" xfId="0" applyFont="1" applyBorder="1" applyAlignment="1" applyProtection="1">
      <alignment horizontal="left" vertical="center"/>
      <protection locked="0"/>
    </xf>
    <xf numFmtId="0" fontId="191" fillId="0" borderId="199" xfId="0" applyFont="1" applyBorder="1" applyAlignment="1" applyProtection="1">
      <alignment horizontal="left" vertical="center"/>
      <protection locked="0"/>
    </xf>
    <xf numFmtId="0" fontId="191" fillId="37" borderId="10" xfId="0" applyFont="1" applyFill="1" applyBorder="1" applyAlignment="1" applyProtection="1">
      <alignment horizontal="left" vertical="center" shrinkToFit="1"/>
      <protection locked="0"/>
    </xf>
    <xf numFmtId="0" fontId="191" fillId="0" borderId="35" xfId="0" applyFont="1" applyBorder="1" applyAlignment="1" applyProtection="1">
      <alignment horizontal="left" vertical="center" shrinkToFit="1"/>
      <protection locked="0"/>
    </xf>
    <xf numFmtId="0" fontId="191" fillId="0" borderId="36" xfId="0" applyFont="1" applyBorder="1" applyAlignment="1" applyProtection="1">
      <alignment horizontal="left" vertical="center" shrinkToFit="1"/>
      <protection locked="0"/>
    </xf>
    <xf numFmtId="0" fontId="191" fillId="0" borderId="68" xfId="0" applyFont="1" applyBorder="1" applyAlignment="1" applyProtection="1">
      <alignment horizontal="left" vertical="center" shrinkToFit="1"/>
      <protection locked="0"/>
    </xf>
    <xf numFmtId="0" fontId="191" fillId="0" borderId="62" xfId="0" applyFont="1" applyBorder="1" applyAlignment="1" applyProtection="1">
      <alignment horizontal="left" vertical="center" shrinkToFit="1"/>
      <protection locked="0"/>
    </xf>
    <xf numFmtId="0" fontId="191" fillId="0" borderId="25" xfId="0" applyFont="1" applyBorder="1" applyAlignment="1" applyProtection="1">
      <alignment horizontal="center" vertical="center" shrinkToFit="1"/>
      <protection locked="0"/>
    </xf>
    <xf numFmtId="0" fontId="191" fillId="0" borderId="15" xfId="0" applyFont="1" applyBorder="1" applyAlignment="1" applyProtection="1">
      <alignment horizontal="center" vertical="center" shrinkToFit="1"/>
      <protection locked="0"/>
    </xf>
    <xf numFmtId="0" fontId="191" fillId="0" borderId="17" xfId="0" applyFont="1" applyBorder="1" applyAlignment="1" applyProtection="1">
      <alignment horizontal="center" vertical="center" shrinkToFit="1"/>
      <protection locked="0"/>
    </xf>
    <xf numFmtId="0" fontId="191" fillId="30" borderId="61" xfId="0" applyFont="1" applyFill="1" applyBorder="1" applyAlignment="1">
      <alignment horizontal="center" vertical="center" shrinkToFit="1"/>
    </xf>
    <xf numFmtId="0" fontId="191" fillId="30" borderId="68" xfId="0" applyFont="1" applyFill="1" applyBorder="1" applyAlignment="1">
      <alignment horizontal="center" vertical="center" shrinkToFit="1"/>
    </xf>
    <xf numFmtId="0" fontId="191" fillId="28" borderId="14" xfId="0" applyFont="1" applyFill="1" applyBorder="1" applyAlignment="1">
      <alignment horizontal="left" vertical="center" shrinkToFit="1"/>
    </xf>
    <xf numFmtId="0" fontId="191" fillId="28" borderId="16" xfId="0" applyFont="1" applyFill="1" applyBorder="1" applyAlignment="1">
      <alignment horizontal="left" vertical="center" shrinkToFit="1"/>
    </xf>
    <xf numFmtId="0" fontId="198" fillId="33" borderId="0" xfId="0" applyFont="1" applyFill="1" applyAlignment="1">
      <alignment horizontal="left" vertical="center" shrinkToFit="1"/>
    </xf>
    <xf numFmtId="0" fontId="191" fillId="33" borderId="23" xfId="0" applyFont="1" applyFill="1" applyBorder="1" applyAlignment="1">
      <alignment horizontal="left" vertical="center" shrinkToFit="1"/>
    </xf>
    <xf numFmtId="0" fontId="191" fillId="33" borderId="0" xfId="0" applyFont="1" applyFill="1" applyAlignment="1">
      <alignment horizontal="left" vertical="center" shrinkToFit="1"/>
    </xf>
    <xf numFmtId="0" fontId="191" fillId="0" borderId="14" xfId="0" applyFont="1" applyBorder="1" applyAlignment="1">
      <alignment horizontal="center" vertical="center" shrinkToFit="1"/>
    </xf>
    <xf numFmtId="0" fontId="191" fillId="0" borderId="16" xfId="0" applyFont="1" applyBorder="1" applyAlignment="1">
      <alignment horizontal="center" vertical="center" shrinkToFit="1"/>
    </xf>
    <xf numFmtId="0" fontId="191" fillId="30" borderId="14" xfId="0" applyFont="1" applyFill="1" applyBorder="1" applyAlignment="1">
      <alignment horizontal="left" vertical="center" shrinkToFit="1"/>
    </xf>
    <xf numFmtId="0" fontId="191" fillId="30" borderId="16" xfId="0" applyFont="1" applyFill="1" applyBorder="1" applyAlignment="1">
      <alignment horizontal="left" vertical="center" shrinkToFit="1"/>
    </xf>
    <xf numFmtId="0" fontId="191" fillId="33" borderId="24" xfId="0" applyFont="1" applyFill="1" applyBorder="1" applyAlignment="1">
      <alignment horizontal="left" vertical="center" shrinkToFit="1"/>
    </xf>
    <xf numFmtId="0" fontId="197" fillId="28" borderId="14" xfId="0" applyFont="1" applyFill="1" applyBorder="1" applyAlignment="1">
      <alignment horizontal="left" vertical="center" shrinkToFit="1"/>
    </xf>
    <xf numFmtId="0" fontId="197" fillId="28" borderId="16" xfId="0" applyFont="1" applyFill="1" applyBorder="1" applyAlignment="1">
      <alignment horizontal="left" vertical="center" shrinkToFit="1"/>
    </xf>
    <xf numFmtId="0" fontId="197" fillId="30" borderId="10" xfId="0" applyFont="1" applyFill="1" applyBorder="1" applyAlignment="1">
      <alignment horizontal="left" vertical="center" shrinkToFit="1"/>
    </xf>
    <xf numFmtId="0" fontId="45" fillId="28" borderId="10" xfId="0" applyFont="1" applyFill="1" applyBorder="1" applyAlignment="1">
      <alignment horizontal="left" vertical="center" shrinkToFit="1"/>
    </xf>
    <xf numFmtId="0" fontId="45" fillId="0" borderId="35" xfId="0" applyFont="1" applyBorder="1" applyAlignment="1" applyProtection="1">
      <alignment horizontal="left" vertical="center" shrinkToFit="1"/>
      <protection locked="0"/>
    </xf>
    <xf numFmtId="0" fontId="45" fillId="0" borderId="36" xfId="0" applyFont="1" applyBorder="1" applyAlignment="1" applyProtection="1">
      <alignment horizontal="left" vertical="center" shrinkToFit="1"/>
      <protection locked="0"/>
    </xf>
    <xf numFmtId="0" fontId="45" fillId="0" borderId="68" xfId="0" applyFont="1" applyBorder="1" applyAlignment="1" applyProtection="1">
      <alignment horizontal="left" vertical="center" shrinkToFit="1"/>
      <protection locked="0"/>
    </xf>
    <xf numFmtId="0" fontId="45" fillId="0" borderId="62" xfId="0" applyFont="1" applyBorder="1" applyAlignment="1" applyProtection="1">
      <alignment horizontal="left" vertical="center" shrinkToFit="1"/>
      <protection locked="0"/>
    </xf>
    <xf numFmtId="0" fontId="45" fillId="0" borderId="25" xfId="0" applyFont="1" applyBorder="1" applyAlignment="1" applyProtection="1">
      <alignment horizontal="center" vertical="center" shrinkToFit="1"/>
      <protection locked="0"/>
    </xf>
    <xf numFmtId="0" fontId="45" fillId="0" borderId="15" xfId="0" applyFont="1" applyBorder="1" applyAlignment="1" applyProtection="1">
      <alignment horizontal="center" vertical="center" shrinkToFit="1"/>
      <protection locked="0"/>
    </xf>
    <xf numFmtId="0" fontId="45" fillId="0" borderId="17" xfId="0" applyFont="1" applyBorder="1" applyAlignment="1" applyProtection="1">
      <alignment horizontal="center" vertical="center" shrinkToFit="1"/>
      <protection locked="0"/>
    </xf>
    <xf numFmtId="0" fontId="194" fillId="0" borderId="14" xfId="0" applyFont="1" applyBorder="1" applyAlignment="1">
      <alignment horizontal="center" vertical="center" shrinkToFit="1"/>
    </xf>
    <xf numFmtId="0" fontId="194" fillId="0" borderId="15" xfId="0" applyFont="1" applyBorder="1" applyAlignment="1">
      <alignment horizontal="center" vertical="center" shrinkToFit="1"/>
    </xf>
    <xf numFmtId="0" fontId="194" fillId="0" borderId="16" xfId="0" applyFont="1" applyBorder="1" applyAlignment="1">
      <alignment horizontal="center" vertical="center" shrinkToFit="1"/>
    </xf>
    <xf numFmtId="0" fontId="191" fillId="28" borderId="10" xfId="0" applyFont="1" applyFill="1" applyBorder="1" applyAlignment="1">
      <alignment horizontal="left" vertical="center" shrinkToFit="1"/>
    </xf>
    <xf numFmtId="0" fontId="191" fillId="28" borderId="15" xfId="0" applyFont="1" applyFill="1" applyBorder="1" applyAlignment="1">
      <alignment horizontal="left" vertical="center" shrinkToFit="1"/>
    </xf>
    <xf numFmtId="0" fontId="191" fillId="0" borderId="10" xfId="0" applyFont="1" applyBorder="1" applyAlignment="1">
      <alignment horizontal="left" vertical="center" shrinkToFit="1"/>
    </xf>
    <xf numFmtId="0" fontId="191" fillId="0" borderId="0" xfId="0" applyFont="1" applyAlignment="1">
      <alignment horizontal="left" vertical="center" shrinkToFit="1"/>
    </xf>
    <xf numFmtId="0" fontId="191" fillId="0" borderId="14" xfId="0" applyFont="1" applyBorder="1" applyAlignment="1" applyProtection="1">
      <alignment horizontal="right" vertical="center" shrinkToFit="1"/>
      <protection locked="0"/>
    </xf>
    <xf numFmtId="0" fontId="191" fillId="0" borderId="16" xfId="0" applyFont="1" applyBorder="1" applyAlignment="1" applyProtection="1">
      <alignment horizontal="right" vertical="center" shrinkToFit="1"/>
      <protection locked="0"/>
    </xf>
    <xf numFmtId="0" fontId="191" fillId="0" borderId="11" xfId="0" applyFont="1" applyBorder="1" applyAlignment="1" applyProtection="1">
      <alignment horizontal="right" vertical="center" shrinkToFit="1"/>
      <protection locked="0"/>
    </xf>
    <xf numFmtId="0" fontId="191" fillId="0" borderId="18" xfId="0" applyFont="1" applyBorder="1" applyAlignment="1" applyProtection="1">
      <alignment horizontal="right" vertical="center" shrinkToFit="1"/>
      <protection locked="0"/>
    </xf>
    <xf numFmtId="0" fontId="191" fillId="0" borderId="13" xfId="0" applyFont="1" applyBorder="1" applyAlignment="1" applyProtection="1">
      <alignment horizontal="right" vertical="center" shrinkToFit="1"/>
      <protection locked="0"/>
    </xf>
    <xf numFmtId="0" fontId="194" fillId="27" borderId="46" xfId="0" applyFont="1" applyFill="1" applyBorder="1" applyAlignment="1">
      <alignment horizontal="left" vertical="center" shrinkToFit="1"/>
    </xf>
    <xf numFmtId="0" fontId="194" fillId="27" borderId="47" xfId="0" applyFont="1" applyFill="1" applyBorder="1" applyAlignment="1">
      <alignment horizontal="left" vertical="center" shrinkToFit="1"/>
    </xf>
    <xf numFmtId="0" fontId="191" fillId="0" borderId="46" xfId="0" applyFont="1" applyBorder="1" applyAlignment="1" applyProtection="1">
      <alignment horizontal="right" vertical="center" shrinkToFit="1"/>
      <protection locked="0"/>
    </xf>
    <xf numFmtId="0" fontId="191" fillId="0" borderId="10" xfId="0" applyFont="1" applyBorder="1" applyAlignment="1" applyProtection="1">
      <alignment horizontal="right" vertical="center" shrinkToFit="1"/>
      <protection locked="0"/>
    </xf>
    <xf numFmtId="0" fontId="191" fillId="0" borderId="17" xfId="0" applyFont="1" applyBorder="1" applyAlignment="1" applyProtection="1">
      <alignment horizontal="right" vertical="center" shrinkToFit="1"/>
      <protection locked="0"/>
    </xf>
    <xf numFmtId="0" fontId="229" fillId="38" borderId="10" xfId="0" applyFont="1" applyFill="1" applyBorder="1" applyAlignment="1">
      <alignment horizontal="center" vertical="center"/>
    </xf>
    <xf numFmtId="0" fontId="45" fillId="38" borderId="14" xfId="0" applyFont="1" applyFill="1" applyBorder="1" applyAlignment="1">
      <alignment horizontal="center" vertical="center"/>
    </xf>
    <xf numFmtId="0" fontId="45" fillId="38" borderId="16" xfId="0" applyFont="1" applyFill="1" applyBorder="1" applyAlignment="1">
      <alignment horizontal="center" vertical="center"/>
    </xf>
    <xf numFmtId="0" fontId="183" fillId="28" borderId="14" xfId="0" applyFont="1" applyFill="1" applyBorder="1" applyAlignment="1">
      <alignment horizontal="left" vertical="center" shrinkToFit="1"/>
    </xf>
    <xf numFmtId="0" fontId="183" fillId="28" borderId="15" xfId="0" applyFont="1" applyFill="1" applyBorder="1" applyAlignment="1">
      <alignment horizontal="left" vertical="center" shrinkToFit="1"/>
    </xf>
    <xf numFmtId="0" fontId="183" fillId="28" borderId="16" xfId="0" applyFont="1" applyFill="1" applyBorder="1" applyAlignment="1">
      <alignment horizontal="left" vertical="center" shrinkToFit="1"/>
    </xf>
    <xf numFmtId="0" fontId="227" fillId="37" borderId="10" xfId="0" applyFont="1" applyFill="1" applyBorder="1" applyAlignment="1">
      <alignment horizontal="center" vertical="center"/>
    </xf>
    <xf numFmtId="0" fontId="191" fillId="27" borderId="256" xfId="0" applyFont="1" applyFill="1" applyBorder="1" applyAlignment="1">
      <alignment horizontal="center" vertical="center" shrinkToFit="1"/>
    </xf>
    <xf numFmtId="0" fontId="191" fillId="27" borderId="254" xfId="0" applyFont="1" applyFill="1" applyBorder="1" applyAlignment="1">
      <alignment horizontal="center" vertical="center" shrinkToFit="1"/>
    </xf>
    <xf numFmtId="0" fontId="191" fillId="27" borderId="255" xfId="0" applyFont="1" applyFill="1" applyBorder="1" applyAlignment="1">
      <alignment horizontal="center" vertical="center" shrinkToFit="1"/>
    </xf>
    <xf numFmtId="0" fontId="191" fillId="0" borderId="50" xfId="0" applyFont="1" applyBorder="1" applyAlignment="1" applyProtection="1">
      <alignment horizontal="right" vertical="center" shrinkToFit="1"/>
      <protection locked="0"/>
    </xf>
    <xf numFmtId="0" fontId="191" fillId="0" borderId="48" xfId="0" applyFont="1" applyBorder="1" applyAlignment="1" applyProtection="1">
      <alignment horizontal="right" vertical="center" shrinkToFit="1"/>
      <protection locked="0"/>
    </xf>
    <xf numFmtId="0" fontId="191" fillId="0" borderId="33" xfId="0" applyFont="1" applyBorder="1" applyAlignment="1" applyProtection="1">
      <alignment horizontal="right" vertical="center" shrinkToFit="1"/>
      <protection locked="0"/>
    </xf>
    <xf numFmtId="0" fontId="191" fillId="0" borderId="22" xfId="0" applyFont="1" applyBorder="1" applyAlignment="1" applyProtection="1">
      <alignment horizontal="right" vertical="center" shrinkToFit="1"/>
      <protection locked="0"/>
    </xf>
    <xf numFmtId="0" fontId="191" fillId="29" borderId="41" xfId="0" applyFont="1" applyFill="1" applyBorder="1" applyAlignment="1" applyProtection="1">
      <alignment horizontal="right" vertical="center" shrinkToFit="1"/>
      <protection locked="0"/>
    </xf>
    <xf numFmtId="0" fontId="191" fillId="29" borderId="42" xfId="0" applyFont="1" applyFill="1" applyBorder="1" applyAlignment="1" applyProtection="1">
      <alignment horizontal="right" vertical="center" shrinkToFit="1"/>
      <protection locked="0"/>
    </xf>
    <xf numFmtId="0" fontId="191" fillId="26" borderId="46" xfId="0" applyFont="1" applyFill="1" applyBorder="1" applyAlignment="1">
      <alignment horizontal="left" vertical="center" shrinkToFit="1"/>
    </xf>
    <xf numFmtId="0" fontId="191" fillId="26" borderId="47" xfId="0" applyFont="1" applyFill="1" applyBorder="1" applyAlignment="1">
      <alignment horizontal="left" vertical="center" shrinkToFit="1"/>
    </xf>
    <xf numFmtId="0" fontId="45" fillId="0" borderId="16"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45" fillId="26" borderId="44" xfId="0" applyFont="1" applyFill="1" applyBorder="1" applyAlignment="1">
      <alignment horizontal="left" vertical="center" shrinkToFit="1"/>
    </xf>
    <xf numFmtId="0" fontId="45" fillId="26" borderId="78" xfId="0" applyFont="1" applyFill="1" applyBorder="1" applyAlignment="1">
      <alignment horizontal="left" vertical="center" shrinkToFit="1"/>
    </xf>
    <xf numFmtId="0" fontId="45" fillId="26" borderId="56" xfId="0" applyFont="1" applyFill="1" applyBorder="1" applyAlignment="1">
      <alignment horizontal="left" vertical="center" shrinkToFit="1"/>
    </xf>
    <xf numFmtId="0" fontId="191" fillId="26" borderId="64" xfId="0" applyFont="1" applyFill="1" applyBorder="1" applyAlignment="1">
      <alignment horizontal="left" vertical="center" shrinkToFit="1"/>
    </xf>
    <xf numFmtId="0" fontId="191" fillId="26" borderId="80" xfId="0" applyFont="1" applyFill="1" applyBorder="1" applyAlignment="1">
      <alignment horizontal="left" vertical="center" shrinkToFit="1"/>
    </xf>
    <xf numFmtId="0" fontId="45" fillId="0" borderId="254" xfId="0" applyFont="1" applyBorder="1" applyAlignment="1" applyProtection="1">
      <alignment horizontal="center" vertical="center"/>
      <protection locked="0"/>
    </xf>
    <xf numFmtId="0" fontId="45" fillId="0" borderId="255" xfId="0" applyFont="1" applyBorder="1" applyAlignment="1" applyProtection="1">
      <alignment horizontal="center" vertical="center"/>
      <protection locked="0"/>
    </xf>
    <xf numFmtId="0" fontId="45" fillId="0" borderId="54" xfId="0" applyFont="1" applyBorder="1" applyAlignment="1" applyProtection="1">
      <alignment horizontal="center" vertical="center"/>
      <protection locked="0"/>
    </xf>
    <xf numFmtId="0" fontId="45" fillId="0" borderId="270" xfId="0" applyFont="1" applyBorder="1" applyAlignment="1" applyProtection="1">
      <alignment horizontal="center" vertical="center"/>
      <protection locked="0"/>
    </xf>
    <xf numFmtId="0" fontId="45" fillId="0" borderId="31" xfId="0" applyFont="1" applyBorder="1" applyAlignment="1" applyProtection="1">
      <alignment horizontal="center" vertical="center"/>
      <protection locked="0"/>
    </xf>
    <xf numFmtId="0" fontId="45" fillId="0" borderId="42" xfId="0" applyFont="1" applyBorder="1" applyAlignment="1" applyProtection="1">
      <alignment horizontal="center" vertical="center"/>
      <protection locked="0"/>
    </xf>
    <xf numFmtId="0" fontId="45" fillId="0" borderId="43" xfId="0" applyFont="1" applyBorder="1" applyAlignment="1" applyProtection="1">
      <alignment horizontal="center" vertical="center"/>
      <protection locked="0"/>
    </xf>
    <xf numFmtId="0" fontId="194" fillId="27" borderId="63" xfId="0" applyFont="1" applyFill="1" applyBorder="1" applyAlignment="1">
      <alignment horizontal="left" vertical="center" shrinkToFit="1"/>
    </xf>
    <xf numFmtId="0" fontId="194" fillId="27" borderId="52" xfId="0" applyFont="1" applyFill="1" applyBorder="1" applyAlignment="1">
      <alignment horizontal="left" vertical="center" shrinkToFit="1"/>
    </xf>
    <xf numFmtId="0" fontId="191" fillId="27" borderId="51" xfId="0" applyFont="1" applyFill="1" applyBorder="1" applyAlignment="1">
      <alignment horizontal="center" vertical="center" shrinkToFit="1"/>
    </xf>
    <xf numFmtId="0" fontId="191" fillId="27" borderId="10" xfId="0" applyFont="1" applyFill="1" applyBorder="1" applyAlignment="1">
      <alignment horizontal="center" vertical="center" shrinkToFit="1"/>
    </xf>
    <xf numFmtId="0" fontId="191" fillId="54" borderId="46" xfId="0" applyFont="1" applyFill="1" applyBorder="1" applyAlignment="1">
      <alignment horizontal="left" vertical="center" shrinkToFit="1"/>
    </xf>
    <xf numFmtId="0" fontId="191" fillId="54" borderId="47" xfId="0" applyFont="1" applyFill="1" applyBorder="1" applyAlignment="1">
      <alignment horizontal="left" vertical="center" shrinkToFit="1"/>
    </xf>
    <xf numFmtId="0" fontId="191" fillId="54" borderId="10" xfId="0" applyFont="1" applyFill="1" applyBorder="1" applyAlignment="1">
      <alignment horizontal="center" vertical="center"/>
    </xf>
    <xf numFmtId="0" fontId="191" fillId="0" borderId="10" xfId="0" applyFont="1" applyBorder="1" applyAlignment="1" applyProtection="1">
      <alignment horizontal="center" vertical="center"/>
      <protection locked="0"/>
    </xf>
    <xf numFmtId="0" fontId="191" fillId="54" borderId="46" xfId="0" applyFont="1" applyFill="1" applyBorder="1" applyAlignment="1">
      <alignment horizontal="left" vertical="center"/>
    </xf>
    <xf numFmtId="0" fontId="191" fillId="54" borderId="47" xfId="0" applyFont="1" applyFill="1" applyBorder="1" applyAlignment="1">
      <alignment horizontal="left" vertical="center"/>
    </xf>
    <xf numFmtId="0" fontId="191" fillId="24" borderId="25" xfId="0" applyFont="1" applyFill="1" applyBorder="1" applyAlignment="1">
      <alignment horizontal="left" vertical="center" shrinkToFit="1"/>
    </xf>
    <xf numFmtId="0" fontId="191" fillId="24" borderId="17" xfId="0" applyFont="1" applyFill="1" applyBorder="1" applyAlignment="1">
      <alignment horizontal="left" vertical="center" shrinkToFit="1"/>
    </xf>
    <xf numFmtId="49" fontId="45" fillId="38" borderId="63" xfId="0" applyNumberFormat="1" applyFont="1" applyFill="1" applyBorder="1" applyAlignment="1" applyProtection="1">
      <alignment horizontal="left" vertical="center" shrinkToFit="1"/>
      <protection locked="0"/>
    </xf>
    <xf numFmtId="49" fontId="45" fillId="38" borderId="51" xfId="0" applyNumberFormat="1" applyFont="1" applyFill="1" applyBorder="1" applyAlignment="1" applyProtection="1">
      <alignment horizontal="left" vertical="center" shrinkToFit="1"/>
      <protection locked="0"/>
    </xf>
    <xf numFmtId="49" fontId="45" fillId="38" borderId="48" xfId="0" applyNumberFormat="1" applyFont="1" applyFill="1" applyBorder="1" applyAlignment="1" applyProtection="1">
      <alignment horizontal="left" vertical="center" shrinkToFit="1"/>
      <protection locked="0"/>
    </xf>
    <xf numFmtId="49" fontId="45" fillId="38" borderId="49" xfId="0" applyNumberFormat="1" applyFont="1" applyFill="1" applyBorder="1" applyAlignment="1" applyProtection="1">
      <alignment horizontal="left" vertical="center" shrinkToFit="1"/>
      <protection locked="0"/>
    </xf>
    <xf numFmtId="49" fontId="191" fillId="0" borderId="64" xfId="0" applyNumberFormat="1" applyFont="1" applyBorder="1" applyAlignment="1" applyProtection="1">
      <alignment horizontal="left" vertical="center" shrinkToFit="1"/>
      <protection locked="0"/>
    </xf>
    <xf numFmtId="49" fontId="191" fillId="0" borderId="255" xfId="0" applyNumberFormat="1" applyFont="1" applyBorder="1" applyAlignment="1" applyProtection="1">
      <alignment horizontal="left" vertical="center" shrinkToFit="1"/>
      <protection locked="0"/>
    </xf>
    <xf numFmtId="49" fontId="191" fillId="0" borderId="42" xfId="0" applyNumberFormat="1" applyFont="1" applyBorder="1" applyAlignment="1" applyProtection="1">
      <alignment horizontal="left" vertical="center" shrinkToFit="1"/>
      <protection locked="0"/>
    </xf>
    <xf numFmtId="49" fontId="191" fillId="0" borderId="43" xfId="0" applyNumberFormat="1" applyFont="1" applyBorder="1" applyAlignment="1" applyProtection="1">
      <alignment horizontal="left" vertical="center" shrinkToFit="1"/>
      <protection locked="0"/>
    </xf>
    <xf numFmtId="0" fontId="191" fillId="25" borderId="46" xfId="0" applyFont="1" applyFill="1" applyBorder="1" applyAlignment="1">
      <alignment horizontal="left" vertical="center" shrinkToFit="1"/>
    </xf>
    <xf numFmtId="0" fontId="191" fillId="25" borderId="47" xfId="0" applyFont="1" applyFill="1" applyBorder="1" applyAlignment="1">
      <alignment horizontal="left" vertical="center" shrinkToFit="1"/>
    </xf>
    <xf numFmtId="0" fontId="45" fillId="0" borderId="16" xfId="0" applyFont="1" applyBorder="1" applyAlignment="1" applyProtection="1">
      <alignment horizontal="left" vertical="center"/>
      <protection locked="0"/>
    </xf>
    <xf numFmtId="0" fontId="45" fillId="0" borderId="10" xfId="0" applyFont="1" applyBorder="1" applyAlignment="1" applyProtection="1">
      <alignment horizontal="left" vertical="center"/>
      <protection locked="0"/>
    </xf>
    <xf numFmtId="0" fontId="45" fillId="0" borderId="47" xfId="0" applyFont="1" applyBorder="1" applyAlignment="1" applyProtection="1">
      <alignment horizontal="left" vertical="center"/>
      <protection locked="0"/>
    </xf>
    <xf numFmtId="0" fontId="45" fillId="0" borderId="46" xfId="0" applyFont="1" applyBorder="1" applyAlignment="1" applyProtection="1">
      <alignment horizontal="left" vertical="center"/>
      <protection locked="0"/>
    </xf>
    <xf numFmtId="0" fontId="45" fillId="0" borderId="51" xfId="0" applyFont="1" applyBorder="1" applyAlignment="1" applyProtection="1">
      <alignment horizontal="left" vertical="center"/>
      <protection locked="0"/>
    </xf>
    <xf numFmtId="0" fontId="45" fillId="0" borderId="52" xfId="0" applyFont="1" applyBorder="1" applyAlignment="1" applyProtection="1">
      <alignment horizontal="left" vertical="center"/>
      <protection locked="0"/>
    </xf>
    <xf numFmtId="0" fontId="191" fillId="26" borderId="37" xfId="0" applyFont="1" applyFill="1" applyBorder="1" applyAlignment="1">
      <alignment horizontal="left" vertical="center" wrapText="1" shrinkToFit="1"/>
    </xf>
    <xf numFmtId="0" fontId="191" fillId="26" borderId="253" xfId="0" applyFont="1" applyFill="1" applyBorder="1" applyAlignment="1">
      <alignment horizontal="left" vertical="center" shrinkToFit="1"/>
    </xf>
    <xf numFmtId="0" fontId="191" fillId="26" borderId="28" xfId="0" applyFont="1" applyFill="1" applyBorder="1" applyAlignment="1">
      <alignment horizontal="left" vertical="center" shrinkToFit="1"/>
    </xf>
    <xf numFmtId="0" fontId="191" fillId="26" borderId="13" xfId="0" applyFont="1" applyFill="1" applyBorder="1" applyAlignment="1">
      <alignment horizontal="left" vertical="center" shrinkToFit="1"/>
    </xf>
    <xf numFmtId="0" fontId="45" fillId="0" borderId="14" xfId="0" applyFont="1" applyBorder="1" applyAlignment="1" applyProtection="1">
      <alignment horizontal="left" vertical="center"/>
      <protection locked="0"/>
    </xf>
    <xf numFmtId="0" fontId="45" fillId="0" borderId="15" xfId="0" applyFont="1" applyBorder="1" applyAlignment="1" applyProtection="1">
      <alignment horizontal="left" vertical="center"/>
      <protection locked="0"/>
    </xf>
    <xf numFmtId="0" fontId="45" fillId="0" borderId="12" xfId="0" applyFont="1" applyBorder="1" applyAlignment="1" applyProtection="1">
      <alignment horizontal="left" vertical="center"/>
      <protection locked="0"/>
    </xf>
    <xf numFmtId="0" fontId="45" fillId="0" borderId="13" xfId="0" applyFont="1" applyBorder="1" applyAlignment="1" applyProtection="1">
      <alignment horizontal="left" vertical="center"/>
      <protection locked="0"/>
    </xf>
    <xf numFmtId="0" fontId="45" fillId="0" borderId="255" xfId="0" applyFont="1" applyBorder="1" applyAlignment="1" applyProtection="1">
      <alignment horizontal="left" vertical="center"/>
      <protection locked="0"/>
    </xf>
    <xf numFmtId="0" fontId="191" fillId="24" borderId="37" xfId="0" applyFont="1" applyFill="1" applyBorder="1" applyAlignment="1">
      <alignment horizontal="left" vertical="center" shrinkToFit="1"/>
    </xf>
    <xf numFmtId="0" fontId="191" fillId="24" borderId="253" xfId="0" applyFont="1" applyFill="1" applyBorder="1" applyAlignment="1">
      <alignment horizontal="left" vertical="center" shrinkToFit="1"/>
    </xf>
    <xf numFmtId="0" fontId="191" fillId="24" borderId="28" xfId="0" applyFont="1" applyFill="1" applyBorder="1" applyAlignment="1">
      <alignment horizontal="left" vertical="center" shrinkToFit="1"/>
    </xf>
    <xf numFmtId="0" fontId="191" fillId="24" borderId="13" xfId="0" applyFont="1" applyFill="1" applyBorder="1" applyAlignment="1">
      <alignment horizontal="left" vertical="center" shrinkToFit="1"/>
    </xf>
    <xf numFmtId="0" fontId="191" fillId="31" borderId="78" xfId="0" applyFont="1" applyFill="1" applyBorder="1" applyAlignment="1">
      <alignment horizontal="center" vertical="center"/>
    </xf>
    <xf numFmtId="0" fontId="191" fillId="31" borderId="79" xfId="0" applyFont="1" applyFill="1" applyBorder="1" applyAlignment="1">
      <alignment horizontal="center" vertical="center"/>
    </xf>
    <xf numFmtId="0" fontId="45" fillId="0" borderId="23" xfId="0" applyFont="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0" fontId="45" fillId="0" borderId="16" xfId="0" applyFont="1" applyBorder="1" applyAlignment="1" applyProtection="1">
      <alignment horizontal="center" vertical="center" shrinkToFit="1"/>
      <protection locked="0"/>
    </xf>
    <xf numFmtId="0" fontId="45" fillId="0" borderId="10" xfId="0" applyFont="1" applyBorder="1" applyAlignment="1" applyProtection="1">
      <alignment horizontal="center" vertical="center" shrinkToFit="1"/>
      <protection locked="0"/>
    </xf>
    <xf numFmtId="0" fontId="191" fillId="24" borderId="35" xfId="0" applyFont="1" applyFill="1" applyBorder="1" applyAlignment="1">
      <alignment horizontal="left" vertical="center" shrinkToFit="1"/>
    </xf>
    <xf numFmtId="0" fontId="191" fillId="24" borderId="36" xfId="0" applyFont="1" applyFill="1" applyBorder="1" applyAlignment="1">
      <alignment horizontal="left" vertical="center" shrinkToFit="1"/>
    </xf>
    <xf numFmtId="0" fontId="191" fillId="24" borderId="45" xfId="0" applyFont="1" applyFill="1" applyBorder="1" applyAlignment="1">
      <alignment horizontal="left" vertical="center" shrinkToFit="1"/>
    </xf>
    <xf numFmtId="0" fontId="191" fillId="0" borderId="14" xfId="0" applyFont="1" applyBorder="1" applyAlignment="1" applyProtection="1">
      <alignment horizontal="center" vertical="center" shrinkToFit="1"/>
      <protection locked="0"/>
    </xf>
    <xf numFmtId="0" fontId="191" fillId="0" borderId="16" xfId="0" applyFont="1" applyBorder="1" applyAlignment="1" applyProtection="1">
      <alignment horizontal="center" vertical="center" shrinkToFit="1"/>
      <protection locked="0"/>
    </xf>
    <xf numFmtId="0" fontId="191" fillId="0" borderId="32" xfId="0" applyFont="1" applyBorder="1" applyAlignment="1" applyProtection="1">
      <alignment horizontal="center" vertical="center" shrinkToFit="1"/>
      <protection locked="0"/>
    </xf>
    <xf numFmtId="0" fontId="191" fillId="0" borderId="31" xfId="0" applyFont="1" applyBorder="1" applyAlignment="1" applyProtection="1">
      <alignment horizontal="center" vertical="center" shrinkToFit="1"/>
      <protection locked="0"/>
    </xf>
    <xf numFmtId="0" fontId="191" fillId="24" borderId="61" xfId="0" applyFont="1" applyFill="1" applyBorder="1" applyAlignment="1">
      <alignment horizontal="left" vertical="center" shrinkToFit="1"/>
    </xf>
    <xf numFmtId="0" fontId="191" fillId="24" borderId="68" xfId="0" applyFont="1" applyFill="1" applyBorder="1" applyAlignment="1">
      <alignment horizontal="left" vertical="center" shrinkToFit="1"/>
    </xf>
    <xf numFmtId="0" fontId="191" fillId="24" borderId="62" xfId="0" applyFont="1" applyFill="1" applyBorder="1" applyAlignment="1">
      <alignment horizontal="left" vertical="center" shrinkToFit="1"/>
    </xf>
    <xf numFmtId="0" fontId="191" fillId="24" borderId="46" xfId="0" applyFont="1" applyFill="1" applyBorder="1" applyAlignment="1">
      <alignment horizontal="left" vertical="center" shrinkToFit="1"/>
    </xf>
    <xf numFmtId="0" fontId="191" fillId="24" borderId="47" xfId="0" applyFont="1" applyFill="1" applyBorder="1" applyAlignment="1">
      <alignment horizontal="left" vertical="center" shrinkToFit="1"/>
    </xf>
    <xf numFmtId="0" fontId="191" fillId="24" borderId="69" xfId="0" applyFont="1" applyFill="1" applyBorder="1" applyAlignment="1">
      <alignment horizontal="left" vertical="center" shrinkToFit="1"/>
    </xf>
    <xf numFmtId="0" fontId="191" fillId="24" borderId="22" xfId="0" applyFont="1" applyFill="1" applyBorder="1" applyAlignment="1">
      <alignment horizontal="left" vertical="center" shrinkToFit="1"/>
    </xf>
    <xf numFmtId="0" fontId="191" fillId="24" borderId="34" xfId="0" applyFont="1" applyFill="1" applyBorder="1" applyAlignment="1">
      <alignment horizontal="left" vertical="center" shrinkToFit="1"/>
    </xf>
    <xf numFmtId="0" fontId="191" fillId="24" borderId="12" xfId="0" applyFont="1" applyFill="1" applyBorder="1" applyAlignment="1">
      <alignment horizontal="left" vertical="center" shrinkToFit="1"/>
    </xf>
    <xf numFmtId="0" fontId="191" fillId="28" borderId="10" xfId="0" applyFont="1" applyFill="1" applyBorder="1" applyAlignment="1">
      <alignment horizontal="center" vertical="center" shrinkToFit="1"/>
    </xf>
    <xf numFmtId="0" fontId="191" fillId="30" borderId="51" xfId="0" applyFont="1" applyFill="1" applyBorder="1" applyAlignment="1">
      <alignment horizontal="left" vertical="center" shrinkToFit="1"/>
    </xf>
    <xf numFmtId="0" fontId="191" fillId="30" borderId="10" xfId="0" applyFont="1" applyFill="1" applyBorder="1" applyAlignment="1">
      <alignment horizontal="left" vertical="center" shrinkToFit="1"/>
    </xf>
    <xf numFmtId="0" fontId="45" fillId="38" borderId="69" xfId="0" applyFont="1" applyFill="1" applyBorder="1" applyAlignment="1" applyProtection="1">
      <alignment horizontal="left" vertical="center"/>
      <protection locked="0"/>
    </xf>
    <xf numFmtId="0" fontId="45" fillId="38" borderId="22" xfId="0" applyFont="1" applyFill="1" applyBorder="1" applyAlignment="1" applyProtection="1">
      <alignment horizontal="left" vertical="center"/>
      <protection locked="0"/>
    </xf>
    <xf numFmtId="0" fontId="45" fillId="38" borderId="34" xfId="0" applyFont="1" applyFill="1" applyBorder="1" applyAlignment="1" applyProtection="1">
      <alignment horizontal="left" vertical="center"/>
      <protection locked="0"/>
    </xf>
    <xf numFmtId="0" fontId="45" fillId="38" borderId="84" xfId="0" applyFont="1" applyFill="1" applyBorder="1" applyAlignment="1" applyProtection="1">
      <alignment horizontal="left" vertical="center"/>
      <protection locked="0"/>
    </xf>
    <xf numFmtId="0" fontId="45" fillId="38" borderId="20" xfId="0" applyFont="1" applyFill="1" applyBorder="1" applyAlignment="1" applyProtection="1">
      <alignment horizontal="left" vertical="center"/>
      <protection locked="0"/>
    </xf>
    <xf numFmtId="0" fontId="45" fillId="38" borderId="21" xfId="0" applyFont="1" applyFill="1" applyBorder="1" applyAlignment="1" applyProtection="1">
      <alignment horizontal="left" vertical="center"/>
      <protection locked="0"/>
    </xf>
    <xf numFmtId="0" fontId="191" fillId="28" borderId="255" xfId="0" applyFont="1" applyFill="1" applyBorder="1" applyAlignment="1">
      <alignment horizontal="center" vertical="center" shrinkToFit="1"/>
    </xf>
    <xf numFmtId="0" fontId="191" fillId="28" borderId="80" xfId="0" applyFont="1" applyFill="1" applyBorder="1" applyAlignment="1">
      <alignment horizontal="center" vertical="center" shrinkToFit="1"/>
    </xf>
    <xf numFmtId="0" fontId="191" fillId="0" borderId="44" xfId="0" applyFont="1" applyBorder="1" applyAlignment="1" applyProtection="1">
      <alignment horizontal="center" vertical="center"/>
      <protection locked="0"/>
    </xf>
    <xf numFmtId="0" fontId="191" fillId="0" borderId="79" xfId="0" applyFont="1" applyBorder="1" applyAlignment="1" applyProtection="1">
      <alignment horizontal="center" vertical="center"/>
      <protection locked="0"/>
    </xf>
    <xf numFmtId="0" fontId="191" fillId="0" borderId="61" xfId="0" applyFont="1" applyBorder="1" applyAlignment="1" applyProtection="1">
      <alignment horizontal="left" vertical="center"/>
      <protection locked="0"/>
    </xf>
    <xf numFmtId="0" fontId="191" fillId="0" borderId="68" xfId="0" applyFont="1" applyBorder="1" applyAlignment="1" applyProtection="1">
      <alignment horizontal="left" vertical="center"/>
      <protection locked="0"/>
    </xf>
    <xf numFmtId="0" fontId="191" fillId="0" borderId="62" xfId="0" applyFont="1" applyBorder="1" applyAlignment="1" applyProtection="1">
      <alignment horizontal="left" vertical="center"/>
      <protection locked="0"/>
    </xf>
    <xf numFmtId="0" fontId="194" fillId="28" borderId="16" xfId="0" applyFont="1" applyFill="1" applyBorder="1" applyAlignment="1">
      <alignment horizontal="left" vertical="center" shrinkToFit="1"/>
    </xf>
    <xf numFmtId="0" fontId="194" fillId="28" borderId="14" xfId="0" applyFont="1" applyFill="1" applyBorder="1" applyAlignment="1">
      <alignment horizontal="left" vertical="center" shrinkToFit="1"/>
    </xf>
    <xf numFmtId="0" fontId="191" fillId="27" borderId="41" xfId="0" applyFont="1" applyFill="1" applyBorder="1" applyAlignment="1" applyProtection="1">
      <alignment horizontal="left" vertical="center" shrinkToFit="1"/>
      <protection locked="0"/>
    </xf>
    <xf numFmtId="0" fontId="191" fillId="27" borderId="43" xfId="0" applyFont="1" applyFill="1" applyBorder="1" applyAlignment="1" applyProtection="1">
      <alignment horizontal="left" vertical="center" shrinkToFit="1"/>
      <protection locked="0"/>
    </xf>
    <xf numFmtId="0" fontId="191" fillId="0" borderId="179" xfId="0" applyFont="1" applyBorder="1" applyAlignment="1" applyProtection="1">
      <alignment horizontal="center" vertical="center" shrinkToFit="1"/>
      <protection locked="0"/>
    </xf>
    <xf numFmtId="0" fontId="191" fillId="0" borderId="78" xfId="0" applyFont="1" applyBorder="1" applyAlignment="1" applyProtection="1">
      <alignment horizontal="center" vertical="center" shrinkToFit="1"/>
      <protection locked="0"/>
    </xf>
    <xf numFmtId="0" fontId="191" fillId="0" borderId="79" xfId="0" applyFont="1" applyBorder="1" applyAlignment="1" applyProtection="1">
      <alignment horizontal="center" vertical="center" shrinkToFit="1"/>
      <protection locked="0"/>
    </xf>
    <xf numFmtId="0" fontId="191" fillId="0" borderId="64" xfId="0" applyFont="1" applyBorder="1" applyAlignment="1" applyProtection="1">
      <alignment horizontal="right" vertical="center" shrinkToFit="1"/>
      <protection locked="0"/>
    </xf>
    <xf numFmtId="0" fontId="191" fillId="0" borderId="255" xfId="0" applyFont="1" applyBorder="1" applyAlignment="1" applyProtection="1">
      <alignment horizontal="right" vertical="center" shrinkToFit="1"/>
      <protection locked="0"/>
    </xf>
    <xf numFmtId="0" fontId="194" fillId="28" borderId="10" xfId="0" applyFont="1" applyFill="1" applyBorder="1" applyAlignment="1">
      <alignment horizontal="left" vertical="center" shrinkToFit="1"/>
    </xf>
    <xf numFmtId="0" fontId="192" fillId="0" borderId="0" xfId="0" applyFont="1" applyAlignment="1">
      <alignment horizontal="left" vertical="center" shrinkToFit="1"/>
    </xf>
    <xf numFmtId="0" fontId="191" fillId="40" borderId="61" xfId="0" applyFont="1" applyFill="1" applyBorder="1" applyAlignment="1">
      <alignment horizontal="center" vertical="center" shrinkToFit="1"/>
    </xf>
    <xf numFmtId="0" fontId="191" fillId="40" borderId="68" xfId="0" applyFont="1" applyFill="1" applyBorder="1" applyAlignment="1">
      <alignment horizontal="center" vertical="center" shrinkToFit="1"/>
    </xf>
    <xf numFmtId="0" fontId="191" fillId="24" borderId="50" xfId="0" applyFont="1" applyFill="1" applyBorder="1" applyAlignment="1">
      <alignment horizontal="left" vertical="center" shrinkToFit="1"/>
    </xf>
    <xf numFmtId="0" fontId="191" fillId="24" borderId="49" xfId="0" applyFont="1" applyFill="1" applyBorder="1" applyAlignment="1">
      <alignment horizontal="left" vertical="center" shrinkToFit="1"/>
    </xf>
    <xf numFmtId="0" fontId="45" fillId="0" borderId="67" xfId="0" applyFont="1" applyBorder="1" applyAlignment="1" applyProtection="1">
      <alignment horizontal="left" vertical="center"/>
      <protection locked="0"/>
    </xf>
    <xf numFmtId="0" fontId="45" fillId="0" borderId="48" xfId="0" applyFont="1" applyBorder="1" applyAlignment="1" applyProtection="1">
      <alignment horizontal="left" vertical="center"/>
      <protection locked="0"/>
    </xf>
    <xf numFmtId="0" fontId="45" fillId="0" borderId="49" xfId="0" applyFont="1" applyBorder="1" applyAlignment="1" applyProtection="1">
      <alignment horizontal="left" vertical="center"/>
      <protection locked="0"/>
    </xf>
    <xf numFmtId="0" fontId="191" fillId="0" borderId="32" xfId="0" applyFont="1" applyBorder="1" applyAlignment="1" applyProtection="1">
      <alignment horizontal="right" vertical="center" shrinkToFit="1"/>
      <protection locked="0"/>
    </xf>
    <xf numFmtId="0" fontId="191" fillId="0" borderId="31" xfId="0" applyFont="1" applyBorder="1" applyAlignment="1" applyProtection="1">
      <alignment horizontal="right" vertical="center" shrinkToFit="1"/>
      <protection locked="0"/>
    </xf>
    <xf numFmtId="0" fontId="191" fillId="0" borderId="21" xfId="0" applyFont="1" applyBorder="1" applyAlignment="1" applyProtection="1">
      <alignment horizontal="right" vertical="center" shrinkToFit="1"/>
      <protection locked="0"/>
    </xf>
    <xf numFmtId="0" fontId="138" fillId="0" borderId="0" xfId="0" applyFont="1" applyAlignment="1">
      <alignment horizontal="center" vertical="center"/>
    </xf>
    <xf numFmtId="0" fontId="133" fillId="46" borderId="0" xfId="0" applyFont="1" applyFill="1" applyAlignment="1">
      <alignment horizontal="center" vertical="center" shrinkToFit="1"/>
    </xf>
    <xf numFmtId="0" fontId="141" fillId="0" borderId="0" xfId="0" applyFont="1" applyAlignment="1">
      <alignment horizontal="center" vertical="center"/>
    </xf>
    <xf numFmtId="0" fontId="18" fillId="0" borderId="0" xfId="0" applyFont="1" applyAlignment="1">
      <alignment horizontal="left" vertical="top" wrapText="1"/>
    </xf>
    <xf numFmtId="0" fontId="54" fillId="0" borderId="0" xfId="0" applyFont="1" applyAlignment="1">
      <alignment horizontal="left" vertical="top" wrapText="1"/>
    </xf>
    <xf numFmtId="49" fontId="54" fillId="0" borderId="0" xfId="0" applyNumberFormat="1" applyFont="1" applyAlignment="1">
      <alignment horizontal="left" vertical="top" wrapText="1"/>
    </xf>
    <xf numFmtId="0" fontId="18" fillId="0" borderId="0" xfId="0" applyFont="1" applyAlignment="1">
      <alignment horizontal="right" vertical="top"/>
    </xf>
    <xf numFmtId="0" fontId="18" fillId="0" borderId="0" xfId="0" quotePrefix="1" applyFont="1" applyAlignment="1">
      <alignment horizontal="right" vertical="top"/>
    </xf>
    <xf numFmtId="0" fontId="54" fillId="0" borderId="0" xfId="0" applyFont="1" applyAlignment="1">
      <alignment horizontal="left" vertical="top"/>
    </xf>
    <xf numFmtId="0" fontId="18" fillId="0" borderId="0" xfId="0" quotePrefix="1" applyFont="1" applyAlignment="1">
      <alignment horizontal="left" vertical="top"/>
    </xf>
    <xf numFmtId="0" fontId="56" fillId="0" borderId="0" xfId="0" applyFont="1" applyAlignment="1">
      <alignment horizontal="center" vertical="top"/>
    </xf>
    <xf numFmtId="0" fontId="18" fillId="0" borderId="12" xfId="0" applyFont="1" applyBorder="1" applyAlignment="1" applyProtection="1">
      <alignment horizontal="right" vertical="top" wrapText="1"/>
      <protection locked="0"/>
    </xf>
    <xf numFmtId="0" fontId="18" fillId="0" borderId="0" xfId="0" applyFont="1" applyAlignment="1">
      <alignment horizontal="center" vertical="top"/>
    </xf>
    <xf numFmtId="0" fontId="18" fillId="0" borderId="0" xfId="0" quotePrefix="1" applyFont="1" applyAlignment="1">
      <alignment horizontal="left" vertical="top" wrapText="1"/>
    </xf>
    <xf numFmtId="0" fontId="18" fillId="0" borderId="0" xfId="0" applyFont="1" applyAlignment="1">
      <alignment horizontal="right" vertical="top" wrapText="1"/>
    </xf>
    <xf numFmtId="0" fontId="129" fillId="0" borderId="0" xfId="0" applyFont="1" applyAlignment="1">
      <alignment horizontal="left" vertical="top" shrinkToFit="1"/>
    </xf>
    <xf numFmtId="0" fontId="129" fillId="0" borderId="0" xfId="0" applyFont="1" applyAlignment="1">
      <alignment horizontal="left" vertical="top" wrapText="1"/>
    </xf>
    <xf numFmtId="0" fontId="139" fillId="0" borderId="0" xfId="0" applyFont="1" applyAlignment="1">
      <alignment horizontal="center" vertical="center"/>
    </xf>
    <xf numFmtId="0" fontId="18" fillId="0" borderId="10" xfId="0" applyFont="1" applyBorder="1" applyAlignment="1">
      <alignment horizontal="left" vertical="top"/>
    </xf>
    <xf numFmtId="0" fontId="54" fillId="0" borderId="90" xfId="0" applyFont="1" applyBorder="1" applyAlignment="1">
      <alignment horizontal="left" vertical="center"/>
    </xf>
    <xf numFmtId="0" fontId="54" fillId="0" borderId="91" xfId="0" applyFont="1" applyBorder="1" applyAlignment="1">
      <alignment horizontal="left" vertical="center"/>
    </xf>
    <xf numFmtId="0" fontId="54" fillId="0" borderId="92" xfId="0" applyFont="1" applyBorder="1" applyAlignment="1">
      <alignment horizontal="left" vertical="center"/>
    </xf>
    <xf numFmtId="0" fontId="54" fillId="0" borderId="89" xfId="0" applyFont="1" applyBorder="1" applyAlignment="1">
      <alignment horizontal="center" vertical="center" wrapText="1"/>
    </xf>
    <xf numFmtId="0" fontId="54" fillId="0" borderId="72" xfId="0" applyFont="1" applyBorder="1" applyAlignment="1">
      <alignment horizontal="left" vertical="center"/>
    </xf>
    <xf numFmtId="0" fontId="54" fillId="0" borderId="70" xfId="0" applyFont="1" applyBorder="1" applyAlignment="1">
      <alignment horizontal="left" vertical="center"/>
    </xf>
    <xf numFmtId="0" fontId="54" fillId="0" borderId="71" xfId="0" applyFont="1" applyBorder="1" applyAlignment="1">
      <alignment horizontal="left" vertical="center"/>
    </xf>
    <xf numFmtId="0" fontId="54" fillId="0" borderId="257" xfId="0" applyFont="1" applyBorder="1" applyAlignment="1">
      <alignment horizontal="left" vertical="center" wrapText="1"/>
    </xf>
    <xf numFmtId="0" fontId="243" fillId="0" borderId="257" xfId="0" applyFont="1" applyBorder="1" applyAlignment="1">
      <alignment horizontal="left" vertical="center" wrapText="1"/>
    </xf>
    <xf numFmtId="0" fontId="243" fillId="0" borderId="254" xfId="0" applyFont="1" applyBorder="1" applyAlignment="1">
      <alignment horizontal="left" vertical="center" wrapText="1"/>
    </xf>
    <xf numFmtId="0" fontId="243" fillId="0" borderId="0" xfId="0" applyFont="1" applyAlignment="1">
      <alignment horizontal="left" vertical="center" wrapText="1"/>
    </xf>
    <xf numFmtId="0" fontId="243" fillId="0" borderId="24" xfId="0" applyFont="1" applyBorder="1" applyAlignment="1">
      <alignment horizontal="left" vertical="center" wrapText="1"/>
    </xf>
    <xf numFmtId="0" fontId="243" fillId="0" borderId="12" xfId="0" applyFont="1" applyBorder="1" applyAlignment="1">
      <alignment horizontal="left" vertical="center" wrapText="1"/>
    </xf>
    <xf numFmtId="0" fontId="243" fillId="0" borderId="18" xfId="0" applyFont="1" applyBorder="1" applyAlignment="1">
      <alignment horizontal="left" vertical="center" wrapText="1"/>
    </xf>
    <xf numFmtId="0" fontId="54" fillId="0" borderId="87" xfId="0" applyFont="1" applyBorder="1" applyAlignment="1">
      <alignment horizontal="center" vertical="center" wrapText="1"/>
    </xf>
    <xf numFmtId="0" fontId="54" fillId="0" borderId="88" xfId="0" applyFont="1" applyBorder="1" applyAlignment="1">
      <alignment horizontal="center" vertical="center" wrapText="1"/>
    </xf>
    <xf numFmtId="0" fontId="54" fillId="0" borderId="53" xfId="0" applyFont="1" applyBorder="1" applyAlignment="1">
      <alignment horizontal="left" vertical="center" shrinkToFit="1"/>
    </xf>
    <xf numFmtId="0" fontId="54" fillId="0" borderId="59" xfId="0" applyFont="1" applyBorder="1" applyAlignment="1">
      <alignment horizontal="left" vertical="center" shrinkToFit="1"/>
    </xf>
    <xf numFmtId="0" fontId="54" fillId="0" borderId="60" xfId="0" applyFont="1" applyBorder="1" applyAlignment="1">
      <alignment horizontal="left" vertical="center" shrinkToFit="1"/>
    </xf>
    <xf numFmtId="0" fontId="54" fillId="0" borderId="53" xfId="0" applyFont="1" applyBorder="1" applyAlignment="1">
      <alignment horizontal="center" vertical="center" wrapText="1"/>
    </xf>
    <xf numFmtId="0" fontId="54" fillId="0" borderId="59" xfId="0" applyFont="1" applyBorder="1" applyAlignment="1">
      <alignment horizontal="center" vertical="center" wrapText="1"/>
    </xf>
    <xf numFmtId="0" fontId="54" fillId="0" borderId="60" xfId="0" applyFont="1" applyBorder="1" applyAlignment="1">
      <alignment horizontal="center" vertical="center" wrapText="1"/>
    </xf>
    <xf numFmtId="0" fontId="54" fillId="0" borderId="91" xfId="0" applyFont="1" applyBorder="1" applyAlignment="1">
      <alignment horizontal="distributed" vertical="center" wrapText="1"/>
    </xf>
    <xf numFmtId="0" fontId="54" fillId="0" borderId="92" xfId="0" applyFont="1" applyBorder="1" applyAlignment="1">
      <alignment horizontal="distributed" vertical="center" wrapText="1"/>
    </xf>
    <xf numFmtId="0" fontId="54" fillId="0" borderId="88" xfId="0" applyFont="1" applyBorder="1" applyAlignment="1">
      <alignment horizontal="left" vertical="top"/>
    </xf>
    <xf numFmtId="0" fontId="54" fillId="0" borderId="70" xfId="0" applyFont="1" applyBorder="1" applyAlignment="1">
      <alignment horizontal="distributed" vertical="center" wrapText="1"/>
    </xf>
    <xf numFmtId="0" fontId="54" fillId="0" borderId="71" xfId="0" applyFont="1" applyBorder="1" applyAlignment="1">
      <alignment horizontal="distributed" vertical="center" wrapText="1"/>
    </xf>
    <xf numFmtId="0" fontId="54" fillId="0" borderId="89" xfId="0" applyFont="1" applyBorder="1" applyAlignment="1">
      <alignment horizontal="left" vertical="top"/>
    </xf>
    <xf numFmtId="0" fontId="54" fillId="0" borderId="10" xfId="0" applyFont="1" applyBorder="1" applyAlignment="1">
      <alignment horizontal="center" vertical="center" wrapText="1"/>
    </xf>
    <xf numFmtId="49" fontId="54" fillId="0" borderId="10" xfId="0" applyNumberFormat="1" applyFont="1" applyBorder="1" applyAlignment="1">
      <alignment horizontal="left" vertical="center" wrapText="1"/>
    </xf>
    <xf numFmtId="49" fontId="54" fillId="0" borderId="256" xfId="0" applyNumberFormat="1" applyFont="1" applyBorder="1" applyAlignment="1">
      <alignment horizontal="left" vertical="center" wrapText="1" indent="1"/>
    </xf>
    <xf numFmtId="49" fontId="54" fillId="0" borderId="257" xfId="0" applyNumberFormat="1" applyFont="1" applyBorder="1" applyAlignment="1">
      <alignment horizontal="left" vertical="center" wrapText="1" indent="1"/>
    </xf>
    <xf numFmtId="0" fontId="54" fillId="0" borderId="0" xfId="0" applyFont="1" applyAlignment="1">
      <alignment horizontal="center" vertical="top"/>
    </xf>
    <xf numFmtId="0" fontId="18" fillId="0" borderId="12" xfId="0" applyFont="1" applyBorder="1" applyAlignment="1">
      <alignment horizontal="center" vertical="top"/>
    </xf>
    <xf numFmtId="0" fontId="54" fillId="0" borderId="256" xfId="0" applyFont="1" applyBorder="1" applyAlignment="1" applyProtection="1">
      <alignment horizontal="center" vertical="center"/>
      <protection locked="0"/>
    </xf>
    <xf numFmtId="0" fontId="54" fillId="0" borderId="23"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54" fillId="0" borderId="10" xfId="0" applyFont="1" applyBorder="1" applyAlignment="1">
      <alignment horizontal="center" vertical="center"/>
    </xf>
    <xf numFmtId="0" fontId="54" fillId="0" borderId="14" xfId="0" applyFont="1" applyBorder="1" applyAlignment="1">
      <alignment horizontal="left" vertical="top"/>
    </xf>
    <xf numFmtId="0" fontId="54" fillId="0" borderId="15" xfId="0" applyFont="1" applyBorder="1" applyAlignment="1">
      <alignment horizontal="left" vertical="top"/>
    </xf>
    <xf numFmtId="0" fontId="54" fillId="0" borderId="16" xfId="0" applyFont="1" applyBorder="1" applyAlignment="1">
      <alignment horizontal="left" vertical="top"/>
    </xf>
    <xf numFmtId="0" fontId="54" fillId="0" borderId="14" xfId="0" applyFont="1" applyBorder="1" applyAlignment="1">
      <alignment horizontal="left" vertical="center" wrapText="1"/>
    </xf>
    <xf numFmtId="0" fontId="54" fillId="0" borderId="15" xfId="0" applyFont="1" applyBorder="1" applyAlignment="1">
      <alignment horizontal="left" vertical="center" wrapText="1"/>
    </xf>
    <xf numFmtId="0" fontId="54" fillId="0" borderId="16" xfId="0" applyFont="1" applyBorder="1" applyAlignment="1">
      <alignment horizontal="left" vertical="center" wrapText="1"/>
    </xf>
    <xf numFmtId="0" fontId="54" fillId="0" borderId="0" xfId="0" applyFont="1" applyAlignment="1">
      <alignment horizontal="left" vertical="center" wrapText="1"/>
    </xf>
    <xf numFmtId="49" fontId="54" fillId="0" borderId="0" xfId="0" applyNumberFormat="1" applyFont="1" applyAlignment="1">
      <alignment horizontal="left" vertical="top"/>
    </xf>
    <xf numFmtId="0" fontId="18" fillId="0" borderId="0" xfId="0" applyFont="1" applyAlignment="1">
      <alignment horizontal="left" vertical="top" wrapText="1" indent="1"/>
    </xf>
    <xf numFmtId="49" fontId="54" fillId="0" borderId="14" xfId="0" applyNumberFormat="1" applyFont="1" applyBorder="1" applyAlignment="1">
      <alignment horizontal="left" vertical="top" wrapText="1"/>
    </xf>
    <xf numFmtId="49" fontId="54" fillId="0" borderId="15" xfId="0" applyNumberFormat="1" applyFont="1" applyBorder="1" applyAlignment="1">
      <alignment horizontal="left" vertical="top" wrapText="1"/>
    </xf>
    <xf numFmtId="49" fontId="54" fillId="0" borderId="16" xfId="0" applyNumberFormat="1" applyFont="1" applyBorder="1" applyAlignment="1">
      <alignment horizontal="left" vertical="top" wrapText="1"/>
    </xf>
    <xf numFmtId="0" fontId="54" fillId="0" borderId="0" xfId="0" applyFont="1" applyAlignment="1">
      <alignment horizontal="left" vertical="top" wrapText="1" indent="1"/>
    </xf>
    <xf numFmtId="0" fontId="54" fillId="0" borderId="0" xfId="0" applyFont="1" applyAlignment="1">
      <alignment horizontal="center" vertical="center" shrinkToFit="1"/>
    </xf>
    <xf numFmtId="0" fontId="54" fillId="0" borderId="256" xfId="0" applyFont="1" applyBorder="1" applyAlignment="1">
      <alignment horizontal="center" vertical="center"/>
    </xf>
    <xf numFmtId="0" fontId="54" fillId="0" borderId="23" xfId="0" applyFont="1" applyBorder="1" applyAlignment="1">
      <alignment horizontal="center" vertical="center"/>
    </xf>
    <xf numFmtId="0" fontId="54" fillId="0" borderId="11" xfId="0" applyFont="1" applyBorder="1" applyAlignment="1">
      <alignment horizontal="center" vertical="center"/>
    </xf>
    <xf numFmtId="0" fontId="54" fillId="0" borderId="254"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54" fillId="0" borderId="18" xfId="0" applyFont="1" applyBorder="1" applyAlignment="1">
      <alignment horizontal="left" vertical="center" wrapText="1"/>
    </xf>
    <xf numFmtId="0" fontId="54" fillId="0" borderId="87" xfId="0" applyFont="1" applyBorder="1" applyAlignment="1">
      <alignment horizontal="left" vertical="top"/>
    </xf>
    <xf numFmtId="0" fontId="54" fillId="0" borderId="135" xfId="0" applyFont="1" applyBorder="1" applyAlignment="1">
      <alignment horizontal="center" vertical="center" shrinkToFit="1"/>
    </xf>
    <xf numFmtId="0" fontId="54" fillId="0" borderId="110" xfId="0" applyFont="1" applyBorder="1" applyAlignment="1">
      <alignment horizontal="center" vertical="center" shrinkToFit="1"/>
    </xf>
    <xf numFmtId="0" fontId="54" fillId="0" borderId="23" xfId="0" applyFont="1" applyBorder="1" applyAlignment="1">
      <alignment horizontal="center" vertical="center" shrinkToFit="1"/>
    </xf>
    <xf numFmtId="0" fontId="54" fillId="0" borderId="11" xfId="0" applyFont="1" applyBorder="1" applyAlignment="1">
      <alignment horizontal="center" vertical="center" shrinkToFit="1"/>
    </xf>
    <xf numFmtId="0" fontId="54" fillId="0" borderId="12" xfId="0" applyFont="1" applyBorder="1" applyAlignment="1">
      <alignment horizontal="center" vertical="center" shrinkToFit="1"/>
    </xf>
    <xf numFmtId="49" fontId="54" fillId="0" borderId="257" xfId="0" applyNumberFormat="1" applyFont="1" applyBorder="1" applyAlignment="1">
      <alignment horizontal="left" vertical="center" wrapText="1"/>
    </xf>
    <xf numFmtId="49" fontId="54" fillId="0" borderId="254" xfId="0" applyNumberFormat="1" applyFont="1" applyBorder="1" applyAlignment="1">
      <alignment horizontal="left" vertical="center" wrapText="1"/>
    </xf>
    <xf numFmtId="49" fontId="54" fillId="0" borderId="23" xfId="0" applyNumberFormat="1" applyFont="1" applyBorder="1" applyAlignment="1">
      <alignment horizontal="left" vertical="center" wrapText="1" indent="1"/>
    </xf>
    <xf numFmtId="49" fontId="54" fillId="0" borderId="0" xfId="0" applyNumberFormat="1" applyFont="1" applyAlignment="1">
      <alignment horizontal="left" vertical="center" wrapText="1" indent="1"/>
    </xf>
    <xf numFmtId="49" fontId="54" fillId="0" borderId="0" xfId="0" applyNumberFormat="1" applyFont="1" applyAlignment="1">
      <alignment horizontal="left" vertical="center" wrapText="1"/>
    </xf>
    <xf numFmtId="49" fontId="54" fillId="0" borderId="24" xfId="0" applyNumberFormat="1" applyFont="1" applyBorder="1" applyAlignment="1">
      <alignment horizontal="left" vertical="center" wrapText="1"/>
    </xf>
    <xf numFmtId="49" fontId="54" fillId="0" borderId="11" xfId="0" applyNumberFormat="1" applyFont="1" applyBorder="1" applyAlignment="1">
      <alignment horizontal="left" vertical="center" wrapText="1" indent="1"/>
    </xf>
    <xf numFmtId="49" fontId="54" fillId="0" borderId="12" xfId="0" applyNumberFormat="1" applyFont="1" applyBorder="1" applyAlignment="1">
      <alignment horizontal="left" vertical="center" wrapText="1" indent="1"/>
    </xf>
    <xf numFmtId="49" fontId="54" fillId="0" borderId="12" xfId="0" applyNumberFormat="1" applyFont="1" applyBorder="1" applyAlignment="1">
      <alignment horizontal="left" vertical="center" wrapText="1"/>
    </xf>
    <xf numFmtId="49" fontId="54" fillId="0" borderId="18" xfId="0" applyNumberFormat="1" applyFont="1" applyBorder="1" applyAlignment="1">
      <alignment horizontal="left"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49" fontId="18" fillId="0" borderId="14" xfId="0" applyNumberFormat="1" applyFont="1" applyBorder="1" applyAlignment="1">
      <alignment horizontal="left" vertical="center" wrapText="1"/>
    </xf>
    <xf numFmtId="49" fontId="18" fillId="0" borderId="15" xfId="0" applyNumberFormat="1" applyFont="1" applyBorder="1" applyAlignment="1">
      <alignment horizontal="left" vertical="center" wrapText="1"/>
    </xf>
    <xf numFmtId="49" fontId="18" fillId="0" borderId="16" xfId="0" applyNumberFormat="1" applyFont="1" applyBorder="1" applyAlignment="1">
      <alignment horizontal="left" vertical="center" wrapText="1"/>
    </xf>
    <xf numFmtId="0" fontId="54" fillId="0" borderId="10" xfId="0" applyFont="1" applyBorder="1" applyAlignment="1">
      <alignment horizontal="center" vertical="top"/>
    </xf>
    <xf numFmtId="49" fontId="54" fillId="0" borderId="10" xfId="0" applyNumberFormat="1" applyFont="1" applyBorder="1" applyAlignment="1">
      <alignment horizontal="center" vertical="top" wrapText="1"/>
    </xf>
    <xf numFmtId="49" fontId="54" fillId="0" borderId="0" xfId="0" applyNumberFormat="1" applyFont="1" applyAlignment="1">
      <alignment horizontal="left" vertical="center"/>
    </xf>
    <xf numFmtId="0" fontId="54" fillId="0" borderId="257" xfId="0" applyFont="1" applyBorder="1" applyAlignment="1">
      <alignment horizontal="distributed" vertical="center" shrinkToFit="1"/>
    </xf>
    <xf numFmtId="0" fontId="54" fillId="0" borderId="12" xfId="0" applyFont="1" applyBorder="1" applyAlignment="1">
      <alignment horizontal="distributed" vertical="center" shrinkToFit="1"/>
    </xf>
    <xf numFmtId="0" fontId="54" fillId="0" borderId="256" xfId="0" applyFont="1" applyBorder="1" applyAlignment="1">
      <alignment horizontal="left" vertical="top" wrapText="1"/>
    </xf>
    <xf numFmtId="0" fontId="54" fillId="0" borderId="257" xfId="0" applyFont="1" applyBorder="1" applyAlignment="1">
      <alignment horizontal="left" vertical="top" wrapText="1"/>
    </xf>
    <xf numFmtId="0" fontId="54" fillId="0" borderId="254" xfId="0" applyFont="1" applyBorder="1" applyAlignment="1">
      <alignment horizontal="left" vertical="top" wrapText="1"/>
    </xf>
    <xf numFmtId="0" fontId="54" fillId="0" borderId="11" xfId="0" applyFont="1" applyBorder="1" applyAlignment="1">
      <alignment horizontal="left" vertical="top" wrapText="1"/>
    </xf>
    <xf numFmtId="0" fontId="54" fillId="0" borderId="12" xfId="0" applyFont="1" applyBorder="1" applyAlignment="1">
      <alignment horizontal="left" vertical="top" wrapText="1"/>
    </xf>
    <xf numFmtId="0" fontId="54" fillId="0" borderId="18" xfId="0" applyFont="1" applyBorder="1" applyAlignment="1">
      <alignment horizontal="left" vertical="top" wrapText="1"/>
    </xf>
    <xf numFmtId="0" fontId="54" fillId="0" borderId="256" xfId="0" applyFont="1" applyBorder="1" applyAlignment="1">
      <alignment horizontal="left" vertical="top"/>
    </xf>
    <xf numFmtId="0" fontId="54" fillId="0" borderId="257" xfId="0" applyFont="1" applyBorder="1" applyAlignment="1">
      <alignment horizontal="left" vertical="top"/>
    </xf>
    <xf numFmtId="0" fontId="54" fillId="0" borderId="254" xfId="0" applyFont="1" applyBorder="1" applyAlignment="1">
      <alignment horizontal="left" vertical="top"/>
    </xf>
    <xf numFmtId="0" fontId="54" fillId="0" borderId="11" xfId="0" applyFont="1" applyBorder="1" applyAlignment="1">
      <alignment horizontal="left" vertical="top"/>
    </xf>
    <xf numFmtId="0" fontId="54" fillId="0" borderId="12" xfId="0" applyFont="1" applyBorder="1" applyAlignment="1">
      <alignment horizontal="left" vertical="top"/>
    </xf>
    <xf numFmtId="0" fontId="54" fillId="0" borderId="18" xfId="0" applyFont="1" applyBorder="1" applyAlignment="1">
      <alignment horizontal="left" vertical="top"/>
    </xf>
    <xf numFmtId="0" fontId="54" fillId="0" borderId="15" xfId="0" applyFont="1" applyBorder="1" applyAlignment="1">
      <alignment horizontal="distributed" vertical="top"/>
    </xf>
    <xf numFmtId="181" fontId="54" fillId="0" borderId="14" xfId="0" applyNumberFormat="1" applyFont="1" applyBorder="1" applyAlignment="1">
      <alignment horizontal="center" vertical="top"/>
    </xf>
    <xf numFmtId="181" fontId="54" fillId="0" borderId="15" xfId="0" applyNumberFormat="1" applyFont="1" applyBorder="1" applyAlignment="1">
      <alignment horizontal="center" vertical="top"/>
    </xf>
    <xf numFmtId="181" fontId="54" fillId="0" borderId="16" xfId="0" applyNumberFormat="1" applyFont="1" applyBorder="1" applyAlignment="1">
      <alignment horizontal="center" vertical="top"/>
    </xf>
    <xf numFmtId="0" fontId="54" fillId="0" borderId="10" xfId="0" applyFont="1" applyBorder="1" applyAlignment="1">
      <alignment horizontal="center" vertical="center" shrinkToFit="1"/>
    </xf>
    <xf numFmtId="0" fontId="54" fillId="0" borderId="14" xfId="0" applyFont="1" applyBorder="1" applyAlignment="1">
      <alignment horizontal="center" vertical="top"/>
    </xf>
    <xf numFmtId="0" fontId="54" fillId="0" borderId="15" xfId="0" applyFont="1" applyBorder="1" applyAlignment="1">
      <alignment horizontal="center" vertical="top"/>
    </xf>
    <xf numFmtId="0" fontId="54" fillId="0" borderId="16" xfId="0" applyFont="1" applyBorder="1" applyAlignment="1">
      <alignment horizontal="center" vertical="top"/>
    </xf>
    <xf numFmtId="0" fontId="54" fillId="0" borderId="14" xfId="0" applyFont="1" applyBorder="1" applyAlignment="1">
      <alignment horizontal="center" vertical="center"/>
    </xf>
    <xf numFmtId="0" fontId="54" fillId="0" borderId="15" xfId="0" applyFont="1" applyBorder="1" applyAlignment="1">
      <alignment horizontal="center" vertical="center"/>
    </xf>
    <xf numFmtId="0" fontId="54" fillId="0" borderId="16" xfId="0" applyFont="1" applyBorder="1" applyAlignment="1">
      <alignment horizontal="center" vertical="center"/>
    </xf>
    <xf numFmtId="0" fontId="54" fillId="0" borderId="14" xfId="0" applyFont="1" applyBorder="1" applyAlignment="1">
      <alignment horizontal="left" vertical="center" shrinkToFit="1"/>
    </xf>
    <xf numFmtId="0" fontId="54" fillId="0" borderId="15" xfId="0" applyFont="1" applyBorder="1" applyAlignment="1">
      <alignment horizontal="left" vertical="center" shrinkToFit="1"/>
    </xf>
    <xf numFmtId="0" fontId="54" fillId="0" borderId="16" xfId="0" applyFont="1" applyBorder="1" applyAlignment="1">
      <alignment horizontal="left" vertical="center" shrinkToFit="1"/>
    </xf>
    <xf numFmtId="0" fontId="54" fillId="0" borderId="257" xfId="0" applyFont="1" applyBorder="1" applyAlignment="1">
      <alignment horizontal="distributed" vertical="top"/>
    </xf>
    <xf numFmtId="20" fontId="54" fillId="0" borderId="14" xfId="0" applyNumberFormat="1" applyFont="1" applyBorder="1" applyAlignment="1">
      <alignment horizontal="center" vertical="top"/>
    </xf>
    <xf numFmtId="20" fontId="54" fillId="0" borderId="15" xfId="0" applyNumberFormat="1" applyFont="1" applyBorder="1" applyAlignment="1">
      <alignment horizontal="center" vertical="top"/>
    </xf>
    <xf numFmtId="20" fontId="54" fillId="0" borderId="16" xfId="0" applyNumberFormat="1" applyFont="1" applyBorder="1" applyAlignment="1">
      <alignment horizontal="center" vertical="top"/>
    </xf>
    <xf numFmtId="0" fontId="54" fillId="0" borderId="256" xfId="0" applyFont="1" applyBorder="1" applyAlignment="1">
      <alignment horizontal="center" vertical="top" wrapText="1"/>
    </xf>
    <xf numFmtId="0" fontId="54" fillId="0" borderId="257" xfId="0" applyFont="1" applyBorder="1" applyAlignment="1">
      <alignment horizontal="center" vertical="top" wrapText="1"/>
    </xf>
    <xf numFmtId="0" fontId="54" fillId="0" borderId="254"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54" fillId="0" borderId="18" xfId="0" applyFont="1" applyBorder="1" applyAlignment="1">
      <alignment horizontal="center" vertical="top" wrapText="1"/>
    </xf>
    <xf numFmtId="0" fontId="54" fillId="0" borderId="14" xfId="0" applyFont="1" applyBorder="1" applyAlignment="1">
      <alignment horizontal="left" vertical="top" shrinkToFit="1"/>
    </xf>
    <xf numFmtId="0" fontId="54" fillId="0" borderId="15" xfId="0" applyFont="1" applyBorder="1" applyAlignment="1">
      <alignment horizontal="left" vertical="top" shrinkToFit="1"/>
    </xf>
    <xf numFmtId="0" fontId="54" fillId="0" borderId="16" xfId="0" applyFont="1" applyBorder="1" applyAlignment="1">
      <alignment horizontal="left" vertical="top" shrinkToFit="1"/>
    </xf>
    <xf numFmtId="0" fontId="54" fillId="0" borderId="14" xfId="0" applyFont="1" applyBorder="1" applyAlignment="1">
      <alignment horizontal="center" vertical="top" wrapText="1"/>
    </xf>
    <xf numFmtId="0" fontId="54" fillId="0" borderId="15" xfId="0" applyFont="1" applyBorder="1" applyAlignment="1">
      <alignment horizontal="center" vertical="top" wrapText="1"/>
    </xf>
    <xf numFmtId="0" fontId="54" fillId="0" borderId="16" xfId="0" applyFont="1" applyBorder="1" applyAlignment="1">
      <alignment horizontal="center" vertical="top" wrapText="1"/>
    </xf>
    <xf numFmtId="0" fontId="54" fillId="0" borderId="10" xfId="0" applyFont="1" applyBorder="1" applyAlignment="1">
      <alignment horizontal="center" vertical="top" wrapText="1"/>
    </xf>
    <xf numFmtId="0" fontId="241" fillId="0" borderId="255"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11"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85" xfId="0" applyFont="1" applyBorder="1" applyAlignment="1">
      <alignment horizontal="center" vertical="top" wrapText="1"/>
    </xf>
    <xf numFmtId="0" fontId="54" fillId="0" borderId="256" xfId="0" applyFont="1" applyBorder="1" applyAlignment="1">
      <alignment horizontal="center" vertical="center" wrapText="1"/>
    </xf>
    <xf numFmtId="0" fontId="54" fillId="0" borderId="257"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0" xfId="0" applyFont="1" applyAlignment="1">
      <alignment horizontal="center" vertical="center" wrapText="1"/>
    </xf>
    <xf numFmtId="0" fontId="54" fillId="0" borderId="254"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12" xfId="0" applyFont="1" applyBorder="1" applyAlignment="1">
      <alignment horizontal="center" vertical="center" wrapText="1"/>
    </xf>
    <xf numFmtId="0" fontId="240" fillId="0" borderId="0" xfId="0" applyFont="1" applyAlignment="1">
      <alignment horizontal="center" vertical="top"/>
    </xf>
    <xf numFmtId="0" fontId="54" fillId="0" borderId="0" xfId="0" applyFont="1" applyAlignment="1">
      <alignment horizontal="center" vertical="top" wrapText="1"/>
    </xf>
    <xf numFmtId="0" fontId="54" fillId="0" borderId="14" xfId="0" applyFont="1" applyBorder="1" applyAlignment="1">
      <alignment horizontal="left" vertical="center"/>
    </xf>
    <xf numFmtId="0" fontId="54" fillId="0" borderId="15" xfId="0" applyFont="1" applyBorder="1" applyAlignment="1">
      <alignment horizontal="left" vertical="center"/>
    </xf>
    <xf numFmtId="0" fontId="54" fillId="0" borderId="14" xfId="0" applyFont="1" applyBorder="1" applyAlignment="1">
      <alignment horizontal="left" vertical="top" wrapText="1"/>
    </xf>
    <xf numFmtId="0" fontId="54"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257" xfId="0" applyFont="1" applyBorder="1" applyAlignment="1">
      <alignment horizontal="distributed" vertical="distributed"/>
    </xf>
    <xf numFmtId="0" fontId="54" fillId="0" borderId="0" xfId="0" applyFont="1" applyAlignment="1">
      <alignment horizontal="distributed" vertical="distributed"/>
    </xf>
    <xf numFmtId="0" fontId="54" fillId="0" borderId="12" xfId="0" applyFont="1" applyBorder="1" applyAlignment="1">
      <alignment horizontal="distributed" vertical="distributed"/>
    </xf>
    <xf numFmtId="0" fontId="54" fillId="0" borderId="257" xfId="0" applyFont="1" applyBorder="1" applyAlignment="1">
      <alignment horizontal="left" vertical="center" shrinkToFit="1"/>
    </xf>
    <xf numFmtId="0" fontId="54" fillId="0" borderId="254" xfId="0" applyFont="1" applyBorder="1" applyAlignment="1">
      <alignment horizontal="left" vertical="center" shrinkToFit="1"/>
    </xf>
    <xf numFmtId="0" fontId="54" fillId="0" borderId="23" xfId="0" applyFont="1" applyBorder="1" applyAlignment="1">
      <alignment horizontal="center" vertical="top" wrapText="1"/>
    </xf>
    <xf numFmtId="0" fontId="54" fillId="0" borderId="11" xfId="0" applyFont="1" applyBorder="1" applyAlignment="1">
      <alignment horizontal="center" vertical="top" shrinkToFit="1"/>
    </xf>
    <xf numFmtId="0" fontId="54" fillId="0" borderId="12" xfId="0" applyFont="1" applyBorder="1" applyAlignment="1">
      <alignment horizontal="center" vertical="top" shrinkToFit="1"/>
    </xf>
    <xf numFmtId="0" fontId="54" fillId="0" borderId="10" xfId="0" applyFont="1" applyBorder="1" applyAlignment="1">
      <alignment horizontal="left" vertical="center"/>
    </xf>
    <xf numFmtId="0" fontId="54" fillId="0" borderId="10" xfId="0" applyFont="1" applyBorder="1" applyAlignment="1">
      <alignment horizontal="left" vertical="center" wrapText="1"/>
    </xf>
    <xf numFmtId="49" fontId="18" fillId="0" borderId="0" xfId="0" applyNumberFormat="1" applyFont="1" applyAlignment="1">
      <alignment horizontal="left" vertical="top" wrapText="1"/>
    </xf>
    <xf numFmtId="0" fontId="18" fillId="0" borderId="10" xfId="0" applyFont="1" applyBorder="1" applyAlignment="1">
      <alignment horizontal="left" vertical="center"/>
    </xf>
    <xf numFmtId="0" fontId="18" fillId="0" borderId="10" xfId="0" applyFont="1" applyBorder="1" applyAlignment="1">
      <alignment horizontal="center" vertical="center"/>
    </xf>
    <xf numFmtId="0" fontId="166" fillId="0" borderId="0" xfId="0" applyFont="1" applyAlignment="1">
      <alignment horizontal="left" vertical="center" wrapText="1"/>
    </xf>
    <xf numFmtId="49" fontId="128" fillId="0" borderId="0" xfId="0" applyNumberFormat="1" applyFont="1" applyAlignment="1">
      <alignment horizontal="left" vertical="center" wrapText="1"/>
    </xf>
    <xf numFmtId="49" fontId="134" fillId="0" borderId="0" xfId="0" applyNumberFormat="1" applyFont="1" applyAlignment="1">
      <alignment horizontal="left" vertical="center" wrapText="1"/>
    </xf>
    <xf numFmtId="0" fontId="128" fillId="0" borderId="0" xfId="0" applyFont="1" applyAlignment="1">
      <alignment horizontal="left" vertical="center" wrapText="1"/>
    </xf>
    <xf numFmtId="0" fontId="208" fillId="0" borderId="0" xfId="0" applyFont="1" applyAlignment="1">
      <alignment horizontal="left" vertical="center" wrapText="1"/>
    </xf>
    <xf numFmtId="0" fontId="129" fillId="0" borderId="61" xfId="0" applyFont="1" applyBorder="1" applyAlignment="1">
      <alignment horizontal="left" vertical="center" wrapText="1"/>
    </xf>
    <xf numFmtId="0" fontId="129" fillId="0" borderId="68" xfId="0" applyFont="1" applyBorder="1" applyAlignment="1">
      <alignment horizontal="left" vertical="center" wrapText="1"/>
    </xf>
    <xf numFmtId="0" fontId="129" fillId="0" borderId="62" xfId="0" applyFont="1" applyBorder="1" applyAlignment="1">
      <alignment horizontal="left" vertical="center" wrapText="1"/>
    </xf>
    <xf numFmtId="0" fontId="135" fillId="0" borderId="10" xfId="0" applyFont="1" applyBorder="1" applyAlignment="1">
      <alignment horizontal="left" vertical="center" shrinkToFit="1"/>
    </xf>
    <xf numFmtId="0" fontId="188" fillId="0" borderId="10" xfId="0" applyFont="1" applyBorder="1" applyAlignment="1">
      <alignment horizontal="left" vertical="center" shrinkToFit="1"/>
    </xf>
    <xf numFmtId="49" fontId="134" fillId="0" borderId="267" xfId="0" applyNumberFormat="1" applyFont="1" applyBorder="1" applyAlignment="1">
      <alignment horizontal="left" vertical="center" wrapText="1"/>
    </xf>
    <xf numFmtId="0" fontId="135" fillId="0" borderId="87" xfId="0" applyFont="1" applyBorder="1" applyAlignment="1">
      <alignment horizontal="left" vertical="center" shrinkToFit="1"/>
    </xf>
    <xf numFmtId="0" fontId="135" fillId="0" borderId="256" xfId="0" applyFont="1" applyBorder="1" applyAlignment="1">
      <alignment horizontal="center" vertical="center" shrinkToFit="1"/>
    </xf>
    <xf numFmtId="0" fontId="135" fillId="0" borderId="254" xfId="0" applyFont="1" applyBorder="1" applyAlignment="1">
      <alignment horizontal="center" vertical="center" shrinkToFit="1"/>
    </xf>
    <xf numFmtId="0" fontId="135" fillId="0" borderId="23" xfId="0" applyFont="1" applyBorder="1" applyAlignment="1">
      <alignment horizontal="center" vertical="center" shrinkToFit="1"/>
    </xf>
    <xf numFmtId="0" fontId="135" fillId="0" borderId="24" xfId="0" applyFont="1" applyBorder="1" applyAlignment="1">
      <alignment horizontal="center" vertical="center" shrinkToFit="1"/>
    </xf>
    <xf numFmtId="0" fontId="135" fillId="0" borderId="11" xfId="0" applyFont="1" applyBorder="1" applyAlignment="1">
      <alignment horizontal="center" vertical="center" shrinkToFit="1"/>
    </xf>
    <xf numFmtId="0" fontId="135" fillId="0" borderId="18" xfId="0" applyFont="1" applyBorder="1" applyAlignment="1">
      <alignment horizontal="center" vertical="center" shrinkToFit="1"/>
    </xf>
    <xf numFmtId="0" fontId="135" fillId="0" borderId="88" xfId="0" applyFont="1" applyBorder="1" applyAlignment="1">
      <alignment horizontal="left" vertical="center" shrinkToFit="1"/>
    </xf>
    <xf numFmtId="0" fontId="135" fillId="0" borderId="268" xfId="0" applyFont="1" applyBorder="1" applyAlignment="1">
      <alignment horizontal="left" vertical="center" shrinkToFit="1"/>
    </xf>
    <xf numFmtId="0" fontId="128" fillId="0" borderId="0" xfId="0" applyFont="1" applyAlignment="1">
      <alignment horizontal="center" vertical="center" shrinkToFit="1"/>
    </xf>
    <xf numFmtId="0" fontId="191" fillId="0" borderId="90" xfId="0" applyFont="1" applyBorder="1" applyAlignment="1">
      <alignment vertical="center" shrinkToFit="1"/>
    </xf>
    <xf numFmtId="0" fontId="191" fillId="0" borderId="92" xfId="0" applyFont="1" applyBorder="1" applyAlignment="1">
      <alignment vertical="center" shrinkToFit="1"/>
    </xf>
    <xf numFmtId="0" fontId="129" fillId="0" borderId="88" xfId="0" applyFont="1" applyBorder="1" applyAlignment="1">
      <alignment vertical="center" shrinkToFit="1"/>
    </xf>
    <xf numFmtId="0" fontId="135" fillId="0" borderId="10" xfId="0" applyFont="1" applyBorder="1" applyAlignment="1">
      <alignment horizontal="center" vertical="center" shrinkToFit="1"/>
    </xf>
    <xf numFmtId="180" fontId="135" fillId="0" borderId="14" xfId="0" applyNumberFormat="1" applyFont="1" applyBorder="1" applyAlignment="1">
      <alignment horizontal="center" vertical="center" shrinkToFit="1"/>
    </xf>
    <xf numFmtId="180" fontId="135" fillId="0" borderId="15" xfId="0" applyNumberFormat="1" applyFont="1" applyBorder="1" applyAlignment="1">
      <alignment horizontal="center" vertical="center" shrinkToFit="1"/>
    </xf>
    <xf numFmtId="0" fontId="14" fillId="0" borderId="90" xfId="0" applyFont="1" applyBorder="1" applyAlignment="1">
      <alignment vertical="center" shrinkToFit="1"/>
    </xf>
    <xf numFmtId="0" fontId="14" fillId="0" borderId="92" xfId="0" applyFont="1" applyBorder="1" applyAlignment="1">
      <alignment vertical="center" shrinkToFit="1"/>
    </xf>
    <xf numFmtId="0" fontId="129" fillId="0" borderId="90" xfId="0" applyFont="1" applyBorder="1" applyAlignment="1">
      <alignment vertical="center" shrinkToFit="1"/>
    </xf>
    <xf numFmtId="0" fontId="129" fillId="0" borderId="92" xfId="0" applyFont="1" applyBorder="1" applyAlignment="1">
      <alignment vertical="center" shrinkToFit="1"/>
    </xf>
    <xf numFmtId="0" fontId="129" fillId="0" borderId="51" xfId="0" applyFont="1" applyBorder="1" applyAlignment="1">
      <alignment vertical="center" shrinkToFit="1"/>
    </xf>
    <xf numFmtId="0" fontId="14" fillId="0" borderId="256" xfId="0" applyFont="1" applyBorder="1" applyAlignment="1">
      <alignment vertical="center" shrinkToFit="1"/>
    </xf>
    <xf numFmtId="0" fontId="14" fillId="0" borderId="254" xfId="0" applyFont="1" applyBorder="1" applyAlignment="1">
      <alignment vertical="center" shrinkToFit="1"/>
    </xf>
    <xf numFmtId="0" fontId="14" fillId="0" borderId="88" xfId="0" applyFont="1" applyBorder="1" applyAlignment="1">
      <alignment vertical="center" shrinkToFit="1"/>
    </xf>
    <xf numFmtId="0" fontId="144" fillId="0" borderId="12" xfId="0" applyFont="1" applyBorder="1" applyAlignment="1">
      <alignment horizontal="left" vertical="center" shrinkToFit="1"/>
    </xf>
    <xf numFmtId="0" fontId="129" fillId="0" borderId="255" xfId="0" applyFont="1" applyBorder="1" applyAlignment="1">
      <alignment horizontal="center" vertical="center" shrinkToFit="1"/>
    </xf>
    <xf numFmtId="0" fontId="129" fillId="0" borderId="51" xfId="0" applyFont="1" applyBorder="1" applyAlignment="1">
      <alignment horizontal="center" vertical="center" shrinkToFit="1"/>
    </xf>
    <xf numFmtId="0" fontId="135" fillId="0" borderId="257" xfId="0" applyFont="1" applyBorder="1" applyAlignment="1">
      <alignment horizontal="center" vertical="center" shrinkToFit="1"/>
    </xf>
    <xf numFmtId="0" fontId="135" fillId="0" borderId="12" xfId="0" applyFont="1" applyBorder="1" applyAlignment="1">
      <alignment horizontal="center" vertical="center" shrinkToFit="1"/>
    </xf>
    <xf numFmtId="0" fontId="135" fillId="0" borderId="158" xfId="0" applyFont="1" applyBorder="1" applyAlignment="1">
      <alignment horizontal="center" vertical="center" shrinkToFit="1"/>
    </xf>
    <xf numFmtId="0" fontId="135" fillId="0" borderId="159" xfId="0" applyFont="1" applyBorder="1" applyAlignment="1">
      <alignment horizontal="center" vertical="center" shrinkToFit="1"/>
    </xf>
    <xf numFmtId="0" fontId="135" fillId="0" borderId="160" xfId="0" applyFont="1" applyBorder="1" applyAlignment="1">
      <alignment horizontal="center" vertical="center" shrinkToFit="1"/>
    </xf>
    <xf numFmtId="0" fontId="135" fillId="0" borderId="87" xfId="0" applyFont="1" applyBorder="1" applyAlignment="1">
      <alignment horizontal="center" vertical="center" shrinkToFit="1"/>
    </xf>
    <xf numFmtId="0" fontId="135" fillId="0" borderId="88" xfId="0" applyFont="1" applyBorder="1" applyAlignment="1">
      <alignment horizontal="center" vertical="center" shrinkToFit="1"/>
    </xf>
    <xf numFmtId="0" fontId="135" fillId="0" borderId="89" xfId="0" applyFont="1" applyBorder="1" applyAlignment="1">
      <alignment horizontal="center" vertical="center" shrinkToFit="1"/>
    </xf>
    <xf numFmtId="0" fontId="18" fillId="0" borderId="0" xfId="0" applyFont="1" applyAlignment="1">
      <alignment horizontal="left" vertical="top" shrinkToFit="1"/>
    </xf>
    <xf numFmtId="0" fontId="18" fillId="0" borderId="0" xfId="0" applyFont="1" applyAlignment="1">
      <alignment horizontal="left" vertical="center" shrinkToFit="1"/>
    </xf>
    <xf numFmtId="0" fontId="18" fillId="0" borderId="12" xfId="0" applyFont="1" applyBorder="1" applyAlignment="1">
      <alignment horizontal="left" vertical="top" wrapText="1"/>
    </xf>
    <xf numFmtId="49" fontId="18" fillId="0" borderId="12" xfId="0" applyNumberFormat="1" applyFont="1" applyBorder="1" applyAlignment="1">
      <alignment horizontal="left" vertical="top" wrapText="1"/>
    </xf>
    <xf numFmtId="0" fontId="182" fillId="0" borderId="0" xfId="0" applyFont="1" applyAlignment="1">
      <alignment horizontal="left" vertical="top" wrapText="1"/>
    </xf>
    <xf numFmtId="0" fontId="189" fillId="0" borderId="0" xfId="0" applyFont="1" applyAlignment="1">
      <alignment horizontal="left" vertical="top" wrapText="1"/>
    </xf>
    <xf numFmtId="0" fontId="189" fillId="0" borderId="0" xfId="0" applyFont="1" applyAlignment="1">
      <alignment horizontal="left" vertical="top"/>
    </xf>
    <xf numFmtId="49" fontId="182" fillId="0" borderId="0" xfId="0" applyNumberFormat="1" applyFont="1" applyAlignment="1">
      <alignment horizontal="left" vertical="top" wrapText="1"/>
    </xf>
    <xf numFmtId="49" fontId="182" fillId="0" borderId="0" xfId="0" applyNumberFormat="1" applyFont="1" applyAlignment="1">
      <alignment horizontal="right" vertical="top"/>
    </xf>
    <xf numFmtId="0" fontId="182" fillId="0" borderId="0" xfId="0" quotePrefix="1" applyFont="1" applyAlignment="1">
      <alignment horizontal="right" vertical="top"/>
    </xf>
    <xf numFmtId="0" fontId="182" fillId="0" borderId="0" xfId="0" applyFont="1" applyAlignment="1">
      <alignment horizontal="right" vertical="top"/>
    </xf>
    <xf numFmtId="0" fontId="182" fillId="37" borderId="0" xfId="0" applyFont="1" applyFill="1" applyAlignment="1">
      <alignment horizontal="left" vertical="top" wrapText="1"/>
    </xf>
    <xf numFmtId="49" fontId="189" fillId="0" borderId="0" xfId="0" applyNumberFormat="1" applyFont="1" applyAlignment="1">
      <alignment horizontal="left" vertical="top" wrapText="1"/>
    </xf>
    <xf numFmtId="0" fontId="202" fillId="0" borderId="0" xfId="0" applyFont="1" applyAlignment="1">
      <alignment horizontal="center" vertical="top"/>
    </xf>
    <xf numFmtId="0" fontId="200" fillId="0" borderId="0" xfId="0" applyFont="1" applyAlignment="1">
      <alignment horizontal="left" vertical="top" wrapText="1"/>
    </xf>
    <xf numFmtId="0" fontId="182" fillId="0" borderId="0" xfId="0" applyFont="1" applyAlignment="1" applyProtection="1">
      <alignment horizontal="left" vertical="top" wrapText="1"/>
      <protection locked="0"/>
    </xf>
    <xf numFmtId="0" fontId="200" fillId="0" borderId="0" xfId="0" applyFont="1" applyAlignment="1" applyProtection="1">
      <alignment horizontal="left" vertical="top" wrapText="1"/>
      <protection locked="0"/>
    </xf>
    <xf numFmtId="0" fontId="200" fillId="0" borderId="0" xfId="0" applyFont="1" applyAlignment="1">
      <alignment vertical="top"/>
    </xf>
    <xf numFmtId="49" fontId="182" fillId="0" borderId="0" xfId="0" applyNumberFormat="1" applyFont="1" applyAlignment="1">
      <alignment horizontal="right" vertical="top" wrapText="1"/>
    </xf>
    <xf numFmtId="0" fontId="182" fillId="0" borderId="0" xfId="0" applyFont="1" applyAlignment="1">
      <alignment horizontal="center" vertical="top"/>
    </xf>
    <xf numFmtId="0" fontId="188" fillId="0" borderId="10" xfId="0" applyFont="1" applyBorder="1" applyAlignment="1">
      <alignment horizontal="center" vertical="center" wrapText="1"/>
    </xf>
    <xf numFmtId="0" fontId="188" fillId="0" borderId="15" xfId="0" applyFont="1" applyBorder="1" applyAlignment="1">
      <alignment horizontal="left" vertical="center" wrapText="1"/>
    </xf>
    <xf numFmtId="0" fontId="188" fillId="0" borderId="16" xfId="0" applyFont="1" applyBorder="1" applyAlignment="1">
      <alignment horizontal="left" vertical="center" wrapText="1"/>
    </xf>
    <xf numFmtId="0" fontId="182" fillId="0" borderId="0" xfId="0" applyFont="1" applyAlignment="1">
      <alignment horizontal="left" vertical="top" wrapText="1" indent="1"/>
    </xf>
    <xf numFmtId="0" fontId="182" fillId="0" borderId="10" xfId="0" applyFont="1" applyBorder="1" applyAlignment="1">
      <alignment horizontal="center" vertical="center"/>
    </xf>
    <xf numFmtId="0" fontId="182" fillId="0" borderId="15" xfId="0" applyFont="1" applyBorder="1" applyAlignment="1">
      <alignment horizontal="left" vertical="top"/>
    </xf>
    <xf numFmtId="0" fontId="182" fillId="0" borderId="16" xfId="0" applyFont="1" applyBorder="1" applyAlignment="1">
      <alignment horizontal="left" vertical="top"/>
    </xf>
    <xf numFmtId="0" fontId="182" fillId="0" borderId="10" xfId="0" applyFont="1" applyBorder="1" applyAlignment="1">
      <alignment horizontal="center" vertical="center" wrapText="1"/>
    </xf>
    <xf numFmtId="49" fontId="182" fillId="0" borderId="15" xfId="0" applyNumberFormat="1" applyFont="1" applyBorder="1" applyAlignment="1">
      <alignment horizontal="left" vertical="top" wrapText="1"/>
    </xf>
    <xf numFmtId="49" fontId="182" fillId="0" borderId="16" xfId="0" applyNumberFormat="1" applyFont="1" applyBorder="1" applyAlignment="1">
      <alignment horizontal="left" vertical="top" wrapText="1"/>
    </xf>
    <xf numFmtId="0" fontId="188" fillId="0" borderId="16" xfId="0" applyFont="1" applyBorder="1" applyAlignment="1">
      <alignment horizontal="center" vertical="center" wrapText="1"/>
    </xf>
    <xf numFmtId="0" fontId="182" fillId="0" borderId="256" xfId="0" applyFont="1" applyBorder="1" applyAlignment="1">
      <alignment horizontal="center" vertical="center" wrapText="1"/>
    </xf>
    <xf numFmtId="0" fontId="182" fillId="0" borderId="257" xfId="0" applyFont="1" applyBorder="1" applyAlignment="1">
      <alignment horizontal="center" vertical="center" wrapText="1"/>
    </xf>
    <xf numFmtId="0" fontId="182" fillId="0" borderId="23" xfId="0" applyFont="1" applyBorder="1" applyAlignment="1">
      <alignment horizontal="center" vertical="center" wrapText="1"/>
    </xf>
    <xf numFmtId="0" fontId="182" fillId="0" borderId="0" xfId="0" applyFont="1" applyAlignment="1">
      <alignment horizontal="center" vertical="center" wrapText="1"/>
    </xf>
    <xf numFmtId="0" fontId="182" fillId="0" borderId="11" xfId="0" applyFont="1" applyBorder="1" applyAlignment="1">
      <alignment horizontal="center" vertical="center" wrapText="1"/>
    </xf>
    <xf numFmtId="0" fontId="182" fillId="0" borderId="12" xfId="0" applyFont="1" applyBorder="1" applyAlignment="1">
      <alignment horizontal="center" vertical="center" wrapText="1"/>
    </xf>
    <xf numFmtId="0" fontId="182" fillId="0" borderId="256" xfId="0" applyFont="1" applyBorder="1" applyAlignment="1">
      <alignment horizontal="left" vertical="center" wrapText="1"/>
    </xf>
    <xf numFmtId="0" fontId="182" fillId="0" borderId="257" xfId="0" applyFont="1" applyBorder="1" applyAlignment="1">
      <alignment horizontal="left" vertical="center" wrapText="1"/>
    </xf>
    <xf numFmtId="0" fontId="182" fillId="0" borderId="254" xfId="0" applyFont="1" applyBorder="1" applyAlignment="1">
      <alignment horizontal="left" vertical="center" wrapText="1"/>
    </xf>
    <xf numFmtId="0" fontId="182" fillId="0" borderId="23" xfId="0" applyFont="1" applyBorder="1" applyAlignment="1">
      <alignment horizontal="left" vertical="center" wrapText="1"/>
    </xf>
    <xf numFmtId="0" fontId="182" fillId="0" borderId="0" xfId="0" applyFont="1" applyAlignment="1">
      <alignment horizontal="left" vertical="center" wrapText="1"/>
    </xf>
    <xf numFmtId="0" fontId="182" fillId="0" borderId="24" xfId="0" applyFont="1" applyBorder="1" applyAlignment="1">
      <alignment horizontal="left" vertical="center" wrapText="1"/>
    </xf>
    <xf numFmtId="0" fontId="182" fillId="0" borderId="11" xfId="0" applyFont="1" applyBorder="1" applyAlignment="1">
      <alignment horizontal="left" vertical="center" wrapText="1"/>
    </xf>
    <xf numFmtId="0" fontId="182" fillId="0" borderId="12" xfId="0" applyFont="1" applyBorder="1" applyAlignment="1">
      <alignment horizontal="left" vertical="center" wrapText="1"/>
    </xf>
    <xf numFmtId="0" fontId="182" fillId="0" borderId="18" xfId="0" applyFont="1" applyBorder="1" applyAlignment="1">
      <alignment horizontal="left" vertical="center" wrapText="1"/>
    </xf>
    <xf numFmtId="0" fontId="188" fillId="0" borderId="10" xfId="0" applyFont="1" applyBorder="1" applyAlignment="1">
      <alignment horizontal="center" vertical="center"/>
    </xf>
    <xf numFmtId="0" fontId="188" fillId="0" borderId="0" xfId="0" applyFont="1" applyAlignment="1">
      <alignment horizontal="center" vertical="center" shrinkToFit="1"/>
    </xf>
    <xf numFmtId="0" fontId="188" fillId="0" borderId="0" xfId="0" applyFont="1" applyAlignment="1">
      <alignment horizontal="left" vertical="center" wrapText="1"/>
    </xf>
    <xf numFmtId="0" fontId="182" fillId="0" borderId="12" xfId="0" applyFont="1" applyBorder="1" applyAlignment="1">
      <alignment horizontal="center" vertical="top"/>
    </xf>
    <xf numFmtId="0" fontId="182" fillId="0" borderId="256" xfId="0" applyFont="1" applyBorder="1" applyAlignment="1">
      <alignment horizontal="center" vertical="top"/>
    </xf>
    <xf numFmtId="0" fontId="182" fillId="0" borderId="23" xfId="0" applyFont="1" applyBorder="1" applyAlignment="1">
      <alignment horizontal="center" vertical="top"/>
    </xf>
    <xf numFmtId="0" fontId="182" fillId="0" borderId="11" xfId="0" applyFont="1" applyBorder="1" applyAlignment="1">
      <alignment horizontal="center" vertical="top"/>
    </xf>
    <xf numFmtId="0" fontId="188" fillId="0" borderId="87" xfId="0" applyFont="1" applyBorder="1" applyAlignment="1">
      <alignment horizontal="center" vertical="center" wrapText="1"/>
    </xf>
    <xf numFmtId="0" fontId="182" fillId="0" borderId="87" xfId="0" applyFont="1" applyBorder="1" applyAlignment="1">
      <alignment horizontal="left" vertical="top"/>
    </xf>
    <xf numFmtId="0" fontId="188" fillId="0" borderId="88" xfId="0" applyFont="1" applyBorder="1" applyAlignment="1">
      <alignment horizontal="center" vertical="center" wrapText="1"/>
    </xf>
    <xf numFmtId="0" fontId="182" fillId="0" borderId="88" xfId="0" applyFont="1" applyBorder="1" applyAlignment="1">
      <alignment horizontal="left" vertical="top"/>
    </xf>
    <xf numFmtId="0" fontId="188" fillId="0" borderId="91" xfId="0" applyFont="1" applyBorder="1" applyAlignment="1">
      <alignment horizontal="distributed" vertical="center" wrapText="1"/>
    </xf>
    <xf numFmtId="0" fontId="188" fillId="0" borderId="92" xfId="0" applyFont="1" applyBorder="1" applyAlignment="1">
      <alignment horizontal="distributed" vertical="center" wrapText="1"/>
    </xf>
    <xf numFmtId="0" fontId="188" fillId="0" borderId="256" xfId="0" applyFont="1" applyBorder="1" applyAlignment="1">
      <alignment horizontal="center" vertical="center" wrapText="1" shrinkToFit="1"/>
    </xf>
    <xf numFmtId="0" fontId="188" fillId="0" borderId="257" xfId="0" applyFont="1" applyBorder="1" applyAlignment="1">
      <alignment horizontal="center" vertical="center" shrinkToFit="1"/>
    </xf>
    <xf numFmtId="0" fontId="188" fillId="0" borderId="254" xfId="0" applyFont="1" applyBorder="1" applyAlignment="1">
      <alignment horizontal="center" vertical="center" shrinkToFit="1"/>
    </xf>
    <xf numFmtId="0" fontId="188" fillId="0" borderId="23" xfId="0" applyFont="1" applyBorder="1" applyAlignment="1">
      <alignment horizontal="center" vertical="center" wrapText="1" shrinkToFit="1"/>
    </xf>
    <xf numFmtId="0" fontId="188" fillId="0" borderId="24" xfId="0" applyFont="1" applyBorder="1" applyAlignment="1">
      <alignment horizontal="center" vertical="center" shrinkToFit="1"/>
    </xf>
    <xf numFmtId="0" fontId="188" fillId="0" borderId="11" xfId="0" applyFont="1" applyBorder="1" applyAlignment="1">
      <alignment horizontal="center" vertical="center" shrinkToFit="1"/>
    </xf>
    <xf numFmtId="0" fontId="188" fillId="0" borderId="12" xfId="0" applyFont="1" applyBorder="1" applyAlignment="1">
      <alignment horizontal="center" vertical="center" shrinkToFit="1"/>
    </xf>
    <xf numFmtId="0" fontId="188" fillId="0" borderId="18" xfId="0" applyFont="1" applyBorder="1" applyAlignment="1">
      <alignment horizontal="center" vertical="center" shrinkToFit="1"/>
    </xf>
    <xf numFmtId="0" fontId="188" fillId="0" borderId="135" xfId="0" applyFont="1" applyBorder="1" applyAlignment="1">
      <alignment horizontal="center" vertical="center" shrinkToFit="1"/>
    </xf>
    <xf numFmtId="0" fontId="188" fillId="0" borderId="110" xfId="0" applyFont="1" applyBorder="1" applyAlignment="1">
      <alignment horizontal="center" vertical="center" shrinkToFit="1"/>
    </xf>
    <xf numFmtId="0" fontId="188" fillId="0" borderId="23" xfId="0" applyFont="1" applyBorder="1" applyAlignment="1">
      <alignment horizontal="center" vertical="center" shrinkToFit="1"/>
    </xf>
    <xf numFmtId="0" fontId="188" fillId="0" borderId="70" xfId="0" applyFont="1" applyBorder="1" applyAlignment="1">
      <alignment horizontal="distributed" vertical="center" wrapText="1"/>
    </xf>
    <xf numFmtId="0" fontId="188" fillId="0" borderId="71" xfId="0" applyFont="1" applyBorder="1" applyAlignment="1">
      <alignment horizontal="distributed" vertical="center" wrapText="1"/>
    </xf>
    <xf numFmtId="0" fontId="182" fillId="0" borderId="89" xfId="0" applyFont="1" applyBorder="1" applyAlignment="1">
      <alignment horizontal="left" vertical="top"/>
    </xf>
    <xf numFmtId="0" fontId="182" fillId="0" borderId="0" xfId="0" applyFont="1" applyAlignment="1">
      <alignment horizontal="right" vertical="center" indent="1"/>
    </xf>
    <xf numFmtId="0" fontId="182" fillId="0" borderId="12" xfId="0" applyFont="1" applyBorder="1" applyAlignment="1">
      <alignment horizontal="right" vertical="center" indent="1"/>
    </xf>
    <xf numFmtId="0" fontId="182" fillId="0" borderId="254" xfId="0" applyFont="1" applyBorder="1" applyAlignment="1">
      <alignment horizontal="center" vertical="center" wrapText="1"/>
    </xf>
    <xf numFmtId="0" fontId="182" fillId="0" borderId="24" xfId="0" applyFont="1" applyBorder="1" applyAlignment="1">
      <alignment horizontal="center" vertical="center" wrapText="1"/>
    </xf>
    <xf numFmtId="0" fontId="182" fillId="0" borderId="18" xfId="0" applyFont="1" applyBorder="1" applyAlignment="1">
      <alignment horizontal="center" vertical="center" wrapText="1"/>
    </xf>
    <xf numFmtId="0" fontId="182" fillId="0" borderId="10" xfId="0" applyFont="1" applyBorder="1" applyAlignment="1">
      <alignment horizontal="left" vertical="center" wrapText="1"/>
    </xf>
    <xf numFmtId="0" fontId="188" fillId="0" borderId="256" xfId="0" applyFont="1" applyBorder="1" applyAlignment="1">
      <alignment horizontal="center" vertical="center" shrinkToFit="1"/>
    </xf>
    <xf numFmtId="0" fontId="182" fillId="0" borderId="256" xfId="0" applyFont="1" applyBorder="1" applyAlignment="1">
      <alignment horizontal="center" vertical="center"/>
    </xf>
    <xf numFmtId="0" fontId="182" fillId="0" borderId="257" xfId="0" applyFont="1" applyBorder="1" applyAlignment="1">
      <alignment horizontal="center" vertical="center"/>
    </xf>
    <xf numFmtId="0" fontId="182" fillId="0" borderId="11" xfId="0" applyFont="1" applyBorder="1" applyAlignment="1">
      <alignment horizontal="center" vertical="center"/>
    </xf>
    <xf numFmtId="0" fontId="182" fillId="0" borderId="12" xfId="0" applyFont="1" applyBorder="1" applyAlignment="1">
      <alignment horizontal="center" vertical="center"/>
    </xf>
    <xf numFmtId="0" fontId="182" fillId="0" borderId="254" xfId="0" applyFont="1" applyBorder="1" applyAlignment="1">
      <alignment horizontal="center" vertical="center"/>
    </xf>
    <xf numFmtId="0" fontId="182" fillId="0" borderId="18" xfId="0" applyFont="1" applyBorder="1" applyAlignment="1">
      <alignment horizontal="center" vertical="center"/>
    </xf>
    <xf numFmtId="0" fontId="182" fillId="0" borderId="15" xfId="0" applyFont="1" applyBorder="1" applyAlignment="1">
      <alignment horizontal="distributed" vertical="top"/>
    </xf>
    <xf numFmtId="0" fontId="182" fillId="0" borderId="10" xfId="0" applyFont="1" applyBorder="1" applyAlignment="1">
      <alignment horizontal="left" vertical="center"/>
    </xf>
    <xf numFmtId="0" fontId="182" fillId="0" borderId="257" xfId="0" applyFont="1" applyBorder="1" applyAlignment="1">
      <alignment horizontal="distributed" vertical="distributed"/>
    </xf>
    <xf numFmtId="0" fontId="182" fillId="0" borderId="0" xfId="0" applyFont="1" applyAlignment="1">
      <alignment horizontal="distributed" vertical="distributed"/>
    </xf>
    <xf numFmtId="0" fontId="182" fillId="0" borderId="256" xfId="0" applyFont="1" applyBorder="1" applyAlignment="1">
      <alignment horizontal="center" vertical="top" wrapText="1"/>
    </xf>
    <xf numFmtId="0" fontId="182" fillId="0" borderId="257" xfId="0" applyFont="1" applyBorder="1" applyAlignment="1">
      <alignment horizontal="center" vertical="top" wrapText="1"/>
    </xf>
    <xf numFmtId="0" fontId="182" fillId="0" borderId="257" xfId="0" applyFont="1" applyBorder="1" applyAlignment="1">
      <alignment horizontal="left" vertical="center" shrinkToFit="1"/>
    </xf>
    <xf numFmtId="0" fontId="182" fillId="0" borderId="254" xfId="0" applyFont="1" applyBorder="1" applyAlignment="1">
      <alignment horizontal="left" vertical="center" shrinkToFit="1"/>
    </xf>
    <xf numFmtId="0" fontId="182" fillId="0" borderId="23" xfId="0" applyFont="1" applyBorder="1" applyAlignment="1">
      <alignment horizontal="center" vertical="top" wrapText="1"/>
    </xf>
    <xf numFmtId="0" fontId="182" fillId="0" borderId="0" xfId="0" applyFont="1" applyAlignment="1">
      <alignment horizontal="center" vertical="top" wrapText="1"/>
    </xf>
    <xf numFmtId="0" fontId="182" fillId="0" borderId="11" xfId="0" applyFont="1" applyBorder="1" applyAlignment="1">
      <alignment horizontal="center" vertical="top" shrinkToFit="1"/>
    </xf>
    <xf numFmtId="0" fontId="182" fillId="0" borderId="12" xfId="0" applyFont="1" applyBorder="1" applyAlignment="1">
      <alignment horizontal="center" vertical="top" shrinkToFit="1"/>
    </xf>
    <xf numFmtId="49" fontId="182" fillId="0" borderId="0" xfId="0" applyNumberFormat="1" applyFont="1" applyAlignment="1">
      <alignment horizontal="left" vertical="top"/>
    </xf>
    <xf numFmtId="0" fontId="182" fillId="0" borderId="14" xfId="0" applyFont="1" applyBorder="1" applyAlignment="1">
      <alignment horizontal="left" vertical="center"/>
    </xf>
    <xf numFmtId="0" fontId="182" fillId="0" borderId="15" xfId="0" applyFont="1" applyBorder="1" applyAlignment="1">
      <alignment horizontal="left" vertical="center"/>
    </xf>
    <xf numFmtId="0" fontId="182" fillId="0" borderId="14" xfId="0" applyFont="1" applyBorder="1" applyAlignment="1">
      <alignment horizontal="left" vertical="top" wrapText="1"/>
    </xf>
    <xf numFmtId="0" fontId="182" fillId="0" borderId="15" xfId="0" applyFont="1" applyBorder="1" applyAlignment="1">
      <alignment horizontal="left" vertical="top" wrapText="1"/>
    </xf>
    <xf numFmtId="0" fontId="182" fillId="0" borderId="16" xfId="0" applyFont="1" applyBorder="1" applyAlignment="1">
      <alignment horizontal="left" vertical="top" wrapText="1"/>
    </xf>
    <xf numFmtId="0" fontId="182" fillId="0" borderId="12" xfId="0" applyFont="1" applyBorder="1" applyAlignment="1">
      <alignment horizontal="distributed" vertical="distributed"/>
    </xf>
    <xf numFmtId="0" fontId="182" fillId="0" borderId="267" xfId="0" applyFont="1" applyBorder="1" applyAlignment="1">
      <alignment horizontal="distributed" vertical="top"/>
    </xf>
    <xf numFmtId="0" fontId="182" fillId="0" borderId="16" xfId="0" applyFont="1" applyBorder="1" applyAlignment="1">
      <alignment horizontal="center" vertical="top"/>
    </xf>
    <xf numFmtId="0" fontId="182" fillId="0" borderId="10" xfId="0" applyFont="1" applyBorder="1" applyAlignment="1">
      <alignment horizontal="center" vertical="top"/>
    </xf>
    <xf numFmtId="20" fontId="182" fillId="0" borderId="14" xfId="0" applyNumberFormat="1" applyFont="1" applyBorder="1" applyAlignment="1">
      <alignment horizontal="center" vertical="top"/>
    </xf>
    <xf numFmtId="20" fontId="182" fillId="0" borderId="15" xfId="0" applyNumberFormat="1" applyFont="1" applyBorder="1" applyAlignment="1">
      <alignment horizontal="center" vertical="top"/>
    </xf>
    <xf numFmtId="20" fontId="182" fillId="0" borderId="16" xfId="0" applyNumberFormat="1" applyFont="1" applyBorder="1" applyAlignment="1">
      <alignment horizontal="center" vertical="top"/>
    </xf>
    <xf numFmtId="49" fontId="129" fillId="0" borderId="0" xfId="0" applyNumberFormat="1" applyFont="1" applyAlignment="1">
      <alignment horizontal="center" vertical="top" wrapText="1"/>
    </xf>
    <xf numFmtId="0" fontId="129" fillId="0" borderId="12" xfId="0" applyFont="1" applyBorder="1" applyAlignment="1">
      <alignment horizontal="left" vertical="top" wrapText="1"/>
    </xf>
    <xf numFmtId="49" fontId="129" fillId="0" borderId="12" xfId="0" applyNumberFormat="1" applyFont="1" applyBorder="1" applyAlignment="1">
      <alignment horizontal="left" vertical="top" wrapText="1"/>
    </xf>
    <xf numFmtId="0" fontId="129" fillId="0" borderId="0" xfId="0" applyFont="1" applyAlignment="1">
      <alignment horizontal="left" vertical="center" shrinkToFit="1"/>
    </xf>
    <xf numFmtId="0" fontId="125" fillId="27" borderId="256" xfId="43" applyFont="1" applyFill="1" applyBorder="1" applyAlignment="1">
      <alignment horizontal="center" vertical="center" wrapText="1"/>
    </xf>
    <xf numFmtId="0" fontId="125" fillId="27" borderId="257" xfId="43" applyFont="1" applyFill="1" applyBorder="1" applyAlignment="1">
      <alignment horizontal="center" vertical="center" wrapText="1"/>
    </xf>
    <xf numFmtId="0" fontId="125" fillId="27" borderId="254" xfId="43" applyFont="1" applyFill="1" applyBorder="1" applyAlignment="1">
      <alignment horizontal="center" vertical="center" wrapText="1"/>
    </xf>
    <xf numFmtId="0" fontId="125" fillId="27" borderId="11" xfId="43" applyFont="1" applyFill="1" applyBorder="1" applyAlignment="1">
      <alignment horizontal="center" vertical="center" wrapText="1"/>
    </xf>
    <xf numFmtId="0" fontId="125" fillId="27" borderId="12" xfId="43" applyFont="1" applyFill="1" applyBorder="1" applyAlignment="1">
      <alignment horizontal="center" vertical="center" wrapText="1"/>
    </xf>
    <xf numFmtId="0" fontId="125" fillId="27" borderId="18" xfId="43" applyFont="1" applyFill="1" applyBorder="1" applyAlignment="1">
      <alignment horizontal="center" vertical="center" wrapText="1"/>
    </xf>
    <xf numFmtId="0" fontId="122" fillId="0" borderId="23" xfId="43" applyFont="1" applyBorder="1" applyAlignment="1">
      <alignment horizontal="center" vertical="center"/>
    </xf>
    <xf numFmtId="0" fontId="125" fillId="27" borderId="256" xfId="43" applyFont="1" applyFill="1" applyBorder="1" applyAlignment="1">
      <alignment horizontal="center" vertical="center" shrinkToFit="1"/>
    </xf>
    <xf numFmtId="0" fontId="125" fillId="27" borderId="257" xfId="43" applyFont="1" applyFill="1" applyBorder="1" applyAlignment="1">
      <alignment horizontal="center" vertical="center" shrinkToFit="1"/>
    </xf>
    <xf numFmtId="0" fontId="125" fillId="27" borderId="254" xfId="43" applyFont="1" applyFill="1" applyBorder="1" applyAlignment="1">
      <alignment horizontal="center" vertical="center" shrinkToFit="1"/>
    </xf>
    <xf numFmtId="0" fontId="125" fillId="27" borderId="11" xfId="43" applyFont="1" applyFill="1" applyBorder="1" applyAlignment="1">
      <alignment horizontal="center" vertical="center" shrinkToFit="1"/>
    </xf>
    <xf numFmtId="0" fontId="125" fillId="27" borderId="12" xfId="43" applyFont="1" applyFill="1" applyBorder="1" applyAlignment="1">
      <alignment horizontal="center" vertical="center" shrinkToFit="1"/>
    </xf>
    <xf numFmtId="0" fontId="125" fillId="27" borderId="18" xfId="43" applyFont="1" applyFill="1" applyBorder="1" applyAlignment="1">
      <alignment horizontal="center" vertical="center" shrinkToFit="1"/>
    </xf>
    <xf numFmtId="0" fontId="125" fillId="27" borderId="256" xfId="43" applyFont="1" applyFill="1" applyBorder="1" applyAlignment="1">
      <alignment horizontal="center" shrinkToFit="1"/>
    </xf>
    <xf numFmtId="0" fontId="125" fillId="27" borderId="257" xfId="43" applyFont="1" applyFill="1" applyBorder="1" applyAlignment="1">
      <alignment horizontal="center" shrinkToFit="1"/>
    </xf>
    <xf numFmtId="0" fontId="125" fillId="27" borderId="254" xfId="43" applyFont="1" applyFill="1" applyBorder="1" applyAlignment="1">
      <alignment horizontal="center" shrinkToFit="1"/>
    </xf>
    <xf numFmtId="38" fontId="122" fillId="0" borderId="11" xfId="46" applyFont="1" applyBorder="1" applyAlignment="1" applyProtection="1">
      <alignment horizontal="center" vertical="center"/>
    </xf>
    <xf numFmtId="38" fontId="122" fillId="0" borderId="12" xfId="46" applyFont="1" applyBorder="1" applyAlignment="1" applyProtection="1">
      <alignment horizontal="center" vertical="center"/>
    </xf>
    <xf numFmtId="38" fontId="122" fillId="0" borderId="18" xfId="46" applyFont="1" applyBorder="1" applyAlignment="1" applyProtection="1">
      <alignment horizontal="center" vertical="center"/>
    </xf>
    <xf numFmtId="2" fontId="122" fillId="0" borderId="14" xfId="43" applyNumberFormat="1" applyFont="1" applyBorder="1" applyAlignment="1">
      <alignment horizontal="center" vertical="center"/>
    </xf>
    <xf numFmtId="2" fontId="122" fillId="0" borderId="15" xfId="43" applyNumberFormat="1" applyFont="1" applyBorder="1" applyAlignment="1">
      <alignment horizontal="center" vertical="center"/>
    </xf>
    <xf numFmtId="2" fontId="122" fillId="0" borderId="16" xfId="43" applyNumberFormat="1" applyFont="1" applyBorder="1" applyAlignment="1">
      <alignment horizontal="center" vertical="center"/>
    </xf>
    <xf numFmtId="38" fontId="122" fillId="0" borderId="10" xfId="46" applyFont="1" applyBorder="1" applyAlignment="1" applyProtection="1">
      <alignment horizontal="center" vertical="center"/>
    </xf>
    <xf numFmtId="38" fontId="122" fillId="0" borderId="14" xfId="46" applyFont="1" applyBorder="1" applyAlignment="1" applyProtection="1">
      <alignment horizontal="center" vertical="center"/>
    </xf>
    <xf numFmtId="38" fontId="122" fillId="0" borderId="15" xfId="46" applyFont="1" applyBorder="1" applyAlignment="1" applyProtection="1">
      <alignment horizontal="center" vertical="center"/>
    </xf>
    <xf numFmtId="38" fontId="122" fillId="0" borderId="16" xfId="46" applyFont="1" applyBorder="1" applyAlignment="1" applyProtection="1">
      <alignment horizontal="center" vertical="center"/>
    </xf>
    <xf numFmtId="0" fontId="125" fillId="27" borderId="272" xfId="43" applyFont="1" applyFill="1" applyBorder="1" applyAlignment="1">
      <alignment horizontal="center" vertical="center" shrinkToFit="1"/>
    </xf>
    <xf numFmtId="0" fontId="125" fillId="27" borderId="273" xfId="43" applyFont="1" applyFill="1" applyBorder="1" applyAlignment="1">
      <alignment horizontal="center" vertical="center" shrinkToFit="1"/>
    </xf>
    <xf numFmtId="0" fontId="125" fillId="27" borderId="274" xfId="43" applyFont="1" applyFill="1" applyBorder="1" applyAlignment="1">
      <alignment horizontal="center" vertical="center" shrinkToFit="1"/>
    </xf>
    <xf numFmtId="0" fontId="220" fillId="27" borderId="256" xfId="43" applyFont="1" applyFill="1" applyBorder="1" applyAlignment="1">
      <alignment horizontal="center" vertical="center" wrapText="1" shrinkToFit="1"/>
    </xf>
    <xf numFmtId="0" fontId="220" fillId="27" borderId="257" xfId="43" applyFont="1" applyFill="1" applyBorder="1" applyAlignment="1">
      <alignment horizontal="center" vertical="center" shrinkToFit="1"/>
    </xf>
    <xf numFmtId="0" fontId="220" fillId="27" borderId="254" xfId="43" applyFont="1" applyFill="1" applyBorder="1" applyAlignment="1">
      <alignment horizontal="center" vertical="center" shrinkToFit="1"/>
    </xf>
    <xf numFmtId="0" fontId="220" fillId="27" borderId="11" xfId="43" applyFont="1" applyFill="1" applyBorder="1" applyAlignment="1">
      <alignment horizontal="center" vertical="center" shrinkToFit="1"/>
    </xf>
    <xf numFmtId="0" fontId="220" fillId="27" borderId="12" xfId="43" applyFont="1" applyFill="1" applyBorder="1" applyAlignment="1">
      <alignment horizontal="center" vertical="center" shrinkToFit="1"/>
    </xf>
    <xf numFmtId="0" fontId="220" fillId="27" borderId="18" xfId="43" applyFont="1" applyFill="1" applyBorder="1" applyAlignment="1">
      <alignment horizontal="center" vertical="center" shrinkToFit="1"/>
    </xf>
    <xf numFmtId="0" fontId="179" fillId="27" borderId="256" xfId="43" applyFont="1" applyFill="1" applyBorder="1" applyAlignment="1">
      <alignment horizontal="center" vertical="center" wrapText="1" shrinkToFit="1"/>
    </xf>
    <xf numFmtId="0" fontId="179" fillId="27" borderId="267" xfId="43" applyFont="1" applyFill="1" applyBorder="1" applyAlignment="1">
      <alignment horizontal="center" vertical="center" shrinkToFit="1"/>
    </xf>
    <xf numFmtId="0" fontId="179" fillId="27" borderId="254" xfId="43" applyFont="1" applyFill="1" applyBorder="1" applyAlignment="1">
      <alignment horizontal="center" vertical="center" shrinkToFit="1"/>
    </xf>
    <xf numFmtId="0" fontId="179" fillId="27" borderId="11" xfId="43" applyFont="1" applyFill="1" applyBorder="1" applyAlignment="1">
      <alignment horizontal="center" vertical="center" shrinkToFit="1"/>
    </xf>
    <xf numFmtId="0" fontId="179" fillId="27" borderId="12" xfId="43" applyFont="1" applyFill="1" applyBorder="1" applyAlignment="1">
      <alignment horizontal="center" vertical="center" shrinkToFit="1"/>
    </xf>
    <xf numFmtId="0" fontId="179" fillId="27" borderId="18" xfId="43" applyFont="1" applyFill="1" applyBorder="1" applyAlignment="1">
      <alignment horizontal="center" vertical="center" shrinkToFit="1"/>
    </xf>
    <xf numFmtId="0" fontId="213" fillId="27" borderId="10" xfId="43" applyFont="1" applyFill="1" applyBorder="1" applyAlignment="1">
      <alignment horizontal="center" vertical="center"/>
    </xf>
    <xf numFmtId="6" fontId="189" fillId="0" borderId="14" xfId="54" applyFont="1" applyBorder="1" applyAlignment="1" applyProtection="1">
      <alignment horizontal="right" vertical="center"/>
    </xf>
    <xf numFmtId="6" fontId="189" fillId="0" borderId="15" xfId="54" applyFont="1" applyBorder="1" applyAlignment="1" applyProtection="1">
      <alignment horizontal="right" vertical="center"/>
    </xf>
    <xf numFmtId="6" fontId="189" fillId="0" borderId="16" xfId="54" applyFont="1" applyBorder="1" applyAlignment="1" applyProtection="1">
      <alignment horizontal="right" vertical="center"/>
    </xf>
    <xf numFmtId="0" fontId="213" fillId="27" borderId="10" xfId="43" applyFont="1" applyFill="1" applyBorder="1" applyAlignment="1">
      <alignment horizontal="center" vertical="center" shrinkToFit="1"/>
    </xf>
    <xf numFmtId="0" fontId="189" fillId="0" borderId="0" xfId="43" applyFont="1" applyAlignment="1">
      <alignment horizontal="center" vertical="center"/>
    </xf>
    <xf numFmtId="0" fontId="189" fillId="0" borderId="23" xfId="43" applyFont="1" applyBorder="1" applyAlignment="1">
      <alignment horizontal="center" vertical="center"/>
    </xf>
    <xf numFmtId="0" fontId="213" fillId="27" borderId="50" xfId="43" applyFont="1" applyFill="1" applyBorder="1" applyAlignment="1">
      <alignment horizontal="center" vertical="center" shrinkToFit="1"/>
    </xf>
    <xf numFmtId="0" fontId="213" fillId="27" borderId="67" xfId="43" applyFont="1" applyFill="1" applyBorder="1" applyAlignment="1">
      <alignment horizontal="center" vertical="center" shrinkToFit="1"/>
    </xf>
    <xf numFmtId="0" fontId="213" fillId="27" borderId="48" xfId="43" applyFont="1" applyFill="1" applyBorder="1" applyAlignment="1">
      <alignment horizontal="center" vertical="center" shrinkToFit="1"/>
    </xf>
    <xf numFmtId="0" fontId="213" fillId="27" borderId="33" xfId="43" applyFont="1" applyFill="1" applyBorder="1" applyAlignment="1">
      <alignment horizontal="center" vertical="center" shrinkToFit="1"/>
    </xf>
    <xf numFmtId="0" fontId="213" fillId="27" borderId="49" xfId="43" applyFont="1" applyFill="1" applyBorder="1" applyAlignment="1">
      <alignment horizontal="center" vertical="center" shrinkToFit="1"/>
    </xf>
    <xf numFmtId="6" fontId="215" fillId="0" borderId="10" xfId="77" applyFont="1" applyBorder="1" applyAlignment="1" applyProtection="1">
      <alignment horizontal="center" vertical="center"/>
    </xf>
    <xf numFmtId="6" fontId="215" fillId="0" borderId="10" xfId="54" applyFont="1" applyBorder="1" applyAlignment="1" applyProtection="1">
      <alignment horizontal="center" vertical="center"/>
    </xf>
    <xf numFmtId="6" fontId="215" fillId="0" borderId="46" xfId="77" applyFont="1" applyBorder="1" applyAlignment="1" applyProtection="1">
      <alignment horizontal="center" vertical="center"/>
    </xf>
    <xf numFmtId="6" fontId="215" fillId="0" borderId="16" xfId="77" applyFont="1" applyBorder="1" applyAlignment="1" applyProtection="1">
      <alignment horizontal="center" vertical="center"/>
    </xf>
    <xf numFmtId="6" fontId="215" fillId="0" borderId="14" xfId="77" applyFont="1" applyBorder="1" applyAlignment="1" applyProtection="1">
      <alignment horizontal="center" vertical="center"/>
    </xf>
    <xf numFmtId="6" fontId="215" fillId="0" borderId="47" xfId="77" applyFont="1" applyBorder="1" applyAlignment="1" applyProtection="1">
      <alignment horizontal="center" vertical="center"/>
    </xf>
    <xf numFmtId="6" fontId="215" fillId="0" borderId="41" xfId="77" applyFont="1" applyBorder="1" applyAlignment="1" applyProtection="1">
      <alignment horizontal="center" vertical="center"/>
    </xf>
    <xf numFmtId="6" fontId="215" fillId="0" borderId="31" xfId="77" applyFont="1" applyBorder="1" applyAlignment="1" applyProtection="1">
      <alignment horizontal="center" vertical="center"/>
    </xf>
    <xf numFmtId="6" fontId="215" fillId="0" borderId="42" xfId="77" applyFont="1" applyBorder="1" applyAlignment="1" applyProtection="1">
      <alignment horizontal="center" vertical="center"/>
    </xf>
    <xf numFmtId="6" fontId="215" fillId="0" borderId="32" xfId="77" applyFont="1" applyBorder="1" applyAlignment="1" applyProtection="1">
      <alignment horizontal="center" vertical="center"/>
    </xf>
    <xf numFmtId="6" fontId="215" fillId="0" borderId="43" xfId="77" applyFont="1" applyBorder="1" applyAlignment="1" applyProtection="1">
      <alignment horizontal="center" vertical="center"/>
    </xf>
    <xf numFmtId="0" fontId="189" fillId="0" borderId="14" xfId="43" applyFont="1" applyBorder="1" applyAlignment="1" applyProtection="1">
      <alignment horizontal="left" vertical="center" shrinkToFit="1"/>
      <protection locked="0"/>
    </xf>
    <xf numFmtId="0" fontId="189" fillId="0" borderId="15" xfId="43" applyFont="1" applyBorder="1" applyAlignment="1" applyProtection="1">
      <alignment horizontal="left" vertical="center" shrinkToFit="1"/>
      <protection locked="0"/>
    </xf>
    <xf numFmtId="0" fontId="189" fillId="0" borderId="16" xfId="43" applyFont="1" applyBorder="1" applyAlignment="1" applyProtection="1">
      <alignment horizontal="left" vertical="center" shrinkToFit="1"/>
      <protection locked="0"/>
    </xf>
    <xf numFmtId="6" fontId="189" fillId="0" borderId="10" xfId="54" applyFont="1" applyBorder="1" applyAlignment="1" applyProtection="1">
      <alignment horizontal="right" vertical="center"/>
    </xf>
    <xf numFmtId="0" fontId="213" fillId="27" borderId="14" xfId="43" applyFont="1" applyFill="1" applyBorder="1" applyAlignment="1">
      <alignment horizontal="center" vertical="center" shrinkToFit="1"/>
    </xf>
    <xf numFmtId="0" fontId="213" fillId="27" borderId="15" xfId="43" applyFont="1" applyFill="1" applyBorder="1" applyAlignment="1">
      <alignment horizontal="center" vertical="center" shrinkToFit="1"/>
    </xf>
    <xf numFmtId="0" fontId="213" fillId="27" borderId="16" xfId="43" applyFont="1" applyFill="1" applyBorder="1" applyAlignment="1">
      <alignment horizontal="center" vertical="center" shrinkToFit="1"/>
    </xf>
    <xf numFmtId="0" fontId="189" fillId="0" borderId="14" xfId="43" applyFont="1" applyBorder="1" applyAlignment="1" applyProtection="1">
      <alignment horizontal="center" vertical="center" shrinkToFit="1"/>
      <protection locked="0"/>
    </xf>
    <xf numFmtId="0" fontId="189" fillId="0" borderId="15" xfId="43" applyFont="1" applyBorder="1" applyAlignment="1" applyProtection="1">
      <alignment horizontal="center" vertical="center" shrinkToFit="1"/>
      <protection locked="0"/>
    </xf>
    <xf numFmtId="0" fontId="189" fillId="0" borderId="16" xfId="43" applyFont="1" applyBorder="1" applyAlignment="1" applyProtection="1">
      <alignment horizontal="center" vertical="center" shrinkToFit="1"/>
      <protection locked="0"/>
    </xf>
    <xf numFmtId="0" fontId="189" fillId="0" borderId="14" xfId="43" applyFont="1" applyBorder="1" applyAlignment="1">
      <alignment horizontal="center" vertical="center" shrinkToFit="1"/>
    </xf>
    <xf numFmtId="0" fontId="189" fillId="0" borderId="15" xfId="43" applyFont="1" applyBorder="1" applyAlignment="1">
      <alignment horizontal="center" vertical="center" shrinkToFit="1"/>
    </xf>
    <xf numFmtId="0" fontId="189" fillId="0" borderId="16" xfId="43" applyFont="1" applyBorder="1" applyAlignment="1">
      <alignment horizontal="center" vertical="center" shrinkToFit="1"/>
    </xf>
    <xf numFmtId="38" fontId="189" fillId="0" borderId="14" xfId="46" applyFont="1" applyBorder="1" applyAlignment="1" applyProtection="1">
      <alignment horizontal="center" vertical="center"/>
    </xf>
    <xf numFmtId="38" fontId="189" fillId="0" borderId="15" xfId="46" applyFont="1" applyBorder="1" applyAlignment="1" applyProtection="1">
      <alignment horizontal="center" vertical="center"/>
    </xf>
    <xf numFmtId="38" fontId="189" fillId="0" borderId="16" xfId="46" applyFont="1" applyBorder="1" applyAlignment="1" applyProtection="1">
      <alignment horizontal="center" vertical="center"/>
    </xf>
    <xf numFmtId="38" fontId="189" fillId="0" borderId="10" xfId="78" applyFont="1" applyBorder="1" applyAlignment="1" applyProtection="1">
      <alignment horizontal="right" vertical="center"/>
    </xf>
    <xf numFmtId="0" fontId="213" fillId="27" borderId="256" xfId="43" applyFont="1" applyFill="1" applyBorder="1" applyAlignment="1">
      <alignment horizontal="center" vertical="center" shrinkToFit="1"/>
    </xf>
    <xf numFmtId="0" fontId="213" fillId="27" borderId="257" xfId="43" applyFont="1" applyFill="1" applyBorder="1" applyAlignment="1">
      <alignment horizontal="center" vertical="center" shrinkToFit="1"/>
    </xf>
    <xf numFmtId="0" fontId="213" fillId="27" borderId="254" xfId="43" applyFont="1" applyFill="1" applyBorder="1" applyAlignment="1">
      <alignment horizontal="center" vertical="center" shrinkToFit="1"/>
    </xf>
    <xf numFmtId="0" fontId="213" fillId="27" borderId="11" xfId="43" applyFont="1" applyFill="1" applyBorder="1" applyAlignment="1">
      <alignment horizontal="center" vertical="center" shrinkToFit="1"/>
    </xf>
    <xf numFmtId="0" fontId="213" fillId="27" borderId="12" xfId="43" applyFont="1" applyFill="1" applyBorder="1" applyAlignment="1">
      <alignment horizontal="center" vertical="center" shrinkToFit="1"/>
    </xf>
    <xf numFmtId="0" fontId="213" fillId="27" borderId="18" xfId="43" applyFont="1" applyFill="1" applyBorder="1" applyAlignment="1">
      <alignment horizontal="center" vertical="center" shrinkToFit="1"/>
    </xf>
    <xf numFmtId="6" fontId="189" fillId="0" borderId="10" xfId="77" applyFont="1" applyBorder="1" applyAlignment="1">
      <alignment horizontal="center" vertical="center"/>
    </xf>
    <xf numFmtId="0" fontId="222" fillId="27" borderId="10" xfId="43" applyFont="1" applyFill="1" applyBorder="1" applyAlignment="1">
      <alignment horizontal="center" vertical="center" wrapText="1" shrinkToFit="1"/>
    </xf>
    <xf numFmtId="0" fontId="213" fillId="27" borderId="69" xfId="43" applyFont="1" applyFill="1" applyBorder="1" applyAlignment="1">
      <alignment horizontal="center" vertical="center" shrinkToFit="1"/>
    </xf>
    <xf numFmtId="0" fontId="213" fillId="27" borderId="22" xfId="43" applyFont="1" applyFill="1" applyBorder="1" applyAlignment="1">
      <alignment horizontal="center" vertical="center" shrinkToFit="1"/>
    </xf>
    <xf numFmtId="0" fontId="213" fillId="27" borderId="34" xfId="43" applyFont="1" applyFill="1" applyBorder="1" applyAlignment="1">
      <alignment horizontal="center" vertical="center" shrinkToFit="1"/>
    </xf>
    <xf numFmtId="0" fontId="221" fillId="27" borderId="11" xfId="43" applyFont="1" applyFill="1" applyBorder="1" applyAlignment="1">
      <alignment horizontal="center" vertical="center" shrinkToFit="1"/>
    </xf>
    <xf numFmtId="0" fontId="221" fillId="27" borderId="12" xfId="43" applyFont="1" applyFill="1" applyBorder="1" applyAlignment="1">
      <alignment horizontal="center" vertical="center" shrinkToFit="1"/>
    </xf>
    <xf numFmtId="0" fontId="221" fillId="27" borderId="18" xfId="43" applyFont="1" applyFill="1" applyBorder="1" applyAlignment="1">
      <alignment horizontal="center" vertical="center" shrinkToFit="1"/>
    </xf>
    <xf numFmtId="6" fontId="216" fillId="0" borderId="37" xfId="77" applyFont="1" applyBorder="1" applyAlignment="1">
      <alignment horizontal="center" vertical="center"/>
    </xf>
    <xf numFmtId="6" fontId="216" fillId="0" borderId="257" xfId="77" applyFont="1" applyBorder="1" applyAlignment="1">
      <alignment horizontal="center" vertical="center"/>
    </xf>
    <xf numFmtId="6" fontId="216" fillId="0" borderId="253" xfId="77" applyFont="1" applyBorder="1" applyAlignment="1">
      <alignment horizontal="center" vertical="center"/>
    </xf>
    <xf numFmtId="6" fontId="216" fillId="0" borderId="29" xfId="77" applyFont="1" applyBorder="1" applyAlignment="1">
      <alignment horizontal="center" vertical="center"/>
    </xf>
    <xf numFmtId="6" fontId="216" fillId="0" borderId="30" xfId="77" applyFont="1" applyBorder="1" applyAlignment="1">
      <alignment horizontal="center" vertical="center"/>
    </xf>
    <xf numFmtId="6" fontId="216" fillId="0" borderId="38" xfId="77" applyFont="1" applyBorder="1" applyAlignment="1">
      <alignment horizontal="center" vertical="center"/>
    </xf>
    <xf numFmtId="0" fontId="189" fillId="0" borderId="10" xfId="43" applyFont="1" applyBorder="1" applyAlignment="1">
      <alignment horizontal="center" vertical="center"/>
    </xf>
    <xf numFmtId="0" fontId="125" fillId="27" borderId="257" xfId="43" applyFont="1" applyFill="1" applyBorder="1" applyAlignment="1">
      <alignment horizontal="center" vertical="center"/>
    </xf>
    <xf numFmtId="0" fontId="125" fillId="27" borderId="254" xfId="43" applyFont="1" applyFill="1" applyBorder="1" applyAlignment="1">
      <alignment horizontal="center" vertical="center"/>
    </xf>
    <xf numFmtId="0" fontId="125" fillId="27" borderId="11" xfId="43" applyFont="1" applyFill="1" applyBorder="1" applyAlignment="1">
      <alignment horizontal="center" vertical="center"/>
    </xf>
    <xf numFmtId="0" fontId="125" fillId="27" borderId="12" xfId="43" applyFont="1" applyFill="1" applyBorder="1" applyAlignment="1">
      <alignment horizontal="center" vertical="center"/>
    </xf>
    <xf numFmtId="0" fontId="125" fillId="27" borderId="18" xfId="43" applyFont="1" applyFill="1" applyBorder="1" applyAlignment="1">
      <alignment horizontal="center" vertical="center"/>
    </xf>
    <xf numFmtId="38" fontId="122" fillId="0" borderId="10" xfId="43" applyNumberFormat="1" applyFont="1" applyBorder="1" applyAlignment="1">
      <alignment horizontal="center" vertical="center"/>
    </xf>
    <xf numFmtId="0" fontId="122" fillId="0" borderId="10" xfId="43" applyFont="1" applyBorder="1" applyAlignment="1">
      <alignment horizontal="center" vertical="center"/>
    </xf>
    <xf numFmtId="0" fontId="126" fillId="27" borderId="10" xfId="43" applyFont="1" applyFill="1" applyBorder="1" applyAlignment="1">
      <alignment horizontal="center" vertical="center" wrapText="1"/>
    </xf>
    <xf numFmtId="0" fontId="126" fillId="27" borderId="256" xfId="43" applyFont="1" applyFill="1" applyBorder="1" applyAlignment="1">
      <alignment horizontal="center" vertical="center" wrapText="1"/>
    </xf>
    <xf numFmtId="0" fontId="126" fillId="27" borderId="267" xfId="43" applyFont="1" applyFill="1" applyBorder="1" applyAlignment="1">
      <alignment horizontal="center" vertical="center" wrapText="1"/>
    </xf>
    <xf numFmtId="0" fontId="126" fillId="27" borderId="254" xfId="43" applyFont="1" applyFill="1" applyBorder="1" applyAlignment="1">
      <alignment horizontal="center" vertical="center" wrapText="1"/>
    </xf>
    <xf numFmtId="0" fontId="126" fillId="27" borderId="11" xfId="43" applyFont="1" applyFill="1" applyBorder="1" applyAlignment="1">
      <alignment horizontal="center" vertical="center" wrapText="1"/>
    </xf>
    <xf numFmtId="0" fontId="126" fillId="27" borderId="12" xfId="43" applyFont="1" applyFill="1" applyBorder="1" applyAlignment="1">
      <alignment horizontal="center" vertical="center" wrapText="1"/>
    </xf>
    <xf numFmtId="0" fontId="126" fillId="27" borderId="18" xfId="43" applyFont="1" applyFill="1" applyBorder="1" applyAlignment="1">
      <alignment horizontal="center" vertical="center" wrapText="1"/>
    </xf>
    <xf numFmtId="6" fontId="122" fillId="0" borderId="14" xfId="77" applyFont="1" applyBorder="1" applyAlignment="1" applyProtection="1">
      <alignment horizontal="center" vertical="center" shrinkToFit="1"/>
    </xf>
    <xf numFmtId="6" fontId="122" fillId="0" borderId="15" xfId="77" applyFont="1" applyBorder="1" applyAlignment="1" applyProtection="1">
      <alignment horizontal="center" vertical="center" shrinkToFit="1"/>
    </xf>
    <xf numFmtId="6" fontId="122" fillId="0" borderId="16" xfId="77" applyFont="1" applyBorder="1" applyAlignment="1" applyProtection="1">
      <alignment horizontal="center" vertical="center" shrinkToFit="1"/>
    </xf>
    <xf numFmtId="6" fontId="122" fillId="0" borderId="14" xfId="77" applyFont="1" applyBorder="1" applyAlignment="1" applyProtection="1">
      <alignment horizontal="center" vertical="center"/>
    </xf>
    <xf numFmtId="6" fontId="122" fillId="0" borderId="15" xfId="77" applyFont="1" applyBorder="1" applyAlignment="1" applyProtection="1">
      <alignment horizontal="center" vertical="center"/>
    </xf>
    <xf numFmtId="6" fontId="122" fillId="0" borderId="16" xfId="77" applyFont="1" applyBorder="1" applyAlignment="1" applyProtection="1">
      <alignment horizontal="center" vertical="center"/>
    </xf>
    <xf numFmtId="0" fontId="189" fillId="0" borderId="10" xfId="43" applyFont="1" applyBorder="1" applyAlignment="1" applyProtection="1">
      <alignment horizontal="center" vertical="center" shrinkToFit="1"/>
      <protection locked="0"/>
    </xf>
    <xf numFmtId="49" fontId="125" fillId="0" borderId="23" xfId="43" applyNumberFormat="1" applyFont="1" applyBorder="1" applyAlignment="1">
      <alignment horizontal="center" vertical="center" wrapText="1"/>
    </xf>
    <xf numFmtId="49" fontId="125" fillId="0" borderId="0" xfId="43" applyNumberFormat="1" applyFont="1" applyAlignment="1">
      <alignment horizontal="center" vertical="center" wrapText="1"/>
    </xf>
    <xf numFmtId="38" fontId="189" fillId="0" borderId="14" xfId="77" applyNumberFormat="1" applyFont="1" applyBorder="1" applyAlignment="1" applyProtection="1">
      <alignment horizontal="right" vertical="center"/>
    </xf>
    <xf numFmtId="0" fontId="189" fillId="0" borderId="15" xfId="77" applyNumberFormat="1" applyFont="1" applyBorder="1" applyAlignment="1" applyProtection="1">
      <alignment horizontal="right" vertical="center"/>
    </xf>
    <xf numFmtId="0" fontId="189" fillId="0" borderId="16" xfId="77" applyNumberFormat="1" applyFont="1" applyBorder="1" applyAlignment="1" applyProtection="1">
      <alignment horizontal="right" vertical="center"/>
    </xf>
    <xf numFmtId="0" fontId="211" fillId="0" borderId="26" xfId="43" applyFont="1" applyBorder="1" applyAlignment="1">
      <alignment horizontal="left" vertical="center" wrapText="1"/>
    </xf>
    <xf numFmtId="0" fontId="211" fillId="0" borderId="0" xfId="43" applyFont="1" applyAlignment="1">
      <alignment horizontal="left" vertical="center" wrapText="1"/>
    </xf>
    <xf numFmtId="0" fontId="212" fillId="0" borderId="0" xfId="43" applyFont="1" applyAlignment="1">
      <alignment horizontal="left" vertical="center" indent="1"/>
    </xf>
    <xf numFmtId="0" fontId="213" fillId="47" borderId="256" xfId="43" applyFont="1" applyFill="1" applyBorder="1" applyAlignment="1">
      <alignment horizontal="center" vertical="center"/>
    </xf>
    <xf numFmtId="0" fontId="213" fillId="47" borderId="267" xfId="43" applyFont="1" applyFill="1" applyBorder="1" applyAlignment="1">
      <alignment horizontal="center" vertical="center"/>
    </xf>
    <xf numFmtId="0" fontId="213" fillId="47" borderId="254" xfId="43" applyFont="1" applyFill="1" applyBorder="1" applyAlignment="1">
      <alignment horizontal="center" vertical="center"/>
    </xf>
    <xf numFmtId="0" fontId="213" fillId="47" borderId="11" xfId="43" applyFont="1" applyFill="1" applyBorder="1" applyAlignment="1">
      <alignment horizontal="center" vertical="center"/>
    </xf>
    <xf numFmtId="0" fontId="213" fillId="47" borderId="12" xfId="43" applyFont="1" applyFill="1" applyBorder="1" applyAlignment="1">
      <alignment horizontal="center" vertical="center"/>
    </xf>
    <xf numFmtId="0" fontId="213" fillId="47" borderId="18" xfId="43" applyFont="1" applyFill="1" applyBorder="1" applyAlignment="1">
      <alignment horizontal="center" vertical="center"/>
    </xf>
    <xf numFmtId="0" fontId="125" fillId="47" borderId="14" xfId="43" applyFont="1" applyFill="1" applyBorder="1" applyAlignment="1">
      <alignment horizontal="center" vertical="center"/>
    </xf>
    <xf numFmtId="0" fontId="125" fillId="47" borderId="15" xfId="43" applyFont="1" applyFill="1" applyBorder="1" applyAlignment="1">
      <alignment horizontal="center" vertical="center"/>
    </xf>
    <xf numFmtId="0" fontId="125" fillId="47" borderId="16" xfId="43" applyFont="1" applyFill="1" applyBorder="1" applyAlignment="1">
      <alignment horizontal="center" vertical="center"/>
    </xf>
    <xf numFmtId="0" fontId="189" fillId="0" borderId="256" xfId="43" applyFont="1" applyBorder="1" applyAlignment="1" applyProtection="1">
      <alignment horizontal="center" vertical="center"/>
      <protection locked="0"/>
    </xf>
    <xf numFmtId="0" fontId="189" fillId="0" borderId="267" xfId="43" applyFont="1" applyBorder="1" applyAlignment="1" applyProtection="1">
      <alignment horizontal="center" vertical="center"/>
      <protection locked="0"/>
    </xf>
    <xf numFmtId="0" fontId="189" fillId="0" borderId="254" xfId="43" applyFont="1" applyBorder="1" applyAlignment="1" applyProtection="1">
      <alignment horizontal="center" vertical="center"/>
      <protection locked="0"/>
    </xf>
    <xf numFmtId="0" fontId="189" fillId="0" borderId="11" xfId="43" applyFont="1" applyBorder="1" applyAlignment="1" applyProtection="1">
      <alignment horizontal="center" vertical="center"/>
      <protection locked="0"/>
    </xf>
    <xf numFmtId="0" fontId="189" fillId="0" borderId="12" xfId="43" applyFont="1" applyBorder="1" applyAlignment="1" applyProtection="1">
      <alignment horizontal="center" vertical="center"/>
      <protection locked="0"/>
    </xf>
    <xf numFmtId="0" fontId="189" fillId="0" borderId="18" xfId="43" applyFont="1" applyBorder="1" applyAlignment="1" applyProtection="1">
      <alignment horizontal="center" vertical="center"/>
      <protection locked="0"/>
    </xf>
    <xf numFmtId="6" fontId="122" fillId="0" borderId="10" xfId="77" applyFont="1" applyBorder="1" applyAlignment="1" applyProtection="1">
      <alignment horizontal="center" vertical="center"/>
    </xf>
    <xf numFmtId="0" fontId="210" fillId="53" borderId="0" xfId="43" applyFont="1" applyFill="1" applyAlignment="1">
      <alignment horizontal="center" vertical="center" shrinkToFit="1"/>
    </xf>
    <xf numFmtId="0" fontId="122" fillId="0" borderId="10" xfId="43" applyFont="1" applyBorder="1" applyAlignment="1" applyProtection="1">
      <alignment horizontal="center" vertical="center"/>
      <protection locked="0"/>
    </xf>
    <xf numFmtId="0" fontId="81" fillId="0" borderId="0" xfId="47" applyFont="1" applyAlignment="1">
      <alignment horizontal="right" vertical="center"/>
    </xf>
    <xf numFmtId="0" fontId="81" fillId="0" borderId="255" xfId="47" applyFont="1" applyBorder="1" applyAlignment="1">
      <alignment horizontal="center" vertical="center" textRotation="255" shrinkToFit="1"/>
    </xf>
    <xf numFmtId="0" fontId="81" fillId="0" borderId="54" xfId="47" applyFont="1" applyBorder="1" applyAlignment="1">
      <alignment horizontal="center" vertical="center" textRotation="255" shrinkToFit="1"/>
    </xf>
    <xf numFmtId="0" fontId="81" fillId="0" borderId="51" xfId="47" applyFont="1" applyBorder="1" applyAlignment="1">
      <alignment horizontal="center" vertical="center" textRotation="255" shrinkToFit="1"/>
    </xf>
    <xf numFmtId="0" fontId="81" fillId="0" borderId="59" xfId="47" applyFont="1" applyBorder="1" applyAlignment="1">
      <alignment horizontal="left" vertical="center" wrapText="1"/>
    </xf>
    <xf numFmtId="0" fontId="81" fillId="0" borderId="60" xfId="47" applyFont="1" applyBorder="1" applyAlignment="1">
      <alignment horizontal="left" vertical="center" wrapText="1"/>
    </xf>
    <xf numFmtId="0" fontId="81" fillId="0" borderId="91" xfId="47" applyFont="1" applyBorder="1" applyAlignment="1">
      <alignment horizontal="left" vertical="center" wrapText="1"/>
    </xf>
    <xf numFmtId="0" fontId="81" fillId="0" borderId="92" xfId="47" applyFont="1" applyBorder="1" applyAlignment="1">
      <alignment horizontal="left" vertical="center" wrapText="1"/>
    </xf>
    <xf numFmtId="0" fontId="81" fillId="0" borderId="70" xfId="47" applyFont="1" applyBorder="1" applyAlignment="1">
      <alignment horizontal="left" vertical="center" wrapText="1"/>
    </xf>
    <xf numFmtId="0" fontId="81" fillId="0" borderId="71" xfId="47" applyFont="1" applyBorder="1" applyAlignment="1">
      <alignment horizontal="left" vertical="center" wrapText="1"/>
    </xf>
    <xf numFmtId="0" fontId="81" fillId="0" borderId="10" xfId="47" applyFont="1" applyBorder="1" applyAlignment="1">
      <alignment horizontal="left" vertical="center"/>
    </xf>
    <xf numFmtId="0" fontId="81" fillId="0" borderId="10" xfId="47" applyFont="1" applyBorder="1" applyAlignment="1">
      <alignment horizontal="center" vertical="center" shrinkToFit="1"/>
    </xf>
    <xf numFmtId="0" fontId="81" fillId="0" borderId="10" xfId="47" applyFont="1" applyBorder="1" applyAlignment="1">
      <alignment horizontal="left" vertical="center" wrapText="1"/>
    </xf>
    <xf numFmtId="0" fontId="81" fillId="0" borderId="14" xfId="47" applyFont="1" applyBorder="1" applyAlignment="1">
      <alignment horizontal="left" vertical="center"/>
    </xf>
    <xf numFmtId="0" fontId="81" fillId="0" borderId="15" xfId="47" applyFont="1" applyBorder="1" applyAlignment="1">
      <alignment horizontal="left" vertical="center"/>
    </xf>
    <xf numFmtId="0" fontId="81" fillId="0" borderId="16" xfId="47" applyFont="1" applyBorder="1" applyAlignment="1">
      <alignment horizontal="left" vertical="center"/>
    </xf>
    <xf numFmtId="0" fontId="81" fillId="0" borderId="14" xfId="47" applyFont="1" applyBorder="1" applyAlignment="1">
      <alignment horizontal="center" vertical="center" shrinkToFit="1"/>
    </xf>
    <xf numFmtId="0" fontId="81" fillId="0" borderId="15" xfId="47" applyFont="1" applyBorder="1" applyAlignment="1">
      <alignment horizontal="center" vertical="center" shrinkToFit="1"/>
    </xf>
    <xf numFmtId="0" fontId="81" fillId="0" borderId="16" xfId="47" applyFont="1" applyBorder="1" applyAlignment="1">
      <alignment horizontal="center" vertical="center" shrinkToFit="1"/>
    </xf>
    <xf numFmtId="0" fontId="81" fillId="0" borderId="85" xfId="47" applyFont="1" applyBorder="1" applyAlignment="1">
      <alignment horizontal="center" vertical="center" shrinkToFit="1"/>
    </xf>
    <xf numFmtId="0" fontId="81" fillId="0" borderId="14" xfId="47" applyFont="1" applyBorder="1" applyAlignment="1">
      <alignment horizontal="left" vertical="center" wrapText="1"/>
    </xf>
    <xf numFmtId="0" fontId="81" fillId="0" borderId="256" xfId="47" applyFont="1" applyBorder="1" applyAlignment="1">
      <alignment horizontal="left" vertical="center" wrapText="1"/>
    </xf>
    <xf numFmtId="0" fontId="81" fillId="0" borderId="257" xfId="47" applyFont="1" applyBorder="1" applyAlignment="1">
      <alignment horizontal="left" vertical="center" wrapText="1"/>
    </xf>
    <xf numFmtId="0" fontId="81" fillId="0" borderId="254" xfId="47" applyFont="1" applyBorder="1" applyAlignment="1">
      <alignment horizontal="left" vertical="center" wrapText="1"/>
    </xf>
    <xf numFmtId="0" fontId="81" fillId="0" borderId="23" xfId="47" applyFont="1" applyBorder="1" applyAlignment="1">
      <alignment horizontal="left" vertical="center" wrapText="1"/>
    </xf>
    <xf numFmtId="0" fontId="81" fillId="0" borderId="0" xfId="47" applyFont="1" applyAlignment="1">
      <alignment horizontal="left" vertical="center" wrapText="1"/>
    </xf>
    <xf numFmtId="0" fontId="81" fillId="0" borderId="24" xfId="47" applyFont="1" applyBorder="1" applyAlignment="1">
      <alignment horizontal="left" vertical="center" wrapText="1"/>
    </xf>
    <xf numFmtId="0" fontId="81" fillId="0" borderId="11" xfId="47" applyFont="1" applyBorder="1" applyAlignment="1">
      <alignment horizontal="left" vertical="center" wrapText="1"/>
    </xf>
    <xf numFmtId="0" fontId="81" fillId="0" borderId="12" xfId="47" applyFont="1" applyBorder="1" applyAlignment="1">
      <alignment horizontal="left" vertical="center" wrapText="1"/>
    </xf>
    <xf numFmtId="0" fontId="81" fillId="0" borderId="18" xfId="47" applyFont="1" applyBorder="1" applyAlignment="1">
      <alignment horizontal="left" vertical="center" wrapText="1"/>
    </xf>
    <xf numFmtId="0" fontId="81" fillId="0" borderId="256" xfId="47" applyFont="1" applyBorder="1" applyAlignment="1">
      <alignment horizontal="center" vertical="center" shrinkToFit="1"/>
    </xf>
    <xf numFmtId="0" fontId="81" fillId="0" borderId="257" xfId="47" applyFont="1" applyBorder="1" applyAlignment="1">
      <alignment horizontal="center" vertical="center" shrinkToFit="1"/>
    </xf>
    <xf numFmtId="0" fontId="81" fillId="0" borderId="254" xfId="47" applyFont="1" applyBorder="1" applyAlignment="1">
      <alignment horizontal="center" vertical="center" shrinkToFit="1"/>
    </xf>
    <xf numFmtId="0" fontId="81" fillId="0" borderId="23" xfId="47" applyFont="1" applyBorder="1" applyAlignment="1">
      <alignment horizontal="center" vertical="center" shrinkToFit="1"/>
    </xf>
    <xf numFmtId="0" fontId="81" fillId="0" borderId="0" xfId="47" applyFont="1" applyAlignment="1">
      <alignment horizontal="center" vertical="center" shrinkToFit="1"/>
    </xf>
    <xf numFmtId="0" fontId="81" fillId="0" borderId="24" xfId="47" applyFont="1" applyBorder="1" applyAlignment="1">
      <alignment horizontal="center" vertical="center" shrinkToFit="1"/>
    </xf>
    <xf numFmtId="0" fontId="81" fillId="0" borderId="11" xfId="47" applyFont="1" applyBorder="1" applyAlignment="1">
      <alignment horizontal="center" vertical="center" shrinkToFit="1"/>
    </xf>
    <xf numFmtId="0" fontId="81" fillId="0" borderId="12" xfId="47" applyFont="1" applyBorder="1" applyAlignment="1">
      <alignment horizontal="center" vertical="center" shrinkToFit="1"/>
    </xf>
    <xf numFmtId="0" fontId="81" fillId="0" borderId="18" xfId="47" applyFont="1" applyBorder="1" applyAlignment="1">
      <alignment horizontal="center" vertical="center" shrinkToFit="1"/>
    </xf>
    <xf numFmtId="0" fontId="81" fillId="0" borderId="10" xfId="47" applyFont="1" applyBorder="1" applyAlignment="1">
      <alignment horizontal="center" vertical="center"/>
    </xf>
    <xf numFmtId="0" fontId="81" fillId="0" borderId="255" xfId="47" applyFont="1" applyBorder="1" applyAlignment="1">
      <alignment horizontal="center" vertical="center"/>
    </xf>
    <xf numFmtId="0" fontId="95" fillId="0" borderId="0" xfId="43" applyFont="1" applyAlignment="1">
      <alignment horizontal="left" vertical="center"/>
    </xf>
    <xf numFmtId="0" fontId="95" fillId="0" borderId="0" xfId="43" applyFont="1" applyAlignment="1">
      <alignment horizontal="left" vertical="center" wrapText="1"/>
    </xf>
    <xf numFmtId="0" fontId="95" fillId="0" borderId="0" xfId="43" applyFont="1" applyAlignment="1">
      <alignment horizontal="left" vertical="top" wrapText="1"/>
    </xf>
    <xf numFmtId="0" fontId="83" fillId="0" borderId="0" xfId="47" applyFont="1" applyAlignment="1">
      <alignment horizontal="right" vertical="top" wrapText="1"/>
    </xf>
    <xf numFmtId="0" fontId="107" fillId="0" borderId="0" xfId="47" applyFont="1" applyAlignment="1">
      <alignment horizontal="center" vertical="top"/>
    </xf>
    <xf numFmtId="0" fontId="81" fillId="0" borderId="0" xfId="47" applyFont="1" applyAlignment="1">
      <alignment horizontal="center" vertical="center"/>
    </xf>
    <xf numFmtId="0" fontId="107" fillId="0" borderId="0" xfId="79" applyFont="1" applyAlignment="1">
      <alignment horizontal="center" vertical="center"/>
    </xf>
    <xf numFmtId="0" fontId="81" fillId="0" borderId="0" xfId="79" applyFont="1" applyAlignment="1">
      <alignment horizontal="center" vertical="center"/>
    </xf>
    <xf numFmtId="49" fontId="81" fillId="0" borderId="0" xfId="79" applyNumberFormat="1" applyFont="1" applyAlignment="1">
      <alignment horizontal="left" vertical="center"/>
    </xf>
    <xf numFmtId="49" fontId="81" fillId="0" borderId="96" xfId="79" applyNumberFormat="1" applyFont="1" applyBorder="1" applyAlignment="1">
      <alignment horizontal="left" vertical="center"/>
    </xf>
    <xf numFmtId="0" fontId="81" fillId="0" borderId="0" xfId="79" applyFont="1" applyAlignment="1" applyProtection="1">
      <alignment horizontal="left" vertical="center" wrapText="1"/>
      <protection locked="0"/>
    </xf>
    <xf numFmtId="0" fontId="81" fillId="0" borderId="96" xfId="79" applyFont="1" applyBorder="1" applyAlignment="1" applyProtection="1">
      <alignment horizontal="left" vertical="center" wrapText="1"/>
      <protection locked="0"/>
    </xf>
    <xf numFmtId="49" fontId="81" fillId="0" borderId="0" xfId="79" applyNumberFormat="1" applyFont="1" applyAlignment="1">
      <alignment horizontal="left" vertical="center" wrapText="1"/>
    </xf>
    <xf numFmtId="0" fontId="115" fillId="0" borderId="0" xfId="49" applyFont="1" applyAlignment="1">
      <alignment horizontal="center" vertical="center"/>
    </xf>
    <xf numFmtId="0" fontId="106" fillId="0" borderId="0" xfId="49" applyFont="1" applyAlignment="1">
      <alignment horizontal="center" vertical="top"/>
    </xf>
    <xf numFmtId="0" fontId="106" fillId="0" borderId="30" xfId="49" applyFont="1" applyBorder="1" applyAlignment="1">
      <alignment horizontal="center" vertical="top"/>
    </xf>
    <xf numFmtId="0" fontId="80" fillId="0" borderId="254" xfId="49" applyFont="1" applyBorder="1" applyAlignment="1">
      <alignment horizontal="center" vertical="center"/>
    </xf>
    <xf numFmtId="0" fontId="80" fillId="0" borderId="18" xfId="49" applyFont="1" applyBorder="1" applyAlignment="1">
      <alignment horizontal="center" vertical="center"/>
    </xf>
    <xf numFmtId="0" fontId="80" fillId="0" borderId="256" xfId="49" applyFont="1" applyBorder="1" applyAlignment="1">
      <alignment horizontal="center" vertical="center"/>
    </xf>
    <xf numFmtId="0" fontId="80" fillId="0" borderId="257" xfId="49" applyFont="1" applyBorder="1" applyAlignment="1">
      <alignment horizontal="center" vertical="center"/>
    </xf>
    <xf numFmtId="0" fontId="80" fillId="0" borderId="11" xfId="49" applyFont="1" applyBorder="1" applyAlignment="1">
      <alignment horizontal="center" vertical="center"/>
    </xf>
    <xf numFmtId="0" fontId="80" fillId="0" borderId="12" xfId="49" applyFont="1" applyBorder="1" applyAlignment="1">
      <alignment horizontal="center" vertical="center"/>
    </xf>
    <xf numFmtId="0" fontId="80" fillId="0" borderId="154" xfId="49" applyFont="1" applyBorder="1" applyAlignment="1">
      <alignment horizontal="center" vertical="center"/>
    </xf>
    <xf numFmtId="0" fontId="80" fillId="0" borderId="155" xfId="49" applyFont="1" applyBorder="1" applyAlignment="1">
      <alignment horizontal="left" vertical="center"/>
    </xf>
    <xf numFmtId="0" fontId="80" fillId="0" borderId="204" xfId="49" applyFont="1" applyBorder="1" applyAlignment="1">
      <alignment horizontal="center" vertical="center"/>
    </xf>
    <xf numFmtId="0" fontId="80" fillId="0" borderId="256" xfId="49" applyFont="1" applyBorder="1" applyAlignment="1" applyProtection="1">
      <alignment horizontal="center" vertical="center"/>
      <protection locked="0"/>
    </xf>
    <xf numFmtId="0" fontId="80" fillId="0" borderId="257" xfId="49" applyFont="1" applyBorder="1" applyAlignment="1" applyProtection="1">
      <alignment horizontal="center" vertical="center"/>
      <protection locked="0"/>
    </xf>
    <xf numFmtId="0" fontId="80" fillId="0" borderId="11" xfId="49" applyFont="1" applyBorder="1" applyAlignment="1" applyProtection="1">
      <alignment horizontal="center" vertical="center"/>
      <protection locked="0"/>
    </xf>
    <xf numFmtId="0" fontId="80" fillId="0" borderId="12" xfId="49" applyFont="1" applyBorder="1" applyAlignment="1" applyProtection="1">
      <alignment horizontal="center" vertical="center"/>
      <protection locked="0"/>
    </xf>
    <xf numFmtId="0" fontId="80" fillId="0" borderId="257" xfId="49" applyFont="1" applyBorder="1" applyAlignment="1">
      <alignment horizontal="center" vertical="center" shrinkToFit="1"/>
    </xf>
    <xf numFmtId="0" fontId="80" fillId="0" borderId="30" xfId="49" applyFont="1" applyBorder="1" applyAlignment="1">
      <alignment horizontal="center" vertical="center" shrinkToFit="1"/>
    </xf>
    <xf numFmtId="0" fontId="80" fillId="0" borderId="257" xfId="49" applyFont="1" applyBorder="1" applyAlignment="1" applyProtection="1">
      <alignment horizontal="center" vertical="center" shrinkToFit="1"/>
      <protection locked="0"/>
    </xf>
    <xf numFmtId="0" fontId="80" fillId="0" borderId="30" xfId="49" applyFont="1" applyBorder="1" applyAlignment="1" applyProtection="1">
      <alignment horizontal="center" vertical="center" shrinkToFit="1"/>
      <protection locked="0"/>
    </xf>
    <xf numFmtId="0" fontId="80" fillId="0" borderId="253" xfId="49" applyFont="1" applyBorder="1" applyAlignment="1" applyProtection="1">
      <alignment horizontal="center" vertical="center" shrinkToFit="1"/>
      <protection locked="0"/>
    </xf>
    <xf numFmtId="0" fontId="80" fillId="0" borderId="38" xfId="49" applyFont="1" applyBorder="1" applyAlignment="1" applyProtection="1">
      <alignment horizontal="center" vertical="center" shrinkToFit="1"/>
      <protection locked="0"/>
    </xf>
    <xf numFmtId="0" fontId="93" fillId="0" borderId="57" xfId="49" applyFont="1" applyBorder="1" applyAlignment="1" applyProtection="1">
      <alignment horizontal="center" vertical="top" shrinkToFit="1"/>
      <protection locked="0"/>
    </xf>
    <xf numFmtId="0" fontId="93" fillId="0" borderId="30" xfId="49" applyFont="1" applyBorder="1" applyAlignment="1" applyProtection="1">
      <alignment horizontal="center" vertical="top" shrinkToFit="1"/>
      <protection locked="0"/>
    </xf>
    <xf numFmtId="0" fontId="93" fillId="0" borderId="109" xfId="49" applyFont="1" applyBorder="1" applyAlignment="1" applyProtection="1">
      <alignment horizontal="center" vertical="top" shrinkToFit="1"/>
      <protection locked="0"/>
    </xf>
    <xf numFmtId="49" fontId="80" fillId="0" borderId="46" xfId="49" applyNumberFormat="1" applyFont="1" applyBorder="1" applyAlignment="1">
      <alignment horizontal="center" vertical="center"/>
    </xf>
    <xf numFmtId="49" fontId="80" fillId="0" borderId="10" xfId="49" applyNumberFormat="1" applyFont="1" applyBorder="1" applyAlignment="1">
      <alignment horizontal="center" vertical="center"/>
    </xf>
    <xf numFmtId="49" fontId="80" fillId="0" borderId="41" xfId="49" applyNumberFormat="1" applyFont="1" applyBorder="1" applyAlignment="1">
      <alignment horizontal="center" vertical="center"/>
    </xf>
    <xf numFmtId="49" fontId="80" fillId="0" borderId="42" xfId="49" applyNumberFormat="1" applyFont="1" applyBorder="1" applyAlignment="1">
      <alignment horizontal="center" vertical="center"/>
    </xf>
    <xf numFmtId="0" fontId="93" fillId="0" borderId="256" xfId="49" applyFont="1" applyBorder="1" applyAlignment="1">
      <alignment horizontal="left" vertical="top" shrinkToFit="1"/>
    </xf>
    <xf numFmtId="0" fontId="93" fillId="0" borderId="257" xfId="49" applyFont="1" applyBorder="1" applyAlignment="1">
      <alignment horizontal="left" vertical="top" shrinkToFit="1"/>
    </xf>
    <xf numFmtId="0" fontId="93" fillId="0" borderId="257" xfId="49" applyFont="1" applyBorder="1" applyAlignment="1" applyProtection="1">
      <alignment horizontal="left" vertical="top" shrinkToFit="1"/>
      <protection locked="0"/>
    </xf>
    <xf numFmtId="0" fontId="93" fillId="0" borderId="254" xfId="49" applyFont="1" applyBorder="1" applyAlignment="1" applyProtection="1">
      <alignment horizontal="left" vertical="top" shrinkToFit="1"/>
      <protection locked="0"/>
    </xf>
    <xf numFmtId="0" fontId="80" fillId="0" borderId="10" xfId="49" applyFont="1" applyBorder="1" applyAlignment="1" applyProtection="1">
      <alignment horizontal="center" vertical="center" shrinkToFit="1"/>
      <protection locked="0"/>
    </xf>
    <xf numFmtId="0" fontId="80" fillId="0" borderId="42" xfId="49" applyFont="1" applyBorder="1" applyAlignment="1" applyProtection="1">
      <alignment horizontal="center" vertical="center" shrinkToFit="1"/>
      <protection locked="0"/>
    </xf>
    <xf numFmtId="0" fontId="80" fillId="0" borderId="256" xfId="49" applyFont="1" applyBorder="1" applyAlignment="1" applyProtection="1">
      <alignment horizontal="center" vertical="center" shrinkToFit="1"/>
      <protection locked="0"/>
    </xf>
    <xf numFmtId="0" fontId="80" fillId="0" borderId="57" xfId="49" applyFont="1" applyBorder="1" applyAlignment="1" applyProtection="1">
      <alignment horizontal="center" vertical="center" shrinkToFit="1"/>
      <protection locked="0"/>
    </xf>
    <xf numFmtId="0" fontId="80" fillId="0" borderId="11" xfId="49" applyFont="1" applyBorder="1" applyAlignment="1" applyProtection="1">
      <alignment horizontal="center" vertical="center" shrinkToFit="1"/>
      <protection locked="0"/>
    </xf>
    <xf numFmtId="0" fontId="80" fillId="0" borderId="12" xfId="49" applyFont="1" applyBorder="1" applyAlignment="1" applyProtection="1">
      <alignment horizontal="center" vertical="center" shrinkToFit="1"/>
      <protection locked="0"/>
    </xf>
    <xf numFmtId="0" fontId="80" fillId="0" borderId="12" xfId="49" applyFont="1" applyBorder="1" applyAlignment="1">
      <alignment horizontal="center" vertical="center" shrinkToFit="1"/>
    </xf>
    <xf numFmtId="0" fontId="80" fillId="0" borderId="13" xfId="49" applyFont="1" applyBorder="1" applyAlignment="1" applyProtection="1">
      <alignment horizontal="center" vertical="center" shrinkToFit="1"/>
      <protection locked="0"/>
    </xf>
    <xf numFmtId="0" fontId="93" fillId="0" borderId="11" xfId="49" applyFont="1" applyBorder="1" applyAlignment="1" applyProtection="1">
      <alignment horizontal="center" vertical="top" shrinkToFit="1"/>
      <protection locked="0"/>
    </xf>
    <xf numFmtId="0" fontId="93" fillId="0" borderId="12" xfId="49" applyFont="1" applyBorder="1" applyAlignment="1" applyProtection="1">
      <alignment horizontal="center" vertical="top" shrinkToFit="1"/>
      <protection locked="0"/>
    </xf>
    <xf numFmtId="0" fontId="93" fillId="0" borderId="18" xfId="49" applyFont="1" applyBorder="1" applyAlignment="1" applyProtection="1">
      <alignment horizontal="center" vertical="top" shrinkToFit="1"/>
      <protection locked="0"/>
    </xf>
    <xf numFmtId="0" fontId="90" fillId="0" borderId="0" xfId="49" applyFont="1" applyAlignment="1" applyProtection="1">
      <alignment horizontal="center" vertical="center"/>
      <protection locked="0"/>
    </xf>
    <xf numFmtId="0" fontId="90" fillId="0" borderId="0" xfId="49" applyFont="1" applyAlignment="1">
      <alignment horizontal="center" vertical="center"/>
    </xf>
    <xf numFmtId="0" fontId="80" fillId="0" borderId="50" xfId="49" applyFont="1" applyBorder="1" applyAlignment="1">
      <alignment horizontal="center" vertical="center"/>
    </xf>
    <xf numFmtId="0" fontId="80" fillId="0" borderId="48" xfId="49" applyFont="1" applyBorder="1" applyAlignment="1">
      <alignment horizontal="center" vertical="center"/>
    </xf>
    <xf numFmtId="0" fontId="80" fillId="0" borderId="46" xfId="49" applyFont="1" applyBorder="1" applyAlignment="1">
      <alignment horizontal="center" vertical="center"/>
    </xf>
    <xf numFmtId="0" fontId="80" fillId="0" borderId="10" xfId="49" applyFont="1" applyBorder="1" applyAlignment="1">
      <alignment horizontal="center" vertical="center"/>
    </xf>
    <xf numFmtId="0" fontId="80" fillId="0" borderId="48" xfId="49" applyFont="1" applyBorder="1" applyAlignment="1">
      <alignment horizontal="center" vertical="center" wrapText="1"/>
    </xf>
    <xf numFmtId="0" fontId="80" fillId="0" borderId="10" xfId="49" applyFont="1" applyBorder="1" applyAlignment="1">
      <alignment horizontal="center" vertical="center" wrapText="1"/>
    </xf>
    <xf numFmtId="0" fontId="80" fillId="0" borderId="49" xfId="49" applyFont="1" applyBorder="1" applyAlignment="1">
      <alignment horizontal="center" vertical="center"/>
    </xf>
    <xf numFmtId="0" fontId="80" fillId="0" borderId="47" xfId="49" applyFont="1" applyBorder="1" applyAlignment="1">
      <alignment horizontal="center" vertical="center"/>
    </xf>
    <xf numFmtId="0" fontId="80" fillId="0" borderId="36" xfId="49" applyFont="1" applyBorder="1" applyAlignment="1">
      <alignment horizontal="center" vertical="center" wrapText="1"/>
    </xf>
    <xf numFmtId="0" fontId="80" fillId="0" borderId="12" xfId="49" applyFont="1" applyBorder="1" applyAlignment="1">
      <alignment horizontal="center" vertical="center" wrapText="1"/>
    </xf>
    <xf numFmtId="0" fontId="80" fillId="0" borderId="36" xfId="49" applyFont="1" applyBorder="1" applyAlignment="1" applyProtection="1">
      <alignment horizontal="center" vertical="center" shrinkToFit="1"/>
      <protection locked="0"/>
    </xf>
    <xf numFmtId="0" fontId="80" fillId="0" borderId="45" xfId="49" applyFont="1" applyBorder="1" applyAlignment="1" applyProtection="1">
      <alignment horizontal="center" vertical="center" shrinkToFit="1"/>
      <protection locked="0"/>
    </xf>
    <xf numFmtId="0" fontId="80" fillId="0" borderId="46" xfId="49" applyFont="1" applyBorder="1" applyAlignment="1">
      <alignment horizontal="center" vertical="center" wrapText="1"/>
    </xf>
    <xf numFmtId="0" fontId="80" fillId="0" borderId="41" xfId="49" applyFont="1" applyBorder="1" applyAlignment="1">
      <alignment horizontal="center" vertical="center" wrapText="1"/>
    </xf>
    <xf numFmtId="0" fontId="80" fillId="0" borderId="42" xfId="49" applyFont="1" applyBorder="1" applyAlignment="1">
      <alignment horizontal="center" vertical="center" wrapText="1"/>
    </xf>
    <xf numFmtId="0" fontId="80" fillId="0" borderId="256" xfId="49" applyFont="1" applyBorder="1" applyAlignment="1">
      <alignment horizontal="center" vertical="center" shrinkToFit="1"/>
    </xf>
    <xf numFmtId="0" fontId="80" fillId="0" borderId="254" xfId="49" applyFont="1" applyBorder="1" applyAlignment="1">
      <alignment horizontal="center" vertical="center" shrinkToFit="1"/>
    </xf>
    <xf numFmtId="0" fontId="80" fillId="0" borderId="23" xfId="49" applyFont="1" applyBorder="1" applyAlignment="1">
      <alignment horizontal="center" vertical="center" shrinkToFit="1"/>
    </xf>
    <xf numFmtId="0" fontId="80" fillId="0" borderId="0" xfId="49" applyFont="1" applyAlignment="1">
      <alignment horizontal="center" vertical="center" shrinkToFit="1"/>
    </xf>
    <xf numFmtId="0" fontId="80" fillId="0" borderId="24" xfId="49" applyFont="1" applyBorder="1" applyAlignment="1">
      <alignment horizontal="center" vertical="center" shrinkToFit="1"/>
    </xf>
    <xf numFmtId="0" fontId="80" fillId="0" borderId="57" xfId="49" applyFont="1" applyBorder="1" applyAlignment="1">
      <alignment horizontal="center" vertical="center" shrinkToFit="1"/>
    </xf>
    <xf numFmtId="0" fontId="80" fillId="0" borderId="109" xfId="49" applyFont="1" applyBorder="1" applyAlignment="1">
      <alignment horizontal="center" vertical="center" shrinkToFit="1"/>
    </xf>
    <xf numFmtId="0" fontId="80" fillId="0" borderId="0" xfId="49" applyFont="1" applyAlignment="1">
      <alignment horizontal="right" vertical="center" wrapText="1"/>
    </xf>
    <xf numFmtId="0" fontId="80" fillId="0" borderId="23" xfId="49" applyFont="1" applyBorder="1" applyAlignment="1" applyProtection="1">
      <alignment horizontal="center" vertical="center" shrinkToFit="1"/>
      <protection locked="0"/>
    </xf>
    <xf numFmtId="0" fontId="80" fillId="0" borderId="0" xfId="49" applyFont="1" applyAlignment="1" applyProtection="1">
      <alignment horizontal="center" vertical="center" shrinkToFit="1"/>
      <protection locked="0"/>
    </xf>
    <xf numFmtId="0" fontId="80" fillId="0" borderId="19" xfId="49" applyFont="1" applyBorder="1" applyAlignment="1" applyProtection="1">
      <alignment horizontal="center" vertical="center" shrinkToFit="1"/>
      <protection locked="0"/>
    </xf>
    <xf numFmtId="0" fontId="93" fillId="0" borderId="50" xfId="49" applyFont="1" applyBorder="1" applyAlignment="1">
      <alignment horizontal="center" vertical="center" wrapText="1"/>
    </xf>
    <xf numFmtId="0" fontId="93" fillId="0" borderId="48" xfId="49" applyFont="1" applyBorder="1" applyAlignment="1">
      <alignment horizontal="center" vertical="center" wrapText="1"/>
    </xf>
    <xf numFmtId="0" fontId="93" fillId="0" borderId="46" xfId="49" applyFont="1" applyBorder="1" applyAlignment="1">
      <alignment horizontal="center" vertical="center" wrapText="1"/>
    </xf>
    <xf numFmtId="0" fontId="93" fillId="0" borderId="10" xfId="49" applyFont="1" applyBorder="1" applyAlignment="1">
      <alignment horizontal="center" vertical="center" wrapText="1"/>
    </xf>
    <xf numFmtId="0" fontId="87" fillId="0" borderId="48" xfId="49" applyFont="1" applyBorder="1" applyAlignment="1" applyProtection="1">
      <alignment horizontal="center" vertical="center" shrinkToFit="1"/>
      <protection locked="0"/>
    </xf>
    <xf numFmtId="0" fontId="87" fillId="0" borderId="10" xfId="49" applyFont="1" applyBorder="1" applyAlignment="1" applyProtection="1">
      <alignment horizontal="center" vertical="center" shrinkToFit="1"/>
      <protection locked="0"/>
    </xf>
    <xf numFmtId="0" fontId="84" fillId="0" borderId="55" xfId="49" applyFont="1" applyBorder="1" applyAlignment="1">
      <alignment horizontal="center" vertical="center" wrapText="1"/>
    </xf>
    <xf numFmtId="0" fontId="84" fillId="0" borderId="36" xfId="49" applyFont="1" applyBorder="1" applyAlignment="1">
      <alignment horizontal="center" vertical="center" wrapText="1"/>
    </xf>
    <xf numFmtId="0" fontId="84" fillId="0" borderId="108" xfId="49" applyFont="1" applyBorder="1" applyAlignment="1">
      <alignment horizontal="center" vertical="center" wrapText="1"/>
    </xf>
    <xf numFmtId="0" fontId="84" fillId="0" borderId="11" xfId="49" applyFont="1" applyBorder="1" applyAlignment="1">
      <alignment horizontal="center" vertical="center" wrapText="1"/>
    </xf>
    <xf numFmtId="0" fontId="84" fillId="0" borderId="12" xfId="49" applyFont="1" applyBorder="1" applyAlignment="1">
      <alignment horizontal="center" vertical="center" wrapText="1"/>
    </xf>
    <xf numFmtId="0" fontId="84" fillId="0" borderId="18" xfId="49" applyFont="1" applyBorder="1" applyAlignment="1">
      <alignment horizontal="center" vertical="center" wrapText="1"/>
    </xf>
    <xf numFmtId="0" fontId="80" fillId="0" borderId="55" xfId="49" applyFont="1" applyBorder="1" applyAlignment="1" applyProtection="1">
      <alignment horizontal="center" vertical="center" shrinkToFit="1"/>
      <protection locked="0"/>
    </xf>
    <xf numFmtId="0" fontId="80" fillId="0" borderId="0" xfId="49" applyFont="1" applyAlignment="1" applyProtection="1">
      <alignment horizontal="center" vertical="center"/>
      <protection locked="0"/>
    </xf>
    <xf numFmtId="0" fontId="80" fillId="0" borderId="19" xfId="49" applyFont="1" applyBorder="1" applyAlignment="1" applyProtection="1">
      <alignment horizontal="center" vertical="center"/>
      <protection locked="0"/>
    </xf>
    <xf numFmtId="0" fontId="80" fillId="0" borderId="30" xfId="49" applyFont="1" applyBorder="1" applyAlignment="1" applyProtection="1">
      <alignment horizontal="center" vertical="center"/>
      <protection locked="0"/>
    </xf>
    <xf numFmtId="0" fontId="80" fillId="0" borderId="38" xfId="49" applyFont="1" applyBorder="1" applyAlignment="1" applyProtection="1">
      <alignment horizontal="center" vertical="center"/>
      <protection locked="0"/>
    </xf>
    <xf numFmtId="0" fontId="80" fillId="0" borderId="14" xfId="49" applyFont="1" applyBorder="1" applyAlignment="1">
      <alignment horizontal="center" vertical="center"/>
    </xf>
    <xf numFmtId="0" fontId="80" fillId="0" borderId="256" xfId="49" applyFont="1" applyBorder="1" applyAlignment="1" applyProtection="1">
      <alignment horizontal="left" vertical="top" wrapText="1"/>
      <protection locked="0"/>
    </xf>
    <xf numFmtId="0" fontId="80" fillId="0" borderId="257" xfId="49" applyFont="1" applyBorder="1" applyAlignment="1" applyProtection="1">
      <alignment horizontal="left" vertical="top" wrapText="1"/>
      <protection locked="0"/>
    </xf>
    <xf numFmtId="0" fontId="80" fillId="0" borderId="253" xfId="49" applyFont="1" applyBorder="1" applyAlignment="1" applyProtection="1">
      <alignment horizontal="left" vertical="top" wrapText="1"/>
      <protection locked="0"/>
    </xf>
    <xf numFmtId="0" fontId="80" fillId="0" borderId="63" xfId="49" applyFont="1" applyBorder="1" applyAlignment="1">
      <alignment horizontal="center" vertical="center"/>
    </xf>
    <xf numFmtId="0" fontId="80" fillId="0" borderId="51" xfId="49" applyFont="1" applyBorder="1" applyAlignment="1">
      <alignment horizontal="center" vertical="center"/>
    </xf>
    <xf numFmtId="0" fontId="80" fillId="0" borderId="41" xfId="49" applyFont="1" applyBorder="1" applyAlignment="1">
      <alignment horizontal="center" vertical="center"/>
    </xf>
    <xf numFmtId="0" fontId="80" fillId="0" borderId="42" xfId="49" applyFont="1" applyBorder="1" applyAlignment="1">
      <alignment horizontal="center" vertical="center"/>
    </xf>
    <xf numFmtId="0" fontId="80" fillId="0" borderId="51" xfId="49" applyFont="1" applyBorder="1" applyAlignment="1" applyProtection="1">
      <alignment horizontal="center" vertical="center" shrinkToFit="1"/>
      <protection locked="0"/>
    </xf>
    <xf numFmtId="0" fontId="80" fillId="0" borderId="32" xfId="49" applyFont="1" applyBorder="1" applyAlignment="1">
      <alignment horizontal="center" vertical="center"/>
    </xf>
    <xf numFmtId="0" fontId="80" fillId="0" borderId="23" xfId="49" applyFont="1" applyBorder="1" applyAlignment="1" applyProtection="1">
      <alignment horizontal="center" vertical="center"/>
      <protection locked="0"/>
    </xf>
    <xf numFmtId="0" fontId="80" fillId="0" borderId="57" xfId="49" applyFont="1" applyBorder="1" applyAlignment="1" applyProtection="1">
      <alignment horizontal="center" vertical="center"/>
      <protection locked="0"/>
    </xf>
    <xf numFmtId="0" fontId="80" fillId="0" borderId="0" xfId="49" applyFont="1" applyAlignment="1">
      <alignment horizontal="center" vertical="center"/>
    </xf>
    <xf numFmtId="0" fontId="80" fillId="0" borderId="30" xfId="49" applyFont="1" applyBorder="1" applyAlignment="1">
      <alignment horizontal="center" vertical="center"/>
    </xf>
    <xf numFmtId="0" fontId="80" fillId="0" borderId="23" xfId="49" applyFont="1" applyBorder="1" applyAlignment="1" applyProtection="1">
      <alignment horizontal="left" vertical="top" shrinkToFit="1"/>
      <protection locked="0"/>
    </xf>
    <xf numFmtId="0" fontId="80" fillId="0" borderId="0" xfId="49" applyFont="1" applyAlignment="1" applyProtection="1">
      <alignment horizontal="left" vertical="top" shrinkToFit="1"/>
      <protection locked="0"/>
    </xf>
    <xf numFmtId="0" fontId="80" fillId="0" borderId="19" xfId="49" applyFont="1" applyBorder="1" applyAlignment="1" applyProtection="1">
      <alignment horizontal="left" vertical="top" shrinkToFit="1"/>
      <protection locked="0"/>
    </xf>
    <xf numFmtId="0" fontId="80" fillId="0" borderId="11" xfId="49" applyFont="1" applyBorder="1" applyAlignment="1" applyProtection="1">
      <alignment horizontal="left" vertical="top" shrinkToFit="1"/>
      <protection locked="0"/>
    </xf>
    <xf numFmtId="0" fontId="80" fillId="0" borderId="12" xfId="49" applyFont="1" applyBorder="1" applyAlignment="1" applyProtection="1">
      <alignment horizontal="left" vertical="top" shrinkToFit="1"/>
      <protection locked="0"/>
    </xf>
    <xf numFmtId="0" fontId="80" fillId="0" borderId="13" xfId="49" applyFont="1" applyBorder="1" applyAlignment="1" applyProtection="1">
      <alignment horizontal="left" vertical="top" shrinkToFit="1"/>
      <protection locked="0"/>
    </xf>
    <xf numFmtId="0" fontId="84" fillId="0" borderId="37" xfId="49" applyFont="1" applyBorder="1" applyAlignment="1">
      <alignment horizontal="center" vertical="center"/>
    </xf>
    <xf numFmtId="0" fontId="84" fillId="0" borderId="257" xfId="49" applyFont="1" applyBorder="1" applyAlignment="1">
      <alignment horizontal="center" vertical="center"/>
    </xf>
    <xf numFmtId="0" fontId="84" fillId="0" borderId="254" xfId="49" applyFont="1" applyBorder="1" applyAlignment="1">
      <alignment horizontal="center" vertical="center"/>
    </xf>
    <xf numFmtId="0" fontId="84" fillId="0" borderId="28" xfId="49" applyFont="1" applyBorder="1" applyAlignment="1">
      <alignment horizontal="center" vertical="center"/>
    </xf>
    <xf numFmtId="0" fontId="84" fillId="0" borderId="12" xfId="49" applyFont="1" applyBorder="1" applyAlignment="1">
      <alignment horizontal="center" vertical="center"/>
    </xf>
    <xf numFmtId="0" fontId="84" fillId="0" borderId="18" xfId="49" applyFont="1" applyBorder="1" applyAlignment="1">
      <alignment horizontal="center" vertical="center"/>
    </xf>
    <xf numFmtId="0" fontId="84" fillId="0" borderId="256" xfId="49" applyFont="1" applyBorder="1" applyAlignment="1" applyProtection="1">
      <alignment horizontal="center" vertical="center" wrapText="1" shrinkToFit="1"/>
      <protection locked="0"/>
    </xf>
    <xf numFmtId="0" fontId="84" fillId="0" borderId="257" xfId="49" applyFont="1" applyBorder="1" applyAlignment="1" applyProtection="1">
      <alignment horizontal="center" vertical="center" wrapText="1" shrinkToFit="1"/>
      <protection locked="0"/>
    </xf>
    <xf numFmtId="0" fontId="84" fillId="0" borderId="257" xfId="49" applyFont="1" applyBorder="1" applyAlignment="1" applyProtection="1">
      <alignment horizontal="center" vertical="center" shrinkToFit="1"/>
      <protection locked="0"/>
    </xf>
    <xf numFmtId="0" fontId="84" fillId="0" borderId="11" xfId="49" applyFont="1" applyBorder="1" applyAlignment="1" applyProtection="1">
      <alignment horizontal="center" vertical="center" shrinkToFit="1"/>
      <protection locked="0"/>
    </xf>
    <xf numFmtId="0" fontId="84" fillId="0" borderId="12" xfId="49" applyFont="1" applyBorder="1" applyAlignment="1" applyProtection="1">
      <alignment horizontal="center" vertical="center" shrinkToFit="1"/>
      <protection locked="0"/>
    </xf>
    <xf numFmtId="0" fontId="84" fillId="0" borderId="257" xfId="49" applyFont="1" applyBorder="1" applyAlignment="1">
      <alignment horizontal="center" vertical="center" shrinkToFit="1"/>
    </xf>
    <xf numFmtId="0" fontId="84" fillId="0" borderId="12" xfId="49" applyFont="1" applyBorder="1" applyAlignment="1">
      <alignment horizontal="center" vertical="center" shrinkToFit="1"/>
    </xf>
    <xf numFmtId="0" fontId="84" fillId="0" borderId="257" xfId="49" applyFont="1" applyBorder="1" applyAlignment="1">
      <alignment horizontal="right" vertical="center" shrinkToFit="1"/>
    </xf>
    <xf numFmtId="0" fontId="84" fillId="0" borderId="12" xfId="49" applyFont="1" applyBorder="1" applyAlignment="1">
      <alignment horizontal="right" vertical="center" shrinkToFit="1"/>
    </xf>
    <xf numFmtId="0" fontId="83" fillId="0" borderId="257" xfId="49" applyFont="1" applyBorder="1" applyAlignment="1" applyProtection="1">
      <alignment horizontal="center" vertical="center" shrinkToFit="1"/>
      <protection locked="0"/>
    </xf>
    <xf numFmtId="0" fontId="83" fillId="0" borderId="12" xfId="49" applyFont="1" applyBorder="1" applyAlignment="1" applyProtection="1">
      <alignment horizontal="center" vertical="center" shrinkToFit="1"/>
      <protection locked="0"/>
    </xf>
    <xf numFmtId="0" fontId="84" fillId="0" borderId="253" xfId="49" applyFont="1" applyBorder="1" applyAlignment="1">
      <alignment horizontal="left" vertical="center" shrinkToFit="1"/>
    </xf>
    <xf numFmtId="0" fontId="84" fillId="0" borderId="13" xfId="49" applyFont="1" applyBorder="1" applyAlignment="1">
      <alignment horizontal="left" vertical="center" shrinkToFit="1"/>
    </xf>
    <xf numFmtId="0" fontId="84" fillId="0" borderId="257" xfId="49" applyFont="1" applyBorder="1" applyAlignment="1">
      <alignment horizontal="left" vertical="center" shrinkToFit="1"/>
    </xf>
    <xf numFmtId="0" fontId="84" fillId="0" borderId="12" xfId="49" applyFont="1" applyBorder="1" applyAlignment="1">
      <alignment horizontal="left" vertical="center" shrinkToFit="1"/>
    </xf>
    <xf numFmtId="0" fontId="84" fillId="0" borderId="11" xfId="49" applyFont="1" applyBorder="1" applyAlignment="1" applyProtection="1">
      <alignment horizontal="center" vertical="center" wrapText="1" shrinkToFit="1"/>
      <protection locked="0"/>
    </xf>
    <xf numFmtId="0" fontId="84" fillId="0" borderId="12" xfId="49" applyFont="1" applyBorder="1" applyAlignment="1" applyProtection="1">
      <alignment horizontal="center" vertical="center" wrapText="1" shrinkToFit="1"/>
      <protection locked="0"/>
    </xf>
    <xf numFmtId="0" fontId="89" fillId="0" borderId="36" xfId="49" applyFont="1" applyBorder="1" applyAlignment="1">
      <alignment horizontal="center" vertical="center"/>
    </xf>
    <xf numFmtId="0" fontId="89" fillId="0" borderId="0" xfId="49" applyFont="1" applyAlignment="1">
      <alignment horizontal="center" vertical="center"/>
    </xf>
    <xf numFmtId="0" fontId="80" fillId="0" borderId="0" xfId="49" applyFont="1" applyAlignment="1">
      <alignment horizontal="right" vertical="center"/>
    </xf>
    <xf numFmtId="0" fontId="93" fillId="0" borderId="35" xfId="49" applyFont="1" applyBorder="1" applyAlignment="1">
      <alignment horizontal="center" vertical="center" wrapText="1"/>
    </xf>
    <xf numFmtId="0" fontId="93" fillId="0" borderId="36" xfId="49" applyFont="1" applyBorder="1" applyAlignment="1">
      <alignment horizontal="center" vertical="center"/>
    </xf>
    <xf numFmtId="0" fontId="93" fillId="0" borderId="26" xfId="49" applyFont="1" applyBorder="1" applyAlignment="1">
      <alignment horizontal="center" vertical="center" wrapText="1"/>
    </xf>
    <xf numFmtId="0" fontId="93" fillId="0" borderId="0" xfId="49" applyFont="1" applyAlignment="1">
      <alignment horizontal="center" vertical="center"/>
    </xf>
    <xf numFmtId="0" fontId="93" fillId="0" borderId="28" xfId="49" applyFont="1" applyBorder="1" applyAlignment="1">
      <alignment horizontal="center" vertical="center"/>
    </xf>
    <xf numFmtId="0" fontId="93" fillId="0" borderId="12" xfId="49" applyFont="1" applyBorder="1" applyAlignment="1">
      <alignment horizontal="center" vertical="center"/>
    </xf>
    <xf numFmtId="0" fontId="84" fillId="0" borderId="152" xfId="49" applyFont="1" applyBorder="1" applyAlignment="1" applyProtection="1">
      <alignment horizontal="left" vertical="center"/>
      <protection locked="0"/>
    </xf>
    <xf numFmtId="0" fontId="84" fillId="0" borderId="153" xfId="49" applyFont="1" applyBorder="1" applyAlignment="1" applyProtection="1">
      <alignment horizontal="left" vertical="center"/>
      <protection locked="0"/>
    </xf>
    <xf numFmtId="0" fontId="84" fillId="0" borderId="23" xfId="49" applyFont="1" applyBorder="1" applyAlignment="1">
      <alignment horizontal="center" vertical="center" wrapText="1"/>
    </xf>
    <xf numFmtId="0" fontId="84" fillId="0" borderId="0" xfId="49" applyFont="1" applyAlignment="1">
      <alignment horizontal="center" vertical="center" wrapText="1"/>
    </xf>
    <xf numFmtId="0" fontId="84" fillId="0" borderId="24" xfId="49" applyFont="1" applyBorder="1" applyAlignment="1">
      <alignment horizontal="center" vertical="center" wrapText="1"/>
    </xf>
    <xf numFmtId="0" fontId="84" fillId="0" borderId="152" xfId="49" applyFont="1" applyBorder="1" applyAlignment="1" applyProtection="1">
      <alignment horizontal="center" vertical="top" wrapText="1"/>
      <protection locked="0"/>
    </xf>
    <xf numFmtId="0" fontId="84" fillId="0" borderId="153" xfId="49" applyFont="1" applyBorder="1" applyAlignment="1" applyProtection="1">
      <alignment horizontal="center" vertical="top" wrapText="1"/>
      <protection locked="0"/>
    </xf>
    <xf numFmtId="0" fontId="84" fillId="0" borderId="36" xfId="49" applyFont="1" applyBorder="1" applyAlignment="1">
      <alignment horizontal="center" shrinkToFit="1"/>
    </xf>
    <xf numFmtId="0" fontId="97" fillId="0" borderId="23" xfId="49" applyFont="1" applyBorder="1" applyAlignment="1" applyProtection="1">
      <alignment horizontal="center" vertical="top" shrinkToFit="1"/>
      <protection locked="0"/>
    </xf>
    <xf numFmtId="0" fontId="97" fillId="0" borderId="0" xfId="49" applyFont="1" applyAlignment="1" applyProtection="1">
      <alignment horizontal="center" vertical="top" shrinkToFit="1"/>
      <protection locked="0"/>
    </xf>
    <xf numFmtId="0" fontId="97" fillId="0" borderId="11" xfId="49" applyFont="1" applyBorder="1" applyAlignment="1" applyProtection="1">
      <alignment horizontal="center" vertical="top" shrinkToFit="1"/>
      <protection locked="0"/>
    </xf>
    <xf numFmtId="0" fontId="97" fillId="0" borderId="12" xfId="49" applyFont="1" applyBorder="1" applyAlignment="1" applyProtection="1">
      <alignment horizontal="center" vertical="top" shrinkToFit="1"/>
      <protection locked="0"/>
    </xf>
    <xf numFmtId="0" fontId="84" fillId="0" borderId="0" xfId="49" applyFont="1" applyAlignment="1" applyProtection="1">
      <alignment horizontal="center" vertical="top" wrapText="1"/>
      <protection locked="0"/>
    </xf>
    <xf numFmtId="0" fontId="84" fillId="0" borderId="12" xfId="49" applyFont="1" applyBorder="1" applyAlignment="1" applyProtection="1">
      <alignment horizontal="center" vertical="top" wrapText="1"/>
      <protection locked="0"/>
    </xf>
    <xf numFmtId="0" fontId="114" fillId="0" borderId="135" xfId="49" applyFont="1" applyBorder="1" applyAlignment="1">
      <alignment horizontal="left" vertical="center" indent="1"/>
    </xf>
    <xf numFmtId="0" fontId="114" fillId="0" borderId="110" xfId="49" applyFont="1" applyBorder="1" applyAlignment="1">
      <alignment horizontal="left" vertical="center" indent="1"/>
    </xf>
    <xf numFmtId="0" fontId="114" fillId="0" borderId="11" xfId="49" applyFont="1" applyBorder="1" applyAlignment="1">
      <alignment horizontal="left" vertical="center" indent="1"/>
    </xf>
    <xf numFmtId="0" fontId="114" fillId="0" borderId="12" xfId="49" applyFont="1" applyBorder="1" applyAlignment="1">
      <alignment horizontal="left" vertical="center" indent="1"/>
    </xf>
    <xf numFmtId="0" fontId="114" fillId="0" borderId="110" xfId="49" applyFont="1" applyBorder="1" applyAlignment="1" applyProtection="1">
      <alignment horizontal="left" vertical="center" shrinkToFit="1"/>
      <protection locked="0"/>
    </xf>
    <xf numFmtId="0" fontId="114" fillId="0" borderId="12" xfId="49" applyFont="1" applyBorder="1" applyAlignment="1" applyProtection="1">
      <alignment horizontal="left" vertical="center" shrinkToFit="1"/>
      <protection locked="0"/>
    </xf>
    <xf numFmtId="0" fontId="80" fillId="0" borderId="0" xfId="49" applyFont="1" applyAlignment="1">
      <alignment horizontal="left" vertical="center"/>
    </xf>
    <xf numFmtId="0" fontId="18" fillId="33" borderId="256" xfId="44" applyFont="1" applyFill="1" applyBorder="1" applyAlignment="1">
      <alignment horizontal="center" vertical="center"/>
    </xf>
    <xf numFmtId="0" fontId="18" fillId="33" borderId="257" xfId="44" applyFont="1" applyFill="1" applyBorder="1" applyAlignment="1">
      <alignment horizontal="center" vertical="center"/>
    </xf>
    <xf numFmtId="0" fontId="18" fillId="33" borderId="254" xfId="44" applyFont="1" applyFill="1" applyBorder="1" applyAlignment="1">
      <alignment horizontal="center" vertical="center"/>
    </xf>
    <xf numFmtId="0" fontId="18" fillId="33" borderId="11" xfId="44" applyFont="1" applyFill="1" applyBorder="1" applyAlignment="1">
      <alignment horizontal="center" vertical="center"/>
    </xf>
    <xf numFmtId="0" fontId="18" fillId="33" borderId="12" xfId="44" applyFont="1" applyFill="1" applyBorder="1" applyAlignment="1">
      <alignment horizontal="center" vertical="center"/>
    </xf>
    <xf numFmtId="0" fontId="18" fillId="33" borderId="18" xfId="44" applyFont="1" applyFill="1" applyBorder="1" applyAlignment="1">
      <alignment horizontal="center" vertical="center"/>
    </xf>
    <xf numFmtId="0" fontId="59" fillId="0" borderId="35" xfId="44" applyFont="1" applyBorder="1" applyAlignment="1" applyProtection="1">
      <alignment horizontal="center" vertical="center"/>
      <protection locked="0"/>
    </xf>
    <xf numFmtId="0" fontId="59" fillId="0" borderId="36" xfId="44" applyFont="1" applyBorder="1" applyAlignment="1" applyProtection="1">
      <alignment horizontal="center" vertical="center"/>
      <protection locked="0"/>
    </xf>
    <xf numFmtId="0" fontId="59" fillId="0" borderId="45" xfId="44" applyFont="1" applyBorder="1" applyAlignment="1" applyProtection="1">
      <alignment horizontal="center" vertical="center"/>
      <protection locked="0"/>
    </xf>
    <xf numFmtId="0" fontId="59" fillId="0" borderId="29" xfId="44" applyFont="1" applyBorder="1" applyAlignment="1" applyProtection="1">
      <alignment horizontal="center" vertical="center"/>
      <protection locked="0"/>
    </xf>
    <xf numFmtId="0" fontId="59" fillId="0" borderId="30" xfId="44" applyFont="1" applyBorder="1" applyAlignment="1" applyProtection="1">
      <alignment horizontal="center" vertical="center"/>
      <protection locked="0"/>
    </xf>
    <xf numFmtId="0" fontId="59" fillId="0" borderId="38" xfId="44" applyFont="1" applyBorder="1" applyAlignment="1" applyProtection="1">
      <alignment horizontal="center" vertical="center"/>
      <protection locked="0"/>
    </xf>
    <xf numFmtId="0" fontId="18" fillId="33" borderId="10" xfId="44" applyFont="1" applyFill="1" applyBorder="1" applyAlignment="1">
      <alignment horizontal="center" vertical="center" shrinkToFit="1"/>
    </xf>
    <xf numFmtId="0" fontId="76" fillId="0" borderId="10" xfId="44" applyFont="1" applyBorder="1" applyAlignment="1">
      <alignment horizontal="center" vertical="center" shrinkToFit="1"/>
    </xf>
    <xf numFmtId="0" fontId="62" fillId="0" borderId="256" xfId="44" applyFont="1" applyBorder="1" applyAlignment="1">
      <alignment horizontal="center" vertical="center"/>
    </xf>
    <xf numFmtId="0" fontId="62" fillId="0" borderId="257" xfId="44" applyFont="1" applyBorder="1" applyAlignment="1">
      <alignment horizontal="center" vertical="center"/>
    </xf>
    <xf numFmtId="0" fontId="62" fillId="0" borderId="251" xfId="44" applyFont="1" applyBorder="1" applyAlignment="1">
      <alignment horizontal="center" vertical="center"/>
    </xf>
    <xf numFmtId="0" fontId="62" fillId="0" borderId="11" xfId="44" applyFont="1" applyBorder="1" applyAlignment="1">
      <alignment horizontal="center" vertical="center"/>
    </xf>
    <xf numFmtId="0" fontId="62" fillId="0" borderId="12" xfId="44" applyFont="1" applyBorder="1" applyAlignment="1">
      <alignment horizontal="center" vertical="center"/>
    </xf>
    <xf numFmtId="0" fontId="62" fillId="0" borderId="157" xfId="44" applyFont="1" applyBorder="1" applyAlignment="1">
      <alignment horizontal="center" vertical="center"/>
    </xf>
    <xf numFmtId="0" fontId="62" fillId="0" borderId="115" xfId="44" applyFont="1" applyBorder="1" applyAlignment="1">
      <alignment horizontal="center" vertical="center" shrinkToFit="1"/>
    </xf>
    <xf numFmtId="0" fontId="62" fillId="0" borderId="257" xfId="44" applyFont="1" applyBorder="1" applyAlignment="1">
      <alignment horizontal="center" vertical="center" shrinkToFit="1"/>
    </xf>
    <xf numFmtId="0" fontId="62" fillId="0" borderId="254" xfId="44" applyFont="1" applyBorder="1" applyAlignment="1">
      <alignment horizontal="center" vertical="center" shrinkToFit="1"/>
    </xf>
    <xf numFmtId="0" fontId="62" fillId="0" borderId="123" xfId="44" applyFont="1" applyBorder="1" applyAlignment="1">
      <alignment horizontal="center" vertical="center" shrinkToFit="1"/>
    </xf>
    <xf numFmtId="0" fontId="62" fillId="0" borderId="12" xfId="44" applyFont="1" applyBorder="1" applyAlignment="1">
      <alignment horizontal="center" vertical="center" shrinkToFit="1"/>
    </xf>
    <xf numFmtId="0" fontId="62" fillId="0" borderId="18" xfId="44" applyFont="1" applyBorder="1" applyAlignment="1">
      <alignment horizontal="center" vertical="center" shrinkToFit="1"/>
    </xf>
    <xf numFmtId="0" fontId="68" fillId="36" borderId="23" xfId="44" applyFont="1" applyFill="1" applyBorder="1" applyAlignment="1">
      <alignment horizontal="center" vertical="center"/>
    </xf>
    <xf numFmtId="0" fontId="68" fillId="36" borderId="0" xfId="44" applyFont="1" applyFill="1" applyAlignment="1">
      <alignment horizontal="center" vertical="center"/>
    </xf>
    <xf numFmtId="0" fontId="61" fillId="0" borderId="0" xfId="44" applyFont="1" applyAlignment="1">
      <alignment horizontal="center" vertical="center"/>
    </xf>
    <xf numFmtId="0" fontId="61" fillId="0" borderId="12" xfId="44" applyFont="1" applyBorder="1" applyAlignment="1">
      <alignment horizontal="center" vertical="center"/>
    </xf>
    <xf numFmtId="0" fontId="39" fillId="0" borderId="0" xfId="44" applyFont="1" applyAlignment="1">
      <alignment horizontal="left" vertical="center"/>
    </xf>
    <xf numFmtId="0" fontId="39" fillId="0" borderId="12" xfId="44" applyFont="1" applyBorder="1" applyAlignment="1">
      <alignment horizontal="left" vertical="center"/>
    </xf>
    <xf numFmtId="0" fontId="77" fillId="0" borderId="0" xfId="44" applyFont="1" applyAlignment="1">
      <alignment horizontal="center" vertical="center"/>
    </xf>
    <xf numFmtId="0" fontId="77" fillId="0" borderId="12" xfId="44" applyFont="1" applyBorder="1" applyAlignment="1">
      <alignment horizontal="center" vertical="center"/>
    </xf>
    <xf numFmtId="0" fontId="52" fillId="0" borderId="0" xfId="53" applyFont="1" applyAlignment="1">
      <alignment horizontal="left" vertical="center"/>
    </xf>
    <xf numFmtId="0" fontId="52" fillId="0" borderId="12" xfId="53" applyFont="1" applyBorder="1" applyAlignment="1">
      <alignment horizontal="left" vertical="center"/>
    </xf>
    <xf numFmtId="0" fontId="78" fillId="0" borderId="0" xfId="53" applyFont="1" applyAlignment="1">
      <alignment horizontal="center" vertical="center"/>
    </xf>
    <xf numFmtId="0" fontId="78" fillId="0" borderId="12" xfId="53" applyFont="1" applyBorder="1" applyAlignment="1">
      <alignment horizontal="center" vertical="center"/>
    </xf>
    <xf numFmtId="38" fontId="38" fillId="0" borderId="59" xfId="45" applyFont="1" applyFill="1" applyBorder="1" applyAlignment="1">
      <alignment horizontal="left" vertical="center"/>
    </xf>
    <xf numFmtId="38" fontId="38" fillId="0" borderId="60" xfId="45" applyFont="1" applyFill="1" applyBorder="1" applyAlignment="1">
      <alignment horizontal="left" vertical="center"/>
    </xf>
    <xf numFmtId="38" fontId="38" fillId="0" borderId="91" xfId="45" applyFont="1" applyFill="1" applyBorder="1" applyAlignment="1">
      <alignment horizontal="left" vertical="center"/>
    </xf>
    <xf numFmtId="38" fontId="38" fillId="0" borderId="92" xfId="45" applyFont="1" applyFill="1" applyBorder="1" applyAlignment="1">
      <alignment horizontal="left" vertical="center"/>
    </xf>
    <xf numFmtId="0" fontId="41" fillId="32" borderId="97" xfId="44" applyFont="1" applyFill="1" applyBorder="1" applyAlignment="1">
      <alignment horizontal="right" vertical="center" shrinkToFit="1"/>
    </xf>
    <xf numFmtId="0" fontId="41" fillId="32" borderId="96" xfId="44" applyFont="1" applyFill="1" applyBorder="1" applyAlignment="1">
      <alignment horizontal="right" vertical="center" shrinkToFit="1"/>
    </xf>
    <xf numFmtId="0" fontId="18" fillId="32" borderId="96" xfId="44" applyFont="1" applyFill="1" applyBorder="1" applyAlignment="1">
      <alignment horizontal="center" vertical="center"/>
    </xf>
    <xf numFmtId="0" fontId="18" fillId="32" borderId="98" xfId="44" applyFont="1" applyFill="1" applyBorder="1" applyAlignment="1">
      <alignment horizontal="center" vertical="center"/>
    </xf>
    <xf numFmtId="0" fontId="18" fillId="33" borderId="10" xfId="44" applyFont="1" applyFill="1" applyBorder="1" applyAlignment="1">
      <alignment horizontal="center" vertical="center"/>
    </xf>
    <xf numFmtId="0" fontId="38" fillId="0" borderId="256" xfId="44" applyFont="1" applyBorder="1" applyAlignment="1" applyProtection="1">
      <alignment horizontal="right" vertical="center"/>
      <protection locked="0"/>
    </xf>
    <xf numFmtId="0" fontId="38" fillId="0" borderId="257" xfId="44" applyFont="1" applyBorder="1" applyAlignment="1" applyProtection="1">
      <alignment horizontal="right" vertical="center"/>
      <protection locked="0"/>
    </xf>
    <xf numFmtId="0" fontId="38" fillId="0" borderId="11" xfId="44" applyFont="1" applyBorder="1" applyAlignment="1" applyProtection="1">
      <alignment horizontal="right" vertical="center"/>
      <protection locked="0"/>
    </xf>
    <xf numFmtId="0" fontId="38" fillId="0" borderId="12" xfId="44" applyFont="1" applyBorder="1" applyAlignment="1" applyProtection="1">
      <alignment horizontal="right" vertical="center"/>
      <protection locked="0"/>
    </xf>
    <xf numFmtId="0" fontId="38" fillId="0" borderId="257" xfId="44" applyFont="1" applyBorder="1" applyAlignment="1">
      <alignment horizontal="left" vertical="center"/>
    </xf>
    <xf numFmtId="0" fontId="38" fillId="0" borderId="254" xfId="44" applyFont="1" applyBorder="1" applyAlignment="1">
      <alignment horizontal="left" vertical="center"/>
    </xf>
    <xf numFmtId="0" fontId="38" fillId="0" borderId="12" xfId="44" applyFont="1" applyBorder="1" applyAlignment="1">
      <alignment horizontal="left" vertical="center"/>
    </xf>
    <xf numFmtId="0" fontId="38" fillId="0" borderId="18" xfId="44" applyFont="1" applyBorder="1" applyAlignment="1">
      <alignment horizontal="left" vertical="center"/>
    </xf>
    <xf numFmtId="38" fontId="38" fillId="0" borderId="117" xfId="45" applyFont="1" applyFill="1" applyBorder="1" applyAlignment="1">
      <alignment horizontal="right" vertical="center" shrinkToFit="1"/>
    </xf>
    <xf numFmtId="38" fontId="38" fillId="0" borderId="110" xfId="45" applyFont="1" applyFill="1" applyBorder="1" applyAlignment="1">
      <alignment horizontal="right" vertical="center" shrinkToFit="1"/>
    </xf>
    <xf numFmtId="38" fontId="38" fillId="0" borderId="116" xfId="45" applyFont="1" applyFill="1" applyBorder="1" applyAlignment="1">
      <alignment horizontal="right" vertical="center" shrinkToFit="1"/>
    </xf>
    <xf numFmtId="38" fontId="38" fillId="0" borderId="96" xfId="45" applyFont="1" applyFill="1" applyBorder="1" applyAlignment="1">
      <alignment horizontal="right" vertical="center" shrinkToFit="1"/>
    </xf>
    <xf numFmtId="0" fontId="38" fillId="0" borderId="178" xfId="44" applyFont="1" applyBorder="1" applyAlignment="1">
      <alignment horizontal="center" vertical="center"/>
    </xf>
    <xf numFmtId="0" fontId="38" fillId="0" borderId="177" xfId="44" applyFont="1" applyBorder="1" applyAlignment="1">
      <alignment horizontal="center" vertical="center"/>
    </xf>
    <xf numFmtId="0" fontId="38" fillId="0" borderId="173" xfId="44" applyFont="1" applyBorder="1" applyAlignment="1">
      <alignment horizontal="center" vertical="center"/>
    </xf>
    <xf numFmtId="38" fontId="38" fillId="0" borderId="115" xfId="45" applyFont="1" applyFill="1" applyBorder="1" applyAlignment="1">
      <alignment horizontal="right" vertical="center" shrinkToFit="1"/>
    </xf>
    <xf numFmtId="38" fontId="38" fillId="0" borderId="257" xfId="45" applyFont="1" applyFill="1" applyBorder="1" applyAlignment="1">
      <alignment horizontal="right" vertical="center" shrinkToFit="1"/>
    </xf>
    <xf numFmtId="38" fontId="38" fillId="0" borderId="119" xfId="45" applyFont="1" applyFill="1" applyBorder="1" applyAlignment="1">
      <alignment horizontal="right" vertical="center" shrinkToFit="1"/>
    </xf>
    <xf numFmtId="38" fontId="38" fillId="0" borderId="106" xfId="45" applyFont="1" applyFill="1" applyBorder="1" applyAlignment="1">
      <alignment horizontal="right" vertical="center" shrinkToFit="1"/>
    </xf>
    <xf numFmtId="38" fontId="38" fillId="0" borderId="118" xfId="45" applyFont="1" applyFill="1" applyBorder="1" applyAlignment="1">
      <alignment horizontal="right" vertical="center" shrinkToFit="1"/>
    </xf>
    <xf numFmtId="38" fontId="38" fillId="0" borderId="27" xfId="45" applyFont="1" applyFill="1" applyBorder="1" applyAlignment="1">
      <alignment horizontal="right" vertical="center" shrinkToFit="1"/>
    </xf>
    <xf numFmtId="38" fontId="38" fillId="0" borderId="106" xfId="45" applyFont="1" applyFill="1" applyBorder="1" applyAlignment="1">
      <alignment horizontal="left" vertical="center"/>
    </xf>
    <xf numFmtId="38" fontId="38" fillId="0" borderId="127" xfId="45" applyFont="1" applyFill="1" applyBorder="1" applyAlignment="1">
      <alignment horizontal="left" vertical="center"/>
    </xf>
    <xf numFmtId="38" fontId="38" fillId="0" borderId="27" xfId="45" applyFont="1" applyFill="1" applyBorder="1" applyAlignment="1">
      <alignment horizontal="left" vertical="center"/>
    </xf>
    <xf numFmtId="38" fontId="38" fillId="0" borderId="129" xfId="45" applyFont="1" applyFill="1" applyBorder="1" applyAlignment="1">
      <alignment horizontal="left" vertical="center"/>
    </xf>
    <xf numFmtId="0" fontId="42" fillId="33" borderId="126" xfId="44" applyFont="1" applyFill="1" applyBorder="1" applyAlignment="1">
      <alignment horizontal="center" vertical="center" wrapText="1"/>
    </xf>
    <xf numFmtId="0" fontId="42" fillId="33" borderId="106" xfId="44" applyFont="1" applyFill="1" applyBorder="1" applyAlignment="1">
      <alignment horizontal="center" vertical="center" wrapText="1"/>
    </xf>
    <xf numFmtId="0" fontId="42" fillId="33" borderId="107" xfId="44" applyFont="1" applyFill="1" applyBorder="1" applyAlignment="1">
      <alignment horizontal="center" vertical="center" wrapText="1"/>
    </xf>
    <xf numFmtId="0" fontId="42" fillId="33" borderId="128" xfId="44" applyFont="1" applyFill="1" applyBorder="1" applyAlignment="1">
      <alignment horizontal="center" vertical="center" wrapText="1"/>
    </xf>
    <xf numFmtId="0" fontId="42" fillId="33" borderId="27" xfId="44" applyFont="1" applyFill="1" applyBorder="1" applyAlignment="1">
      <alignment horizontal="center" vertical="center" wrapText="1"/>
    </xf>
    <xf numFmtId="0" fontId="42" fillId="33" borderId="100" xfId="44" applyFont="1" applyFill="1" applyBorder="1" applyAlignment="1">
      <alignment horizontal="center" vertical="center" wrapText="1"/>
    </xf>
    <xf numFmtId="38" fontId="38" fillId="0" borderId="111" xfId="45" applyFont="1" applyBorder="1" applyAlignment="1">
      <alignment horizontal="center" vertical="center"/>
    </xf>
    <xf numFmtId="38" fontId="38" fillId="0" borderId="99" xfId="45" applyFont="1" applyBorder="1" applyAlignment="1">
      <alignment horizontal="center" vertical="center"/>
    </xf>
    <xf numFmtId="184" fontId="41" fillId="32" borderId="97" xfId="44" applyNumberFormat="1" applyFont="1" applyFill="1" applyBorder="1" applyAlignment="1">
      <alignment horizontal="right" vertical="center" shrinkToFit="1"/>
    </xf>
    <xf numFmtId="184" fontId="41" fillId="32" borderId="96" xfId="44" applyNumberFormat="1" applyFont="1" applyFill="1" applyBorder="1" applyAlignment="1">
      <alignment horizontal="right" vertical="center" shrinkToFit="1"/>
    </xf>
    <xf numFmtId="0" fontId="19" fillId="33" borderId="10" xfId="44" applyFont="1" applyFill="1" applyBorder="1" applyAlignment="1">
      <alignment horizontal="center" vertical="center" wrapText="1" shrinkToFit="1"/>
    </xf>
    <xf numFmtId="0" fontId="18" fillId="33" borderId="23" xfId="44" applyFont="1" applyFill="1" applyBorder="1" applyAlignment="1">
      <alignment horizontal="center" vertical="center"/>
    </xf>
    <xf numFmtId="0" fontId="18" fillId="33" borderId="0" xfId="44" applyFont="1" applyFill="1" applyAlignment="1">
      <alignment horizontal="center" vertical="center"/>
    </xf>
    <xf numFmtId="0" fontId="18" fillId="33" borderId="24" xfId="44" applyFont="1" applyFill="1" applyBorder="1" applyAlignment="1">
      <alignment horizontal="center" vertical="center"/>
    </xf>
    <xf numFmtId="38" fontId="38" fillId="0" borderId="110" xfId="45" applyFont="1" applyBorder="1" applyAlignment="1">
      <alignment horizontal="center" vertical="center"/>
    </xf>
    <xf numFmtId="38" fontId="38" fillId="0" borderId="27" xfId="45" applyFont="1" applyBorder="1" applyAlignment="1">
      <alignment horizontal="center" vertical="center"/>
    </xf>
    <xf numFmtId="38" fontId="72" fillId="0" borderId="117" xfId="45" applyFont="1" applyFill="1" applyBorder="1" applyAlignment="1">
      <alignment horizontal="right" vertical="center" shrinkToFit="1"/>
    </xf>
    <xf numFmtId="38" fontId="72" fillId="0" borderId="110" xfId="45" applyFont="1" applyFill="1" applyBorder="1" applyAlignment="1">
      <alignment horizontal="right" vertical="center" shrinkToFit="1"/>
    </xf>
    <xf numFmtId="38" fontId="72" fillId="0" borderId="118" xfId="45" applyFont="1" applyFill="1" applyBorder="1" applyAlignment="1">
      <alignment horizontal="right" vertical="center" shrinkToFit="1"/>
    </xf>
    <xf numFmtId="38" fontId="72" fillId="0" borderId="27" xfId="45" applyFont="1" applyFill="1" applyBorder="1" applyAlignment="1">
      <alignment horizontal="right" vertical="center" shrinkToFit="1"/>
    </xf>
    <xf numFmtId="38" fontId="38" fillId="0" borderId="102" xfId="45" applyFont="1" applyFill="1" applyBorder="1" applyAlignment="1">
      <alignment horizontal="left" vertical="center"/>
    </xf>
    <xf numFmtId="38" fontId="38" fillId="0" borderId="101" xfId="45" applyFont="1" applyFill="1" applyBorder="1" applyAlignment="1">
      <alignment horizontal="left" vertical="center"/>
    </xf>
    <xf numFmtId="184" fontId="41" fillId="32" borderId="99" xfId="44" applyNumberFormat="1" applyFont="1" applyFill="1" applyBorder="1" applyAlignment="1">
      <alignment horizontal="right" vertical="center" shrinkToFit="1"/>
    </xf>
    <xf numFmtId="184" fontId="41" fillId="32" borderId="27" xfId="44" applyNumberFormat="1" applyFont="1" applyFill="1" applyBorder="1" applyAlignment="1">
      <alignment horizontal="right" vertical="center" shrinkToFit="1"/>
    </xf>
    <xf numFmtId="0" fontId="18" fillId="32" borderId="27" xfId="44" applyFont="1" applyFill="1" applyBorder="1" applyAlignment="1">
      <alignment horizontal="center" vertical="center"/>
    </xf>
    <xf numFmtId="0" fontId="18" fillId="32" borderId="100" xfId="44" applyFont="1" applyFill="1" applyBorder="1" applyAlignment="1">
      <alignment horizontal="center" vertical="center"/>
    </xf>
    <xf numFmtId="0" fontId="38" fillId="0" borderId="23" xfId="44" applyFont="1" applyBorder="1" applyAlignment="1" applyProtection="1">
      <alignment horizontal="right" vertical="center"/>
      <protection locked="0"/>
    </xf>
    <xf numFmtId="0" fontId="38" fillId="0" borderId="0" xfId="44" applyFont="1" applyAlignment="1" applyProtection="1">
      <alignment horizontal="right" vertical="center"/>
      <protection locked="0"/>
    </xf>
    <xf numFmtId="0" fontId="38" fillId="0" borderId="0" xfId="44" applyFont="1" applyAlignment="1">
      <alignment horizontal="left" vertical="center"/>
    </xf>
    <xf numFmtId="0" fontId="38" fillId="0" borderId="24" xfId="44" applyFont="1" applyBorder="1" applyAlignment="1">
      <alignment horizontal="left" vertical="center"/>
    </xf>
    <xf numFmtId="38" fontId="38" fillId="0" borderId="96" xfId="45" applyFont="1" applyBorder="1" applyAlignment="1">
      <alignment horizontal="center" vertical="center"/>
    </xf>
    <xf numFmtId="0" fontId="41" fillId="33" borderId="10" xfId="44" applyFont="1" applyFill="1" applyBorder="1" applyAlignment="1">
      <alignment horizontal="center" vertical="center" wrapText="1"/>
    </xf>
    <xf numFmtId="0" fontId="41" fillId="33" borderId="10" xfId="44" applyFont="1" applyFill="1" applyBorder="1" applyAlignment="1">
      <alignment horizontal="center" vertical="center"/>
    </xf>
    <xf numFmtId="0" fontId="42" fillId="33" borderId="130" xfId="44" applyFont="1" applyFill="1" applyBorder="1" applyAlignment="1">
      <alignment horizontal="center" vertical="center" wrapText="1"/>
    </xf>
    <xf numFmtId="0" fontId="42" fillId="33" borderId="104" xfId="44" applyFont="1" applyFill="1" applyBorder="1" applyAlignment="1">
      <alignment horizontal="center" vertical="center" wrapText="1"/>
    </xf>
    <xf numFmtId="0" fontId="42" fillId="33" borderId="105" xfId="44" applyFont="1" applyFill="1" applyBorder="1" applyAlignment="1">
      <alignment horizontal="center" vertical="center" wrapText="1"/>
    </xf>
    <xf numFmtId="0" fontId="42" fillId="33" borderId="132" xfId="44" applyFont="1" applyFill="1" applyBorder="1" applyAlignment="1">
      <alignment horizontal="center" vertical="center" wrapText="1"/>
    </xf>
    <xf numFmtId="0" fontId="42" fillId="33" borderId="113" xfId="44" applyFont="1" applyFill="1" applyBorder="1" applyAlignment="1">
      <alignment horizontal="center" vertical="center" wrapText="1"/>
    </xf>
    <xf numFmtId="0" fontId="42" fillId="33" borderId="114" xfId="44" applyFont="1" applyFill="1" applyBorder="1" applyAlignment="1">
      <alignment horizontal="center" vertical="center" wrapText="1"/>
    </xf>
    <xf numFmtId="38" fontId="38" fillId="0" borderId="103" xfId="45" applyFont="1" applyBorder="1" applyAlignment="1">
      <alignment horizontal="center" vertical="center"/>
    </xf>
    <xf numFmtId="38" fontId="38" fillId="0" borderId="112" xfId="45" applyFont="1" applyBorder="1" applyAlignment="1">
      <alignment horizontal="center" vertical="center"/>
    </xf>
    <xf numFmtId="38" fontId="39" fillId="0" borderId="121" xfId="45" applyFont="1" applyFill="1" applyBorder="1" applyAlignment="1">
      <alignment horizontal="right" vertical="center" shrinkToFit="1"/>
    </xf>
    <xf numFmtId="38" fontId="39" fillId="0" borderId="104" xfId="45" applyFont="1" applyFill="1" applyBorder="1" applyAlignment="1">
      <alignment horizontal="right" vertical="center" shrinkToFit="1"/>
    </xf>
    <xf numFmtId="38" fontId="39" fillId="0" borderId="120" xfId="45" applyFont="1" applyFill="1" applyBorder="1" applyAlignment="1">
      <alignment horizontal="right" vertical="center" shrinkToFit="1"/>
    </xf>
    <xf numFmtId="38" fontId="39" fillId="0" borderId="113" xfId="45" applyFont="1" applyFill="1" applyBorder="1" applyAlignment="1">
      <alignment horizontal="right" vertical="center" shrinkToFit="1"/>
    </xf>
    <xf numFmtId="38" fontId="38" fillId="0" borderId="104" xfId="45" applyFont="1" applyFill="1" applyBorder="1" applyAlignment="1">
      <alignment horizontal="left" vertical="center"/>
    </xf>
    <xf numFmtId="38" fontId="38" fillId="0" borderId="131" xfId="45" applyFont="1" applyFill="1" applyBorder="1" applyAlignment="1">
      <alignment horizontal="left" vertical="center"/>
    </xf>
    <xf numFmtId="38" fontId="38" fillId="0" borderId="113" xfId="45" applyFont="1" applyFill="1" applyBorder="1" applyAlignment="1">
      <alignment horizontal="left" vertical="center"/>
    </xf>
    <xf numFmtId="38" fontId="38" fillId="0" borderId="133" xfId="45" applyFont="1" applyFill="1" applyBorder="1" applyAlignment="1">
      <alignment horizontal="left" vertical="center"/>
    </xf>
    <xf numFmtId="0" fontId="41" fillId="32" borderId="10" xfId="44" applyFont="1" applyFill="1" applyBorder="1" applyAlignment="1">
      <alignment horizontal="center" vertical="center"/>
    </xf>
    <xf numFmtId="0" fontId="18" fillId="0" borderId="10" xfId="44" applyFont="1" applyBorder="1" applyAlignment="1">
      <alignment horizontal="right" vertical="center"/>
    </xf>
    <xf numFmtId="0" fontId="18" fillId="0" borderId="14" xfId="44" applyFont="1" applyBorder="1" applyAlignment="1">
      <alignment horizontal="right" vertical="center"/>
    </xf>
    <xf numFmtId="0" fontId="18" fillId="0" borderId="15" xfId="44" applyFont="1" applyBorder="1" applyAlignment="1">
      <alignment horizontal="center" vertical="center" shrinkToFit="1"/>
    </xf>
    <xf numFmtId="0" fontId="18" fillId="0" borderId="16" xfId="44" applyFont="1" applyBorder="1" applyAlignment="1">
      <alignment horizontal="center" vertical="center"/>
    </xf>
    <xf numFmtId="0" fontId="71" fillId="33" borderId="111" xfId="44" applyFont="1" applyFill="1" applyBorder="1" applyAlignment="1">
      <alignment horizontal="center" vertical="center" wrapText="1" shrinkToFit="1"/>
    </xf>
    <xf numFmtId="0" fontId="71" fillId="33" borderId="106" xfId="44" applyFont="1" applyFill="1" applyBorder="1" applyAlignment="1">
      <alignment horizontal="center" vertical="center" wrapText="1" shrinkToFit="1"/>
    </xf>
    <xf numFmtId="0" fontId="71" fillId="33" borderId="107" xfId="44" applyFont="1" applyFill="1" applyBorder="1" applyAlignment="1">
      <alignment horizontal="center" vertical="center" wrapText="1" shrinkToFit="1"/>
    </xf>
    <xf numFmtId="0" fontId="71" fillId="33" borderId="23" xfId="44" applyFont="1" applyFill="1" applyBorder="1" applyAlignment="1">
      <alignment horizontal="center" vertical="center" wrapText="1" shrinkToFit="1"/>
    </xf>
    <xf numFmtId="0" fontId="71" fillId="33" borderId="0" xfId="44" applyFont="1" applyFill="1" applyAlignment="1">
      <alignment horizontal="center" vertical="center" wrapText="1" shrinkToFit="1"/>
    </xf>
    <xf numFmtId="0" fontId="71" fillId="33" borderId="24" xfId="44" applyFont="1" applyFill="1" applyBorder="1" applyAlignment="1">
      <alignment horizontal="center" vertical="center" wrapText="1" shrinkToFit="1"/>
    </xf>
    <xf numFmtId="38" fontId="38" fillId="0" borderId="23" xfId="45" applyFont="1" applyBorder="1" applyAlignment="1">
      <alignment horizontal="center" vertical="center"/>
    </xf>
    <xf numFmtId="38" fontId="38" fillId="0" borderId="122" xfId="45" applyFont="1" applyFill="1" applyBorder="1" applyAlignment="1">
      <alignment horizontal="right" vertical="center" shrinkToFit="1"/>
    </xf>
    <xf numFmtId="38" fontId="38" fillId="0" borderId="0" xfId="45" applyFont="1" applyFill="1" applyBorder="1" applyAlignment="1">
      <alignment horizontal="right" vertical="center" shrinkToFit="1"/>
    </xf>
    <xf numFmtId="38" fontId="38" fillId="0" borderId="107" xfId="45" applyFont="1" applyFill="1" applyBorder="1" applyAlignment="1">
      <alignment horizontal="left" vertical="center"/>
    </xf>
    <xf numFmtId="38" fontId="38" fillId="0" borderId="0" xfId="45" applyFont="1" applyFill="1" applyBorder="1" applyAlignment="1">
      <alignment horizontal="left" vertical="center"/>
    </xf>
    <xf numFmtId="38" fontId="38" fillId="0" borderId="24" xfId="45" applyFont="1" applyFill="1" applyBorder="1" applyAlignment="1">
      <alignment horizontal="left" vertical="center"/>
    </xf>
    <xf numFmtId="0" fontId="65" fillId="33" borderId="256" xfId="44" applyFont="1" applyFill="1" applyBorder="1" applyAlignment="1">
      <alignment horizontal="center" vertical="center" wrapText="1"/>
    </xf>
    <xf numFmtId="0" fontId="65" fillId="33" borderId="257" xfId="44" applyFont="1" applyFill="1" applyBorder="1" applyAlignment="1">
      <alignment horizontal="center" vertical="center" wrapText="1"/>
    </xf>
    <xf numFmtId="0" fontId="65" fillId="33" borderId="254" xfId="44" applyFont="1" applyFill="1" applyBorder="1" applyAlignment="1">
      <alignment horizontal="center" vertical="center" wrapText="1"/>
    </xf>
    <xf numFmtId="0" fontId="65" fillId="33" borderId="23" xfId="44" applyFont="1" applyFill="1" applyBorder="1" applyAlignment="1">
      <alignment horizontal="center" vertical="center" wrapText="1"/>
    </xf>
    <xf numFmtId="0" fontId="65" fillId="33" borderId="0" xfId="44" applyFont="1" applyFill="1" applyAlignment="1">
      <alignment horizontal="center" vertical="center" wrapText="1"/>
    </xf>
    <xf numFmtId="0" fontId="65" fillId="33" borderId="24" xfId="44" applyFont="1" applyFill="1" applyBorder="1" applyAlignment="1">
      <alignment horizontal="center" vertical="center" wrapText="1"/>
    </xf>
    <xf numFmtId="38" fontId="38" fillId="0" borderId="256" xfId="45" applyFont="1" applyBorder="1" applyAlignment="1">
      <alignment horizontal="center" vertical="center"/>
    </xf>
    <xf numFmtId="38" fontId="38" fillId="0" borderId="257" xfId="45" applyFont="1" applyFill="1" applyBorder="1" applyAlignment="1">
      <alignment horizontal="left" vertical="center"/>
    </xf>
    <xf numFmtId="38" fontId="38" fillId="0" borderId="254" xfId="45" applyFont="1" applyFill="1" applyBorder="1" applyAlignment="1">
      <alignment horizontal="left" vertical="center"/>
    </xf>
    <xf numFmtId="0" fontId="65" fillId="33" borderId="35" xfId="44" applyFont="1" applyFill="1" applyBorder="1" applyAlignment="1">
      <alignment horizontal="center" vertical="center" wrapText="1"/>
    </xf>
    <xf numFmtId="0" fontId="65" fillId="33" borderId="36" xfId="44" applyFont="1" applyFill="1" applyBorder="1" applyAlignment="1">
      <alignment horizontal="center" vertical="center" wrapText="1"/>
    </xf>
    <xf numFmtId="0" fontId="65" fillId="33" borderId="108" xfId="44" applyFont="1" applyFill="1" applyBorder="1" applyAlignment="1">
      <alignment horizontal="center" vertical="center" wrapText="1"/>
    </xf>
    <xf numFmtId="0" fontId="65" fillId="33" borderId="29" xfId="44" applyFont="1" applyFill="1" applyBorder="1" applyAlignment="1">
      <alignment horizontal="center" vertical="center" wrapText="1"/>
    </xf>
    <xf numFmtId="0" fontId="65" fillId="33" borderId="30" xfId="44" applyFont="1" applyFill="1" applyBorder="1" applyAlignment="1">
      <alignment horizontal="center" vertical="center" wrapText="1"/>
    </xf>
    <xf numFmtId="0" fontId="65" fillId="33" borderId="109" xfId="44" applyFont="1" applyFill="1" applyBorder="1" applyAlignment="1">
      <alignment horizontal="center" vertical="center" wrapText="1"/>
    </xf>
    <xf numFmtId="0" fontId="53" fillId="0" borderId="55" xfId="53" applyFont="1" applyBorder="1" applyAlignment="1">
      <alignment horizontal="center" vertical="center"/>
    </xf>
    <xf numFmtId="0" fontId="53" fillId="0" borderId="57" xfId="53" applyFont="1" applyBorder="1" applyAlignment="1">
      <alignment horizontal="center" vertical="center"/>
    </xf>
    <xf numFmtId="38" fontId="59" fillId="0" borderId="124" xfId="45" applyFont="1" applyFill="1" applyBorder="1" applyAlignment="1">
      <alignment horizontal="right" vertical="center" shrinkToFit="1"/>
    </xf>
    <xf numFmtId="38" fontId="59" fillId="0" borderId="36" xfId="45" applyFont="1" applyFill="1" applyBorder="1" applyAlignment="1">
      <alignment horizontal="right" vertical="center" shrinkToFit="1"/>
    </xf>
    <xf numFmtId="38" fontId="59" fillId="0" borderId="125" xfId="45" applyFont="1" applyFill="1" applyBorder="1" applyAlignment="1">
      <alignment horizontal="right" vertical="center" shrinkToFit="1"/>
    </xf>
    <xf numFmtId="38" fontId="59" fillId="0" borderId="30" xfId="45" applyFont="1" applyFill="1" applyBorder="1" applyAlignment="1">
      <alignment horizontal="right" vertical="center" shrinkToFit="1"/>
    </xf>
    <xf numFmtId="38" fontId="38" fillId="0" borderId="36" xfId="45" applyFont="1" applyFill="1" applyBorder="1" applyAlignment="1">
      <alignment horizontal="left" vertical="center"/>
    </xf>
    <xf numFmtId="38" fontId="38" fillId="0" borderId="45" xfId="45" applyFont="1" applyFill="1" applyBorder="1" applyAlignment="1">
      <alignment horizontal="left" vertical="center"/>
    </xf>
    <xf numFmtId="38" fontId="38" fillId="0" borderId="30" xfId="45" applyFont="1" applyFill="1" applyBorder="1" applyAlignment="1">
      <alignment horizontal="left" vertical="center"/>
    </xf>
    <xf numFmtId="38" fontId="38" fillId="0" borderId="38" xfId="45" applyFont="1" applyFill="1" applyBorder="1" applyAlignment="1">
      <alignment horizontal="left" vertical="center"/>
    </xf>
    <xf numFmtId="0" fontId="41" fillId="33" borderId="0" xfId="44" applyFont="1" applyFill="1" applyAlignment="1">
      <alignment horizontal="left" vertical="center"/>
    </xf>
    <xf numFmtId="0" fontId="41" fillId="33" borderId="24" xfId="44" applyFont="1" applyFill="1" applyBorder="1" applyAlignment="1">
      <alignment horizontal="left" vertical="center"/>
    </xf>
    <xf numFmtId="38" fontId="38" fillId="0" borderId="11" xfId="45" applyFont="1" applyBorder="1" applyAlignment="1">
      <alignment horizontal="center" vertical="center"/>
    </xf>
    <xf numFmtId="40" fontId="38" fillId="0" borderId="122" xfId="45" applyNumberFormat="1" applyFont="1" applyFill="1" applyBorder="1" applyAlignment="1">
      <alignment horizontal="right" vertical="center" shrinkToFit="1"/>
    </xf>
    <xf numFmtId="40" fontId="38" fillId="0" borderId="0" xfId="45" applyNumberFormat="1" applyFont="1" applyFill="1" applyBorder="1" applyAlignment="1">
      <alignment horizontal="right" vertical="center" shrinkToFit="1"/>
    </xf>
    <xf numFmtId="40" fontId="38" fillId="0" borderId="123" xfId="45" applyNumberFormat="1" applyFont="1" applyFill="1" applyBorder="1" applyAlignment="1">
      <alignment horizontal="right" vertical="center" shrinkToFit="1"/>
    </xf>
    <xf numFmtId="40" fontId="38" fillId="0" borderId="12" xfId="45" applyNumberFormat="1" applyFont="1" applyFill="1" applyBorder="1" applyAlignment="1">
      <alignment horizontal="right" vertical="center" shrinkToFit="1"/>
    </xf>
    <xf numFmtId="38" fontId="38" fillId="0" borderId="12" xfId="45" applyFont="1" applyFill="1" applyBorder="1" applyAlignment="1">
      <alignment horizontal="left" vertical="center"/>
    </xf>
    <xf numFmtId="38" fontId="38" fillId="0" borderId="18" xfId="45" applyFont="1" applyFill="1" applyBorder="1" applyAlignment="1">
      <alignment horizontal="left" vertical="center"/>
    </xf>
    <xf numFmtId="0" fontId="19" fillId="33" borderId="11" xfId="44" applyFont="1" applyFill="1" applyBorder="1" applyAlignment="1">
      <alignment horizontal="right" vertical="center"/>
    </xf>
    <xf numFmtId="0" fontId="19" fillId="33" borderId="12" xfId="44" applyFont="1" applyFill="1" applyBorder="1" applyAlignment="1">
      <alignment horizontal="right" vertical="center"/>
    </xf>
    <xf numFmtId="0" fontId="19" fillId="33" borderId="18" xfId="44" applyFont="1" applyFill="1" applyBorder="1" applyAlignment="1">
      <alignment horizontal="right" vertical="center"/>
    </xf>
    <xf numFmtId="0" fontId="71" fillId="33" borderId="256" xfId="44" applyFont="1" applyFill="1" applyBorder="1" applyAlignment="1">
      <alignment horizontal="center" vertical="center" wrapText="1"/>
    </xf>
    <xf numFmtId="0" fontId="71" fillId="33" borderId="257" xfId="44" applyFont="1" applyFill="1" applyBorder="1" applyAlignment="1">
      <alignment horizontal="center" vertical="center" wrapText="1"/>
    </xf>
    <xf numFmtId="0" fontId="71" fillId="33" borderId="254" xfId="44" applyFont="1" applyFill="1" applyBorder="1" applyAlignment="1">
      <alignment horizontal="center" vertical="center" wrapText="1"/>
    </xf>
    <xf numFmtId="0" fontId="71" fillId="33" borderId="11" xfId="44" applyFont="1" applyFill="1" applyBorder="1" applyAlignment="1">
      <alignment horizontal="center" vertical="center" wrapText="1"/>
    </xf>
    <xf numFmtId="0" fontId="71" fillId="33" borderId="12" xfId="44" applyFont="1" applyFill="1" applyBorder="1" applyAlignment="1">
      <alignment horizontal="center" vertical="center" wrapText="1"/>
    </xf>
    <xf numFmtId="0" fontId="71" fillId="33" borderId="18" xfId="44" applyFont="1" applyFill="1" applyBorder="1" applyAlignment="1">
      <alignment horizontal="center" vertical="center" wrapText="1"/>
    </xf>
    <xf numFmtId="38" fontId="38" fillId="0" borderId="123" xfId="45" applyFont="1" applyFill="1" applyBorder="1" applyAlignment="1">
      <alignment horizontal="right" vertical="center" shrinkToFit="1"/>
    </xf>
    <xf numFmtId="38" fontId="38" fillId="0" borderId="12" xfId="45" applyFont="1" applyFill="1" applyBorder="1" applyAlignment="1">
      <alignment horizontal="right" vertical="center" shrinkToFit="1"/>
    </xf>
    <xf numFmtId="0" fontId="41" fillId="33" borderId="35" xfId="44" applyFont="1" applyFill="1" applyBorder="1" applyAlignment="1">
      <alignment horizontal="center" vertical="center" wrapText="1"/>
    </xf>
    <xf numFmtId="0" fontId="41" fillId="33" borderId="36" xfId="44" applyFont="1" applyFill="1" applyBorder="1" applyAlignment="1">
      <alignment horizontal="center" vertical="center" wrapText="1"/>
    </xf>
    <xf numFmtId="0" fontId="41" fillId="33" borderId="108" xfId="44" applyFont="1" applyFill="1" applyBorder="1" applyAlignment="1">
      <alignment horizontal="center" vertical="center" wrapText="1"/>
    </xf>
    <xf numFmtId="0" fontId="41" fillId="33" borderId="26" xfId="44" applyFont="1" applyFill="1" applyBorder="1" applyAlignment="1">
      <alignment horizontal="center" vertical="center" wrapText="1"/>
    </xf>
    <xf numFmtId="0" fontId="41" fillId="33" borderId="0" xfId="44" applyFont="1" applyFill="1" applyAlignment="1">
      <alignment horizontal="center" vertical="center" wrapText="1"/>
    </xf>
    <xf numFmtId="0" fontId="41" fillId="33" borderId="24" xfId="44" applyFont="1" applyFill="1" applyBorder="1" applyAlignment="1">
      <alignment horizontal="center" vertical="center" wrapText="1"/>
    </xf>
    <xf numFmtId="0" fontId="41" fillId="33" borderId="29" xfId="44" applyFont="1" applyFill="1" applyBorder="1" applyAlignment="1">
      <alignment horizontal="center" vertical="center" wrapText="1"/>
    </xf>
    <xf numFmtId="0" fontId="41" fillId="33" borderId="30" xfId="44" applyFont="1" applyFill="1" applyBorder="1" applyAlignment="1">
      <alignment horizontal="center" vertical="center" wrapText="1"/>
    </xf>
    <xf numFmtId="0" fontId="41" fillId="33" borderId="109" xfId="44" applyFont="1" applyFill="1" applyBorder="1" applyAlignment="1">
      <alignment horizontal="center" vertical="center" wrapText="1"/>
    </xf>
    <xf numFmtId="38" fontId="67" fillId="0" borderId="55" xfId="46" applyFont="1" applyBorder="1" applyAlignment="1">
      <alignment horizontal="center" vertical="center" shrinkToFit="1"/>
    </xf>
    <xf numFmtId="38" fontId="67" fillId="0" borderId="36" xfId="46" applyFont="1" applyBorder="1" applyAlignment="1">
      <alignment horizontal="center" vertical="center" shrinkToFit="1"/>
    </xf>
    <xf numFmtId="38" fontId="67" fillId="0" borderId="23" xfId="46" applyFont="1" applyBorder="1" applyAlignment="1">
      <alignment horizontal="center" vertical="center" shrinkToFit="1"/>
    </xf>
    <xf numFmtId="38" fontId="67" fillId="0" borderId="0" xfId="46" applyFont="1" applyBorder="1" applyAlignment="1">
      <alignment horizontal="center" vertical="center" shrinkToFit="1"/>
    </xf>
    <xf numFmtId="38" fontId="67" fillId="0" borderId="57" xfId="46" applyFont="1" applyBorder="1" applyAlignment="1">
      <alignment horizontal="center" vertical="center" shrinkToFit="1"/>
    </xf>
    <xf numFmtId="38" fontId="67" fillId="0" borderId="30" xfId="46" applyFont="1" applyBorder="1" applyAlignment="1">
      <alignment horizontal="center" vertical="center" shrinkToFit="1"/>
    </xf>
    <xf numFmtId="0" fontId="39" fillId="0" borderId="36" xfId="44" applyFont="1" applyBorder="1" applyAlignment="1">
      <alignment horizontal="left" vertical="center"/>
    </xf>
    <xf numFmtId="0" fontId="39" fillId="0" borderId="45" xfId="44" applyFont="1" applyBorder="1" applyAlignment="1">
      <alignment horizontal="left" vertical="center"/>
    </xf>
    <xf numFmtId="0" fontId="39" fillId="0" borderId="19" xfId="44" applyFont="1" applyBorder="1" applyAlignment="1">
      <alignment horizontal="left" vertical="center"/>
    </xf>
    <xf numFmtId="0" fontId="39" fillId="0" borderId="30" xfId="44" applyFont="1" applyBorder="1" applyAlignment="1">
      <alignment horizontal="left" vertical="center"/>
    </xf>
    <xf numFmtId="0" fontId="39" fillId="0" borderId="38" xfId="44" applyFont="1" applyBorder="1" applyAlignment="1">
      <alignment horizontal="left" vertical="center"/>
    </xf>
    <xf numFmtId="0" fontId="62" fillId="0" borderId="256" xfId="44" applyFont="1" applyBorder="1" applyAlignment="1">
      <alignment horizontal="center" vertical="center" shrinkToFit="1"/>
    </xf>
    <xf numFmtId="0" fontId="62" fillId="0" borderId="11" xfId="44" applyFont="1" applyBorder="1" applyAlignment="1">
      <alignment horizontal="center" vertical="center" shrinkToFit="1"/>
    </xf>
    <xf numFmtId="176" fontId="38" fillId="0" borderId="256" xfId="44" applyNumberFormat="1" applyFont="1" applyBorder="1" applyAlignment="1">
      <alignment horizontal="right" vertical="center"/>
    </xf>
    <xf numFmtId="176" fontId="38" fillId="0" borderId="257" xfId="44" applyNumberFormat="1" applyFont="1" applyBorder="1" applyAlignment="1">
      <alignment horizontal="right" vertical="center"/>
    </xf>
    <xf numFmtId="176" fontId="38" fillId="0" borderId="11" xfId="44" applyNumberFormat="1" applyFont="1" applyBorder="1" applyAlignment="1">
      <alignment horizontal="right" vertical="center"/>
    </xf>
    <xf numFmtId="176" fontId="38" fillId="0" borderId="12" xfId="44" applyNumberFormat="1" applyFont="1" applyBorder="1" applyAlignment="1">
      <alignment horizontal="right" vertical="center"/>
    </xf>
    <xf numFmtId="38" fontId="38" fillId="0" borderId="16" xfId="45" applyFont="1" applyFill="1" applyBorder="1" applyAlignment="1">
      <alignment horizontal="left" vertical="center"/>
    </xf>
    <xf numFmtId="38" fontId="38" fillId="0" borderId="10" xfId="45" applyFont="1" applyFill="1" applyBorder="1" applyAlignment="1">
      <alignment horizontal="left" vertical="center"/>
    </xf>
    <xf numFmtId="0" fontId="41" fillId="33" borderId="50" xfId="44" applyFont="1" applyFill="1" applyBorder="1" applyAlignment="1">
      <alignment horizontal="center" vertical="center" shrinkToFit="1"/>
    </xf>
    <xf numFmtId="0" fontId="41" fillId="33" borderId="48" xfId="44" applyFont="1" applyFill="1" applyBorder="1" applyAlignment="1">
      <alignment horizontal="center" vertical="center" shrinkToFit="1"/>
    </xf>
    <xf numFmtId="0" fontId="41" fillId="33" borderId="41" xfId="44" applyFont="1" applyFill="1" applyBorder="1" applyAlignment="1">
      <alignment horizontal="center" vertical="center" shrinkToFit="1"/>
    </xf>
    <xf numFmtId="0" fontId="41" fillId="33" borderId="42" xfId="44" applyFont="1" applyFill="1" applyBorder="1" applyAlignment="1">
      <alignment horizontal="center" vertical="center" shrinkToFit="1"/>
    </xf>
    <xf numFmtId="176" fontId="60" fillId="0" borderId="124" xfId="44" applyNumberFormat="1" applyFont="1" applyBorder="1" applyAlignment="1">
      <alignment horizontal="right" vertical="center"/>
    </xf>
    <xf numFmtId="176" fontId="60" fillId="0" borderId="36" xfId="44" applyNumberFormat="1" applyFont="1" applyBorder="1" applyAlignment="1">
      <alignment horizontal="right" vertical="center"/>
    </xf>
    <xf numFmtId="176" fontId="60" fillId="0" borderId="125" xfId="44" applyNumberFormat="1" applyFont="1" applyBorder="1" applyAlignment="1">
      <alignment horizontal="right" vertical="center"/>
    </xf>
    <xf numFmtId="176" fontId="60" fillId="0" borderId="30" xfId="44" applyNumberFormat="1" applyFont="1" applyBorder="1" applyAlignment="1">
      <alignment horizontal="right" vertical="center"/>
    </xf>
    <xf numFmtId="38" fontId="38" fillId="0" borderId="67" xfId="45" applyFont="1" applyFill="1" applyBorder="1" applyAlignment="1">
      <alignment horizontal="left" vertical="center"/>
    </xf>
    <xf numFmtId="38" fontId="38" fillId="0" borderId="49" xfId="45" applyFont="1" applyFill="1" applyBorder="1" applyAlignment="1">
      <alignment horizontal="left" vertical="center"/>
    </xf>
    <xf numFmtId="38" fontId="38" fillId="0" borderId="31" xfId="45" applyFont="1" applyFill="1" applyBorder="1" applyAlignment="1">
      <alignment horizontal="left" vertical="center"/>
    </xf>
    <xf numFmtId="38" fontId="38" fillId="0" borderId="43" xfId="45" applyFont="1" applyFill="1" applyBorder="1" applyAlignment="1">
      <alignment horizontal="left" vertical="center"/>
    </xf>
    <xf numFmtId="184" fontId="56" fillId="0" borderId="256" xfId="44" applyNumberFormat="1" applyFont="1" applyBorder="1" applyAlignment="1">
      <alignment horizontal="center" vertical="center" shrinkToFit="1"/>
    </xf>
    <xf numFmtId="184" fontId="56" fillId="0" borderId="257" xfId="44" applyNumberFormat="1" applyFont="1" applyBorder="1" applyAlignment="1">
      <alignment horizontal="center" vertical="center" shrinkToFit="1"/>
    </xf>
    <xf numFmtId="184" fontId="56" fillId="0" borderId="254" xfId="44" applyNumberFormat="1" applyFont="1" applyBorder="1" applyAlignment="1">
      <alignment horizontal="center" vertical="center" shrinkToFit="1"/>
    </xf>
    <xf numFmtId="184" fontId="56" fillId="0" borderId="11" xfId="44" applyNumberFormat="1" applyFont="1" applyBorder="1" applyAlignment="1">
      <alignment horizontal="center" vertical="center" shrinkToFit="1"/>
    </xf>
    <xf numFmtId="184" fontId="56" fillId="0" borderId="12" xfId="44" applyNumberFormat="1" applyFont="1" applyBorder="1" applyAlignment="1">
      <alignment horizontal="center" vertical="center" shrinkToFit="1"/>
    </xf>
    <xf numFmtId="184" fontId="56" fillId="0" borderId="18" xfId="44" applyNumberFormat="1" applyFont="1" applyBorder="1" applyAlignment="1">
      <alignment horizontal="center" vertical="center" shrinkToFit="1"/>
    </xf>
    <xf numFmtId="0" fontId="80" fillId="0" borderId="10" xfId="44" applyFont="1" applyBorder="1" applyAlignment="1">
      <alignment horizontal="center" vertical="center"/>
    </xf>
    <xf numFmtId="0" fontId="83" fillId="0" borderId="10" xfId="44" applyFont="1" applyBorder="1" applyAlignment="1">
      <alignment horizontal="center" vertical="center" shrinkToFit="1"/>
    </xf>
    <xf numFmtId="0" fontId="83" fillId="0" borderId="47" xfId="44" applyFont="1" applyBorder="1" applyAlignment="1">
      <alignment horizontal="center" vertical="center" shrinkToFit="1"/>
    </xf>
    <xf numFmtId="0" fontId="80" fillId="0" borderId="15" xfId="44" applyFont="1" applyBorder="1" applyAlignment="1">
      <alignment horizontal="left" vertical="center"/>
    </xf>
    <xf numFmtId="0" fontId="85" fillId="0" borderId="35" xfId="44" applyFont="1" applyBorder="1" applyAlignment="1">
      <alignment horizontal="center" vertical="center" wrapText="1"/>
    </xf>
    <xf numFmtId="0" fontId="85" fillId="0" borderId="36" xfId="44" applyFont="1" applyBorder="1" applyAlignment="1">
      <alignment horizontal="center" vertical="center" wrapText="1"/>
    </xf>
    <xf numFmtId="0" fontId="85" fillId="0" borderId="108" xfId="44" applyFont="1" applyBorder="1" applyAlignment="1">
      <alignment horizontal="center" vertical="center" wrapText="1"/>
    </xf>
    <xf numFmtId="0" fontId="85" fillId="0" borderId="26" xfId="44" applyFont="1" applyBorder="1" applyAlignment="1">
      <alignment horizontal="center" vertical="center" wrapText="1"/>
    </xf>
    <xf numFmtId="0" fontId="85" fillId="0" borderId="0" xfId="44" applyFont="1" applyAlignment="1">
      <alignment horizontal="center" vertical="center" wrapText="1"/>
    </xf>
    <xf numFmtId="0" fontId="85" fillId="0" borderId="24" xfId="44" applyFont="1" applyBorder="1" applyAlignment="1">
      <alignment horizontal="center" vertical="center" wrapText="1"/>
    </xf>
    <xf numFmtId="0" fontId="85" fillId="0" borderId="29" xfId="44" applyFont="1" applyBorder="1" applyAlignment="1">
      <alignment horizontal="center" vertical="center" wrapText="1"/>
    </xf>
    <xf numFmtId="0" fontId="85" fillId="0" borderId="30" xfId="44" applyFont="1" applyBorder="1" applyAlignment="1">
      <alignment horizontal="center" vertical="center" wrapText="1"/>
    </xf>
    <xf numFmtId="0" fontId="85" fillId="0" borderId="109" xfId="44" applyFont="1" applyBorder="1" applyAlignment="1">
      <alignment horizontal="center" vertical="center" wrapText="1"/>
    </xf>
    <xf numFmtId="0" fontId="80" fillId="0" borderId="256" xfId="44" applyFont="1" applyBorder="1" applyAlignment="1">
      <alignment horizontal="center" vertical="center"/>
    </xf>
    <xf numFmtId="0" fontId="80" fillId="0" borderId="257" xfId="44" applyFont="1" applyBorder="1" applyAlignment="1">
      <alignment horizontal="center" vertical="center"/>
    </xf>
    <xf numFmtId="0" fontId="80" fillId="0" borderId="254" xfId="44" applyFont="1" applyBorder="1" applyAlignment="1">
      <alignment horizontal="center" vertical="center"/>
    </xf>
    <xf numFmtId="0" fontId="80" fillId="0" borderId="11" xfId="44" applyFont="1" applyBorder="1" applyAlignment="1">
      <alignment horizontal="center" vertical="center"/>
    </xf>
    <xf numFmtId="0" fontId="80" fillId="0" borderId="12" xfId="44" applyFont="1" applyBorder="1" applyAlignment="1">
      <alignment horizontal="center" vertical="center"/>
    </xf>
    <xf numFmtId="0" fontId="80" fillId="0" borderId="18" xfId="44" applyFont="1" applyBorder="1" applyAlignment="1">
      <alignment horizontal="center" vertical="center"/>
    </xf>
    <xf numFmtId="0" fontId="83" fillId="0" borderId="200" xfId="44" applyFont="1" applyBorder="1" applyAlignment="1">
      <alignment vertical="center" shrinkToFit="1"/>
    </xf>
    <xf numFmtId="0" fontId="83" fillId="0" borderId="201" xfId="44" applyFont="1" applyBorder="1" applyAlignment="1">
      <alignment vertical="center" shrinkToFit="1"/>
    </xf>
    <xf numFmtId="0" fontId="83" fillId="0" borderId="94" xfId="44" applyFont="1" applyBorder="1" applyAlignment="1">
      <alignment horizontal="center" vertical="center" shrinkToFit="1"/>
    </xf>
    <xf numFmtId="0" fontId="83" fillId="0" borderId="95" xfId="44" applyFont="1" applyBorder="1" applyAlignment="1">
      <alignment horizontal="center" vertical="center" shrinkToFit="1"/>
    </xf>
    <xf numFmtId="0" fontId="83" fillId="0" borderId="14" xfId="44" applyFont="1" applyBorder="1" applyAlignment="1">
      <alignment horizontal="center" vertical="center" shrinkToFit="1"/>
    </xf>
    <xf numFmtId="0" fontId="83" fillId="0" borderId="15" xfId="44" applyFont="1" applyBorder="1" applyAlignment="1">
      <alignment horizontal="center" vertical="center" shrinkToFit="1"/>
    </xf>
    <xf numFmtId="0" fontId="83" fillId="0" borderId="17" xfId="44" applyFont="1" applyBorder="1" applyAlignment="1">
      <alignment horizontal="center" vertical="center" shrinkToFit="1"/>
    </xf>
    <xf numFmtId="0" fontId="80" fillId="0" borderId="255" xfId="44" applyFont="1" applyBorder="1" applyAlignment="1">
      <alignment horizontal="center" vertical="center" shrinkToFit="1"/>
    </xf>
    <xf numFmtId="0" fontId="80" fillId="0" borderId="256" xfId="44" applyFont="1" applyBorder="1" applyAlignment="1">
      <alignment horizontal="center" vertical="center" shrinkToFit="1"/>
    </xf>
    <xf numFmtId="0" fontId="80" fillId="0" borderId="257" xfId="44" applyFont="1" applyBorder="1" applyAlignment="1">
      <alignment horizontal="center" vertical="center" shrinkToFit="1"/>
    </xf>
    <xf numFmtId="0" fontId="80" fillId="0" borderId="254" xfId="44" applyFont="1" applyBorder="1" applyAlignment="1">
      <alignment horizontal="center" vertical="center" shrinkToFit="1"/>
    </xf>
    <xf numFmtId="0" fontId="80" fillId="0" borderId="11" xfId="44" applyFont="1" applyBorder="1" applyAlignment="1">
      <alignment horizontal="center" vertical="center" shrinkToFit="1"/>
    </xf>
    <xf numFmtId="0" fontId="80" fillId="0" borderId="12" xfId="44" applyFont="1" applyBorder="1" applyAlignment="1">
      <alignment horizontal="center" vertical="center" shrinkToFit="1"/>
    </xf>
    <xf numFmtId="0" fontId="80" fillId="0" borderId="18" xfId="44" applyFont="1" applyBorder="1" applyAlignment="1">
      <alignment horizontal="center" vertical="center" shrinkToFit="1"/>
    </xf>
    <xf numFmtId="0" fontId="83" fillId="0" borderId="53" xfId="44" applyFont="1" applyBorder="1" applyAlignment="1">
      <alignment horizontal="center" vertical="center" shrinkToFit="1"/>
    </xf>
    <xf numFmtId="0" fontId="83" fillId="0" borderId="59" xfId="44" applyFont="1" applyBorder="1" applyAlignment="1">
      <alignment horizontal="center" vertical="center" shrinkToFit="1"/>
    </xf>
    <xf numFmtId="0" fontId="83" fillId="0" borderId="174" xfId="44" applyFont="1" applyBorder="1" applyAlignment="1">
      <alignment horizontal="center" vertical="center" shrinkToFit="1"/>
    </xf>
    <xf numFmtId="0" fontId="83" fillId="0" borderId="72" xfId="44" applyFont="1" applyBorder="1" applyAlignment="1">
      <alignment horizontal="center" vertical="center" shrinkToFit="1"/>
    </xf>
    <xf numFmtId="0" fontId="83" fillId="0" borderId="70" xfId="44" applyFont="1" applyBorder="1" applyAlignment="1">
      <alignment horizontal="center" vertical="center" shrinkToFit="1"/>
    </xf>
    <xf numFmtId="0" fontId="83" fillId="0" borderId="199" xfId="44" applyFont="1" applyBorder="1" applyAlignment="1">
      <alignment horizontal="center" vertical="center" shrinkToFit="1"/>
    </xf>
    <xf numFmtId="0" fontId="83" fillId="0" borderId="15" xfId="44" applyFont="1" applyBorder="1" applyAlignment="1">
      <alignment horizontal="right" vertical="center" shrinkToFit="1"/>
    </xf>
    <xf numFmtId="0" fontId="83" fillId="0" borderId="16" xfId="44" applyFont="1" applyBorder="1" applyAlignment="1">
      <alignment horizontal="right" vertical="center" shrinkToFit="1"/>
    </xf>
    <xf numFmtId="0" fontId="85" fillId="0" borderId="46" xfId="44" applyFont="1" applyBorder="1" applyAlignment="1">
      <alignment horizontal="center" vertical="center"/>
    </xf>
    <xf numFmtId="0" fontId="85" fillId="0" borderId="10" xfId="44" applyFont="1" applyBorder="1" applyAlignment="1">
      <alignment horizontal="center" vertical="center"/>
    </xf>
    <xf numFmtId="0" fontId="80" fillId="0" borderId="22" xfId="44" applyFont="1" applyBorder="1" applyAlignment="1">
      <alignment horizontal="left" vertical="center"/>
    </xf>
    <xf numFmtId="0" fontId="80" fillId="0" borderId="20" xfId="44" applyFont="1" applyBorder="1" applyAlignment="1">
      <alignment horizontal="left" vertical="center"/>
    </xf>
    <xf numFmtId="0" fontId="80" fillId="0" borderId="15" xfId="44" applyFont="1" applyBorder="1">
      <alignment vertical="center"/>
    </xf>
    <xf numFmtId="0" fontId="85" fillId="0" borderId="50" xfId="44" applyFont="1" applyBorder="1" applyAlignment="1">
      <alignment horizontal="center" vertical="center"/>
    </xf>
    <xf numFmtId="0" fontId="85" fillId="0" borderId="48" xfId="44" applyFont="1" applyBorder="1" applyAlignment="1">
      <alignment horizontal="center" vertical="center"/>
    </xf>
    <xf numFmtId="0" fontId="101" fillId="0" borderId="0" xfId="44" applyFont="1" applyAlignment="1">
      <alignment horizontal="left" vertical="center" shrinkToFit="1"/>
    </xf>
    <xf numFmtId="0" fontId="101" fillId="0" borderId="0" xfId="44" applyFont="1" applyAlignment="1">
      <alignment horizontal="left" vertical="center"/>
    </xf>
    <xf numFmtId="0" fontId="83" fillId="0" borderId="50" xfId="44" applyFont="1" applyBorder="1" applyAlignment="1">
      <alignment horizontal="center" vertical="center"/>
    </xf>
    <xf numFmtId="0" fontId="83" fillId="0" borderId="48" xfId="44" applyFont="1" applyBorder="1" applyAlignment="1">
      <alignment horizontal="center" vertical="center"/>
    </xf>
    <xf numFmtId="0" fontId="83" fillId="0" borderId="205" xfId="44" applyFont="1" applyBorder="1" applyAlignment="1">
      <alignment horizontal="center" vertical="center"/>
    </xf>
    <xf numFmtId="0" fontId="83" fillId="0" borderId="54" xfId="44" applyFont="1" applyBorder="1" applyAlignment="1">
      <alignment horizontal="center" vertical="center"/>
    </xf>
    <xf numFmtId="0" fontId="83" fillId="0" borderId="41" xfId="44" applyFont="1" applyBorder="1" applyAlignment="1">
      <alignment horizontal="center" vertical="center"/>
    </xf>
    <xf numFmtId="0" fontId="83" fillId="0" borderId="42" xfId="44" applyFont="1" applyBorder="1" applyAlignment="1">
      <alignment horizontal="center" vertical="center"/>
    </xf>
    <xf numFmtId="0" fontId="80" fillId="0" borderId="194" xfId="44" applyFont="1" applyBorder="1" applyAlignment="1">
      <alignment horizontal="center" vertical="center"/>
    </xf>
    <xf numFmtId="0" fontId="80" fillId="0" borderId="195" xfId="44" applyFont="1" applyBorder="1" applyAlignment="1">
      <alignment horizontal="center" vertical="center"/>
    </xf>
    <xf numFmtId="0" fontId="80" fillId="0" borderId="193" xfId="44" applyFont="1" applyBorder="1" applyAlignment="1">
      <alignment horizontal="center" vertical="center"/>
    </xf>
    <xf numFmtId="0" fontId="80" fillId="0" borderId="196" xfId="44" applyFont="1" applyBorder="1" applyAlignment="1">
      <alignment horizontal="center" vertical="center"/>
    </xf>
    <xf numFmtId="0" fontId="80" fillId="0" borderId="14" xfId="44" applyFont="1" applyBorder="1" applyAlignment="1">
      <alignment horizontal="center" vertical="center"/>
    </xf>
    <xf numFmtId="0" fontId="80" fillId="0" borderId="15" xfId="44" applyFont="1" applyBorder="1" applyAlignment="1">
      <alignment horizontal="center" vertical="center"/>
    </xf>
    <xf numFmtId="0" fontId="80" fillId="0" borderId="16" xfId="44" applyFont="1" applyBorder="1" applyAlignment="1">
      <alignment horizontal="center" vertical="center"/>
    </xf>
    <xf numFmtId="0" fontId="80" fillId="0" borderId="17" xfId="44" applyFont="1" applyBorder="1" applyAlignment="1">
      <alignment horizontal="center" vertical="center"/>
    </xf>
    <xf numFmtId="0" fontId="80" fillId="0" borderId="42" xfId="44" applyFont="1" applyBorder="1" applyAlignment="1">
      <alignment horizontal="left" vertical="center"/>
    </xf>
    <xf numFmtId="0" fontId="80" fillId="0" borderId="43" xfId="44" applyFont="1" applyBorder="1" applyAlignment="1">
      <alignment horizontal="left" vertical="center"/>
    </xf>
    <xf numFmtId="0" fontId="80" fillId="0" borderId="13" xfId="44" applyFont="1" applyBorder="1" applyAlignment="1">
      <alignment horizontal="center" vertical="center"/>
    </xf>
    <xf numFmtId="0" fontId="80" fillId="0" borderId="237" xfId="44" applyFont="1" applyBorder="1" applyAlignment="1">
      <alignment horizontal="center" vertical="center"/>
    </xf>
    <xf numFmtId="0" fontId="80" fillId="0" borderId="154" xfId="44" applyFont="1" applyBorder="1" applyAlignment="1">
      <alignment horizontal="center" vertical="center"/>
    </xf>
    <xf numFmtId="0" fontId="80" fillId="0" borderId="238" xfId="44" applyFont="1" applyBorder="1" applyAlignment="1">
      <alignment horizontal="center" vertical="center"/>
    </xf>
    <xf numFmtId="0" fontId="101" fillId="0" borderId="0" xfId="45" applyNumberFormat="1" applyFont="1" applyAlignment="1">
      <alignment horizontal="left" vertical="center" shrinkToFit="1"/>
    </xf>
    <xf numFmtId="0" fontId="103" fillId="0" borderId="0" xfId="44" applyFont="1" applyAlignment="1" applyProtection="1">
      <alignment horizontal="center" vertical="center"/>
      <protection locked="0"/>
    </xf>
    <xf numFmtId="0" fontId="88" fillId="0" borderId="0" xfId="44" applyFont="1" applyAlignment="1">
      <alignment horizontal="left" vertical="center" shrinkToFit="1"/>
    </xf>
    <xf numFmtId="0" fontId="85" fillId="0" borderId="63" xfId="44" applyFont="1" applyBorder="1" applyAlignment="1">
      <alignment horizontal="center" vertical="center" wrapText="1"/>
    </xf>
    <xf numFmtId="0" fontId="85" fillId="0" borderId="51" xfId="44" applyFont="1" applyBorder="1" applyAlignment="1">
      <alignment horizontal="center" vertical="center"/>
    </xf>
    <xf numFmtId="0" fontId="85" fillId="0" borderId="41" xfId="44" applyFont="1" applyBorder="1" applyAlignment="1">
      <alignment horizontal="center" vertical="center"/>
    </xf>
    <xf numFmtId="0" fontId="85" fillId="0" borderId="42" xfId="44" applyFont="1" applyBorder="1" applyAlignment="1">
      <alignment horizontal="center" vertical="center"/>
    </xf>
    <xf numFmtId="0" fontId="80" fillId="0" borderId="51" xfId="44" applyFont="1" applyBorder="1" applyAlignment="1">
      <alignment horizontal="center" vertical="center"/>
    </xf>
    <xf numFmtId="0" fontId="80" fillId="0" borderId="0" xfId="44" applyFont="1" applyAlignment="1">
      <alignment horizontal="left" vertical="top" wrapText="1"/>
    </xf>
    <xf numFmtId="0" fontId="80" fillId="0" borderId="42" xfId="44" applyFont="1" applyBorder="1" applyAlignment="1">
      <alignment horizontal="center" vertical="center"/>
    </xf>
    <xf numFmtId="0" fontId="99" fillId="46" borderId="188" xfId="44" applyFont="1" applyFill="1" applyBorder="1" applyAlignment="1">
      <alignment horizontal="center" vertical="center"/>
    </xf>
    <xf numFmtId="0" fontId="99" fillId="46" borderId="189" xfId="44" applyFont="1" applyFill="1" applyBorder="1" applyAlignment="1">
      <alignment horizontal="center" vertical="center"/>
    </xf>
    <xf numFmtId="0" fontId="99" fillId="46" borderId="190" xfId="44" applyFont="1" applyFill="1" applyBorder="1" applyAlignment="1">
      <alignment horizontal="center" vertical="center"/>
    </xf>
    <xf numFmtId="0" fontId="80" fillId="0" borderId="14" xfId="44" applyFont="1" applyBorder="1" applyAlignment="1">
      <alignment horizontal="center" vertical="center" shrinkToFit="1"/>
    </xf>
    <xf numFmtId="0" fontId="80" fillId="0" borderId="15" xfId="44" applyFont="1" applyBorder="1" applyAlignment="1">
      <alignment horizontal="center" vertical="center" shrinkToFit="1"/>
    </xf>
    <xf numFmtId="0" fontId="80" fillId="0" borderId="16" xfId="44" applyFont="1" applyBorder="1" applyAlignment="1">
      <alignment horizontal="center" vertical="center" shrinkToFit="1"/>
    </xf>
    <xf numFmtId="0" fontId="87" fillId="0" borderId="11" xfId="44" applyFont="1" applyBorder="1" applyAlignment="1">
      <alignment horizontal="left" vertical="center" shrinkToFit="1"/>
    </xf>
    <xf numFmtId="0" fontId="83" fillId="0" borderId="12" xfId="44" applyFont="1" applyBorder="1" applyAlignment="1">
      <alignment horizontal="left" vertical="center" shrinkToFit="1"/>
    </xf>
    <xf numFmtId="0" fontId="83" fillId="0" borderId="18" xfId="44" applyFont="1" applyBorder="1" applyAlignment="1">
      <alignment horizontal="left" vertical="center" shrinkToFit="1"/>
    </xf>
    <xf numFmtId="0" fontId="83" fillId="0" borderId="33" xfId="44" applyFont="1" applyBorder="1" applyAlignment="1">
      <alignment horizontal="center" vertical="center" shrinkToFit="1"/>
    </xf>
    <xf numFmtId="0" fontId="83" fillId="0" borderId="22" xfId="44" applyFont="1" applyBorder="1" applyAlignment="1">
      <alignment horizontal="center" vertical="center" shrinkToFit="1"/>
    </xf>
    <xf numFmtId="0" fontId="83" fillId="0" borderId="34" xfId="44" applyFont="1" applyBorder="1" applyAlignment="1">
      <alignment horizontal="center" vertical="center" shrinkToFit="1"/>
    </xf>
    <xf numFmtId="0" fontId="100" fillId="0" borderId="192" xfId="44" applyFont="1" applyBorder="1" applyAlignment="1">
      <alignment horizontal="center" vertical="center"/>
    </xf>
    <xf numFmtId="0" fontId="100" fillId="0" borderId="106" xfId="44" applyFont="1" applyBorder="1" applyAlignment="1">
      <alignment horizontal="center" vertical="center"/>
    </xf>
    <xf numFmtId="0" fontId="100" fillId="0" borderId="191" xfId="44" applyFont="1" applyBorder="1" applyAlignment="1">
      <alignment horizontal="center" vertical="center"/>
    </xf>
    <xf numFmtId="0" fontId="87" fillId="0" borderId="175" xfId="44" applyFont="1" applyBorder="1" applyAlignment="1">
      <alignment horizontal="left" vertical="top" shrinkToFit="1"/>
    </xf>
    <xf numFmtId="0" fontId="80" fillId="0" borderId="176" xfId="44" applyFont="1" applyBorder="1" applyAlignment="1">
      <alignment horizontal="left" vertical="top" shrinkToFit="1"/>
    </xf>
    <xf numFmtId="0" fontId="80" fillId="0" borderId="202" xfId="44" applyFont="1" applyBorder="1" applyAlignment="1">
      <alignment horizontal="left" vertical="top" shrinkToFit="1"/>
    </xf>
    <xf numFmtId="0" fontId="83" fillId="0" borderId="16" xfId="44" applyFont="1" applyBorder="1" applyAlignment="1">
      <alignment horizontal="center" vertical="center" shrinkToFit="1"/>
    </xf>
    <xf numFmtId="0" fontId="83" fillId="0" borderId="42" xfId="44" applyFont="1" applyBorder="1" applyAlignment="1">
      <alignment horizontal="left" vertical="center" shrinkToFit="1"/>
    </xf>
    <xf numFmtId="0" fontId="83" fillId="0" borderId="43" xfId="44" applyFont="1" applyBorder="1" applyAlignment="1">
      <alignment horizontal="left" vertical="center" shrinkToFit="1"/>
    </xf>
    <xf numFmtId="194" fontId="80" fillId="0" borderId="25" xfId="52" applyNumberFormat="1" applyFont="1" applyBorder="1" applyAlignment="1">
      <alignment horizontal="center" vertical="center" shrinkToFit="1"/>
    </xf>
    <xf numFmtId="194" fontId="80" fillId="0" borderId="16" xfId="52" applyNumberFormat="1" applyFont="1" applyBorder="1" applyAlignment="1">
      <alignment horizontal="center" vertical="center" shrinkToFit="1"/>
    </xf>
    <xf numFmtId="194" fontId="80" fillId="0" borderId="10" xfId="52" applyNumberFormat="1" applyFont="1" applyBorder="1" applyAlignment="1">
      <alignment horizontal="center" vertical="center" shrinkToFit="1"/>
    </xf>
    <xf numFmtId="0" fontId="80" fillId="0" borderId="10" xfId="52" applyFont="1" applyBorder="1" applyAlignment="1">
      <alignment horizontal="center" vertical="center" shrinkToFit="1"/>
    </xf>
    <xf numFmtId="0" fontId="88" fillId="0" borderId="0" xfId="52" applyFont="1" applyAlignment="1">
      <alignment horizontal="left" vertical="center" shrinkToFit="1"/>
    </xf>
    <xf numFmtId="0" fontId="88" fillId="0" borderId="19" xfId="52" applyFont="1" applyBorder="1" applyAlignment="1">
      <alignment horizontal="left" vertical="center" shrinkToFit="1"/>
    </xf>
    <xf numFmtId="0" fontId="80" fillId="0" borderId="84" xfId="52" applyFont="1" applyBorder="1" applyAlignment="1">
      <alignment horizontal="center" vertical="center" shrinkToFit="1"/>
    </xf>
    <xf numFmtId="0" fontId="80" fillId="0" borderId="31" xfId="52" applyFont="1" applyBorder="1" applyAlignment="1">
      <alignment horizontal="center" vertical="center" shrinkToFit="1"/>
    </xf>
    <xf numFmtId="0" fontId="80" fillId="0" borderId="32" xfId="52" applyFont="1" applyBorder="1" applyAlignment="1">
      <alignment horizontal="center" vertical="center" shrinkToFit="1"/>
    </xf>
    <xf numFmtId="0" fontId="80" fillId="0" borderId="20" xfId="52" applyFont="1" applyBorder="1" applyAlignment="1">
      <alignment horizontal="center" vertical="center" shrinkToFit="1"/>
    </xf>
    <xf numFmtId="0" fontId="80" fillId="0" borderId="21" xfId="52" applyFont="1" applyBorder="1" applyAlignment="1">
      <alignment horizontal="center" vertical="center" shrinkToFit="1"/>
    </xf>
    <xf numFmtId="0" fontId="88" fillId="0" borderId="30" xfId="52" applyFont="1" applyBorder="1" applyAlignment="1">
      <alignment horizontal="center" vertical="center" shrinkToFit="1"/>
    </xf>
    <xf numFmtId="0" fontId="88" fillId="0" borderId="38" xfId="52" applyFont="1" applyBorder="1" applyAlignment="1">
      <alignment horizontal="center" vertical="center" shrinkToFit="1"/>
    </xf>
    <xf numFmtId="0" fontId="80" fillId="0" borderId="25" xfId="52" applyFont="1" applyBorder="1" applyAlignment="1">
      <alignment horizontal="center" vertical="center" shrinkToFit="1"/>
    </xf>
    <xf numFmtId="0" fontId="80" fillId="0" borderId="16" xfId="0" applyFont="1" applyBorder="1" applyAlignment="1">
      <alignment shrinkToFit="1"/>
    </xf>
    <xf numFmtId="194" fontId="80" fillId="0" borderId="14" xfId="52" applyNumberFormat="1" applyFont="1" applyBorder="1" applyAlignment="1">
      <alignment horizontal="center" vertical="center" shrinkToFit="1"/>
    </xf>
    <xf numFmtId="176" fontId="90" fillId="0" borderId="26" xfId="52" applyNumberFormat="1" applyFont="1" applyBorder="1" applyAlignment="1">
      <alignment horizontal="left" vertical="center" shrinkToFit="1"/>
    </xf>
    <xf numFmtId="0" fontId="80" fillId="0" borderId="0" xfId="52" applyFont="1" applyAlignment="1">
      <alignment vertical="center" shrinkToFit="1"/>
    </xf>
    <xf numFmtId="0" fontId="80" fillId="0" borderId="19" xfId="52" applyFont="1" applyBorder="1" applyAlignment="1">
      <alignment vertical="center" shrinkToFit="1"/>
    </xf>
    <xf numFmtId="0" fontId="88" fillId="0" borderId="0" xfId="52" applyFont="1" applyAlignment="1">
      <alignment horizontal="center" vertical="center" shrinkToFit="1"/>
    </xf>
    <xf numFmtId="193" fontId="88" fillId="44" borderId="180" xfId="52" applyNumberFormat="1" applyFont="1" applyFill="1" applyBorder="1" applyAlignment="1">
      <alignment horizontal="center" vertical="center" shrinkToFit="1"/>
    </xf>
    <xf numFmtId="193" fontId="88" fillId="44" borderId="66" xfId="52" applyNumberFormat="1" applyFont="1" applyFill="1" applyBorder="1" applyAlignment="1">
      <alignment horizontal="center" vertical="center" shrinkToFit="1"/>
    </xf>
    <xf numFmtId="176" fontId="84" fillId="0" borderId="35" xfId="52" applyNumberFormat="1" applyFont="1" applyBorder="1" applyAlignment="1">
      <alignment horizontal="left" shrinkToFit="1"/>
    </xf>
    <xf numFmtId="176" fontId="84" fillId="0" borderId="36" xfId="52" applyNumberFormat="1" applyFont="1" applyBorder="1" applyAlignment="1">
      <alignment horizontal="left" shrinkToFit="1"/>
    </xf>
    <xf numFmtId="0" fontId="87" fillId="0" borderId="36" xfId="52" applyFont="1" applyBorder="1" applyAlignment="1">
      <alignment horizontal="right" vertical="center" wrapText="1" shrinkToFit="1"/>
    </xf>
    <xf numFmtId="0" fontId="87" fillId="0" borderId="45" xfId="52" applyFont="1" applyBorder="1" applyAlignment="1">
      <alignment horizontal="right" vertical="center" wrapText="1" shrinkToFit="1"/>
    </xf>
    <xf numFmtId="0" fontId="84" fillId="0" borderId="0" xfId="52" applyFont="1" applyAlignment="1">
      <alignment vertical="center" shrinkToFit="1"/>
    </xf>
    <xf numFmtId="0" fontId="84" fillId="0" borderId="26" xfId="52" applyFont="1" applyBorder="1" applyAlignment="1">
      <alignment vertical="center" shrinkToFit="1"/>
    </xf>
    <xf numFmtId="0" fontId="80" fillId="0" borderId="30" xfId="52" applyFont="1" applyBorder="1" applyAlignment="1">
      <alignment horizontal="center" vertical="center" shrinkToFit="1"/>
    </xf>
    <xf numFmtId="0" fontId="80" fillId="0" borderId="38" xfId="52" applyFont="1" applyBorder="1" applyAlignment="1">
      <alignment horizontal="center" vertical="center" shrinkToFit="1"/>
    </xf>
    <xf numFmtId="0" fontId="84" fillId="29" borderId="69" xfId="52" applyFont="1" applyFill="1" applyBorder="1" applyAlignment="1">
      <alignment horizontal="center" vertical="center" shrinkToFit="1"/>
    </xf>
    <xf numFmtId="0" fontId="84" fillId="29" borderId="67" xfId="52" applyFont="1" applyFill="1" applyBorder="1" applyAlignment="1">
      <alignment horizontal="center" vertical="center" shrinkToFit="1"/>
    </xf>
    <xf numFmtId="0" fontId="84" fillId="29" borderId="48" xfId="52" applyFont="1" applyFill="1" applyBorder="1" applyAlignment="1">
      <alignment horizontal="center" vertical="center" shrinkToFit="1"/>
    </xf>
    <xf numFmtId="193" fontId="92" fillId="0" borderId="35" xfId="52" applyNumberFormat="1" applyFont="1" applyBorder="1" applyAlignment="1">
      <alignment horizontal="left" shrinkToFit="1"/>
    </xf>
    <xf numFmtId="0" fontId="88" fillId="0" borderId="36" xfId="52" applyFont="1" applyBorder="1" applyAlignment="1">
      <alignment shrinkToFit="1"/>
    </xf>
    <xf numFmtId="0" fontId="88" fillId="0" borderId="45" xfId="52" applyFont="1" applyBorder="1" applyAlignment="1">
      <alignment shrinkToFit="1"/>
    </xf>
    <xf numFmtId="193" fontId="88" fillId="0" borderId="73" xfId="52" applyNumberFormat="1" applyFont="1" applyBorder="1" applyAlignment="1">
      <alignment horizontal="center" vertical="center" textRotation="255" shrinkToFit="1"/>
    </xf>
    <xf numFmtId="193" fontId="88" fillId="44" borderId="84" xfId="52" applyNumberFormat="1" applyFont="1" applyFill="1" applyBorder="1" applyAlignment="1">
      <alignment horizontal="center" vertical="center" shrinkToFit="1"/>
    </xf>
    <xf numFmtId="193" fontId="88" fillId="44" borderId="31" xfId="52" applyNumberFormat="1" applyFont="1" applyFill="1" applyBorder="1" applyAlignment="1">
      <alignment horizontal="center" vertical="center" shrinkToFit="1"/>
    </xf>
    <xf numFmtId="193" fontId="84" fillId="0" borderId="213" xfId="52" applyNumberFormat="1" applyFont="1" applyBorder="1" applyAlignment="1">
      <alignment horizontal="center" vertical="center" shrinkToFit="1"/>
    </xf>
    <xf numFmtId="193" fontId="84" fillId="0" borderId="214" xfId="52" applyNumberFormat="1" applyFont="1" applyBorder="1" applyAlignment="1">
      <alignment horizontal="center" vertical="center" shrinkToFit="1"/>
    </xf>
    <xf numFmtId="193" fontId="84" fillId="0" borderId="46" xfId="52" applyNumberFormat="1" applyFont="1" applyBorder="1" applyAlignment="1">
      <alignment horizontal="center" vertical="center" shrinkToFit="1"/>
    </xf>
    <xf numFmtId="193" fontId="84" fillId="0" borderId="10" xfId="52" applyNumberFormat="1" applyFont="1" applyBorder="1" applyAlignment="1">
      <alignment horizontal="center" vertical="center" shrinkToFit="1"/>
    </xf>
    <xf numFmtId="193" fontId="84" fillId="43" borderId="221" xfId="52" applyNumberFormat="1" applyFont="1" applyFill="1" applyBorder="1" applyAlignment="1">
      <alignment horizontal="center" vertical="center" shrinkToFit="1"/>
    </xf>
    <xf numFmtId="193" fontId="84" fillId="43" borderId="222" xfId="52" applyNumberFormat="1" applyFont="1" applyFill="1" applyBorder="1" applyAlignment="1">
      <alignment horizontal="center" vertical="center" shrinkToFit="1"/>
    </xf>
    <xf numFmtId="0" fontId="80" fillId="0" borderId="0" xfId="52" applyFont="1" applyAlignment="1">
      <alignment horizontal="center" vertical="center" shrinkToFit="1"/>
    </xf>
    <xf numFmtId="193" fontId="84" fillId="0" borderId="216" xfId="52" applyNumberFormat="1" applyFont="1" applyBorder="1" applyAlignment="1">
      <alignment horizontal="center" vertical="center" shrinkToFit="1"/>
    </xf>
    <xf numFmtId="193" fontId="84" fillId="0" borderId="217" xfId="52" applyNumberFormat="1" applyFont="1" applyBorder="1" applyAlignment="1">
      <alignment horizontal="center" vertical="center" shrinkToFit="1"/>
    </xf>
    <xf numFmtId="193" fontId="84" fillId="0" borderId="224" xfId="52" applyNumberFormat="1" applyFont="1" applyBorder="1" applyAlignment="1">
      <alignment horizontal="center" vertical="center" shrinkToFit="1"/>
    </xf>
    <xf numFmtId="193" fontId="84" fillId="0" borderId="225" xfId="52" applyNumberFormat="1" applyFont="1" applyBorder="1" applyAlignment="1">
      <alignment horizontal="center" vertical="center" shrinkToFit="1"/>
    </xf>
    <xf numFmtId="193" fontId="84" fillId="43" borderId="218" xfId="52" applyNumberFormat="1" applyFont="1" applyFill="1" applyBorder="1" applyAlignment="1">
      <alignment horizontal="center" vertical="center" shrinkToFit="1"/>
    </xf>
    <xf numFmtId="193" fontId="84" fillId="43" borderId="219" xfId="52" applyNumberFormat="1" applyFont="1" applyFill="1" applyBorder="1" applyAlignment="1">
      <alignment horizontal="center" vertical="center" shrinkToFit="1"/>
    </xf>
    <xf numFmtId="193" fontId="84" fillId="43" borderId="210" xfId="52" applyNumberFormat="1" applyFont="1" applyFill="1" applyBorder="1" applyAlignment="1">
      <alignment horizontal="center" vertical="center" shrinkToFit="1"/>
    </xf>
    <xf numFmtId="193" fontId="84" fillId="43" borderId="211" xfId="52" applyNumberFormat="1" applyFont="1" applyFill="1" applyBorder="1" applyAlignment="1">
      <alignment horizontal="center" vertical="center" shrinkToFit="1"/>
    </xf>
    <xf numFmtId="193" fontId="84" fillId="43" borderId="213" xfId="52" applyNumberFormat="1" applyFont="1" applyFill="1" applyBorder="1" applyAlignment="1">
      <alignment horizontal="center" vertical="center" shrinkToFit="1"/>
    </xf>
    <xf numFmtId="193" fontId="84" fillId="43" borderId="214" xfId="52" applyNumberFormat="1" applyFont="1" applyFill="1" applyBorder="1" applyAlignment="1">
      <alignment horizontal="center" vertical="center" shrinkToFit="1"/>
    </xf>
    <xf numFmtId="193" fontId="84" fillId="43" borderId="216" xfId="52" applyNumberFormat="1" applyFont="1" applyFill="1" applyBorder="1" applyAlignment="1">
      <alignment horizontal="center" vertical="center" shrinkToFit="1"/>
    </xf>
    <xf numFmtId="193" fontId="84" fillId="43" borderId="217" xfId="52" applyNumberFormat="1" applyFont="1" applyFill="1" applyBorder="1" applyAlignment="1">
      <alignment horizontal="center" vertical="center" shrinkToFit="1"/>
    </xf>
    <xf numFmtId="193" fontId="84" fillId="0" borderId="231" xfId="52" applyNumberFormat="1" applyFont="1" applyBorder="1" applyAlignment="1">
      <alignment horizontal="center" vertical="center" shrinkToFit="1"/>
    </xf>
    <xf numFmtId="193" fontId="84" fillId="0" borderId="232" xfId="52" applyNumberFormat="1" applyFont="1" applyBorder="1" applyAlignment="1">
      <alignment horizontal="center" vertical="center" shrinkToFit="1"/>
    </xf>
    <xf numFmtId="193" fontId="84" fillId="43" borderId="229" xfId="52" applyNumberFormat="1" applyFont="1" applyFill="1" applyBorder="1" applyAlignment="1">
      <alignment horizontal="center" vertical="center" shrinkToFit="1"/>
    </xf>
    <xf numFmtId="193" fontId="84" fillId="43" borderId="230" xfId="52" applyNumberFormat="1" applyFont="1" applyFill="1" applyBorder="1" applyAlignment="1">
      <alignment horizontal="center" vertical="center" shrinkToFit="1"/>
    </xf>
    <xf numFmtId="193" fontId="88" fillId="44" borderId="29" xfId="52" applyNumberFormat="1" applyFont="1" applyFill="1" applyBorder="1" applyAlignment="1">
      <alignment horizontal="center" vertical="center" shrinkToFit="1"/>
    </xf>
    <xf numFmtId="193" fontId="88" fillId="44" borderId="109" xfId="52" applyNumberFormat="1" applyFont="1" applyFill="1" applyBorder="1" applyAlignment="1">
      <alignment horizontal="center" vertical="center" shrinkToFit="1"/>
    </xf>
    <xf numFmtId="193" fontId="88" fillId="0" borderId="61" xfId="52" applyNumberFormat="1" applyFont="1" applyBorder="1" applyAlignment="1">
      <alignment horizontal="center" vertical="center" textRotation="255" shrinkToFit="1"/>
    </xf>
    <xf numFmtId="193" fontId="84" fillId="0" borderId="227" xfId="52" applyNumberFormat="1" applyFont="1" applyBorder="1" applyAlignment="1">
      <alignment horizontal="center" vertical="center" shrinkToFit="1"/>
    </xf>
    <xf numFmtId="193" fontId="84" fillId="0" borderId="228" xfId="52" applyNumberFormat="1" applyFont="1" applyBorder="1" applyAlignment="1">
      <alignment horizontal="center" vertical="center" shrinkToFit="1"/>
    </xf>
    <xf numFmtId="0" fontId="80" fillId="0" borderId="14" xfId="52" applyFont="1" applyBorder="1" applyAlignment="1">
      <alignment horizontal="center" vertical="center" shrinkToFit="1"/>
    </xf>
    <xf numFmtId="0" fontId="80" fillId="0" borderId="16" xfId="52" applyFont="1" applyBorder="1" applyAlignment="1">
      <alignment horizontal="center" vertical="center" shrinkToFit="1"/>
    </xf>
    <xf numFmtId="0" fontId="81" fillId="38" borderId="14" xfId="59" applyFont="1" applyFill="1" applyBorder="1" applyAlignment="1" applyProtection="1">
      <alignment horizontal="center" vertical="center"/>
      <protection locked="0"/>
    </xf>
    <xf numFmtId="0" fontId="81" fillId="38" borderId="15" xfId="59" applyFont="1" applyFill="1" applyBorder="1" applyAlignment="1" applyProtection="1">
      <alignment horizontal="center" vertical="center"/>
      <protection locked="0"/>
    </xf>
    <xf numFmtId="0" fontId="81" fillId="38" borderId="16" xfId="59" applyFont="1" applyFill="1" applyBorder="1" applyAlignment="1" applyProtection="1">
      <alignment horizontal="center" vertical="center"/>
      <protection locked="0"/>
    </xf>
    <xf numFmtId="193" fontId="111" fillId="42" borderId="208" xfId="52" applyNumberFormat="1" applyFont="1" applyFill="1" applyBorder="1" applyAlignment="1">
      <alignment horizontal="center" vertical="center" shrinkToFit="1"/>
    </xf>
    <xf numFmtId="193" fontId="111" fillId="42" borderId="209" xfId="52" applyNumberFormat="1" applyFont="1" applyFill="1" applyBorder="1" applyAlignment="1">
      <alignment horizontal="center" vertical="center" shrinkToFit="1"/>
    </xf>
    <xf numFmtId="194" fontId="80" fillId="0" borderId="46" xfId="52" applyNumberFormat="1" applyFont="1" applyBorder="1" applyAlignment="1">
      <alignment horizontal="center" vertical="center" shrinkToFit="1"/>
    </xf>
    <xf numFmtId="0" fontId="80" fillId="0" borderId="41" xfId="52" applyFont="1" applyBorder="1" applyAlignment="1">
      <alignment horizontal="center" vertical="center" shrinkToFit="1"/>
    </xf>
    <xf numFmtId="0" fontId="80" fillId="0" borderId="42" xfId="52" applyFont="1" applyBorder="1" applyAlignment="1">
      <alignment horizontal="center" vertical="center" shrinkToFit="1"/>
    </xf>
    <xf numFmtId="0" fontId="80" fillId="0" borderId="43" xfId="52" applyFont="1" applyBorder="1" applyAlignment="1">
      <alignment horizontal="center" vertical="center" shrinkToFit="1"/>
    </xf>
    <xf numFmtId="0" fontId="80" fillId="0" borderId="46" xfId="52" applyFont="1" applyBorder="1" applyAlignment="1">
      <alignment horizontal="center" vertical="center" shrinkToFit="1"/>
    </xf>
    <xf numFmtId="0" fontId="80" fillId="0" borderId="10" xfId="0" applyFont="1" applyBorder="1" applyAlignment="1">
      <alignment shrinkToFit="1"/>
    </xf>
    <xf numFmtId="194" fontId="93" fillId="0" borderId="10" xfId="52" applyNumberFormat="1" applyFont="1" applyBorder="1" applyAlignment="1">
      <alignment horizontal="center" vertical="center" shrinkToFit="1"/>
    </xf>
    <xf numFmtId="176" fontId="90" fillId="0" borderId="0" xfId="52" applyNumberFormat="1" applyFont="1" applyAlignment="1">
      <alignment horizontal="left" vertical="center" shrinkToFit="1"/>
    </xf>
    <xf numFmtId="0" fontId="80" fillId="0" borderId="36" xfId="52" applyFont="1" applyBorder="1" applyAlignment="1">
      <alignment horizontal="center" vertical="center" shrinkToFit="1"/>
    </xf>
    <xf numFmtId="0" fontId="80" fillId="0" borderId="45" xfId="52" applyFont="1" applyBorder="1" applyAlignment="1">
      <alignment horizontal="center" vertical="center" shrinkToFit="1"/>
    </xf>
    <xf numFmtId="0" fontId="122" fillId="0" borderId="14" xfId="43" applyFont="1" applyBorder="1" applyAlignment="1" applyProtection="1">
      <alignment horizontal="left" vertical="center" shrinkToFit="1"/>
      <protection locked="0"/>
    </xf>
    <xf numFmtId="0" fontId="122" fillId="0" borderId="15" xfId="43" applyFont="1" applyBorder="1" applyAlignment="1" applyProtection="1">
      <alignment horizontal="left" vertical="center" shrinkToFit="1"/>
      <protection locked="0"/>
    </xf>
    <xf numFmtId="0" fontId="122" fillId="0" borderId="16" xfId="43" applyFont="1" applyBorder="1" applyAlignment="1" applyProtection="1">
      <alignment horizontal="left" vertical="center" shrinkToFit="1"/>
      <protection locked="0"/>
    </xf>
    <xf numFmtId="6" fontId="122" fillId="0" borderId="14" xfId="54" applyFont="1" applyBorder="1" applyAlignment="1" applyProtection="1">
      <alignment horizontal="right" vertical="center"/>
    </xf>
    <xf numFmtId="6" fontId="122" fillId="0" borderId="15" xfId="54" applyFont="1" applyBorder="1" applyAlignment="1" applyProtection="1">
      <alignment horizontal="right" vertical="center"/>
    </xf>
    <xf numFmtId="6" fontId="122" fillId="0" borderId="16" xfId="54" applyFont="1" applyBorder="1" applyAlignment="1" applyProtection="1">
      <alignment horizontal="right" vertical="center"/>
    </xf>
    <xf numFmtId="6" fontId="122" fillId="0" borderId="10" xfId="54" applyFont="1" applyBorder="1" applyAlignment="1" applyProtection="1">
      <alignment horizontal="right" vertical="center"/>
    </xf>
    <xf numFmtId="0" fontId="125" fillId="27" borderId="14" xfId="43" applyFont="1" applyFill="1" applyBorder="1" applyAlignment="1">
      <alignment horizontal="center" vertical="center" shrinkToFit="1"/>
    </xf>
    <xf numFmtId="0" fontId="125" fillId="27" borderId="15" xfId="43" applyFont="1" applyFill="1" applyBorder="1" applyAlignment="1">
      <alignment horizontal="center" vertical="center" shrinkToFit="1"/>
    </xf>
    <xf numFmtId="0" fontId="125" fillId="27" borderId="16" xfId="43" applyFont="1" applyFill="1" applyBorder="1" applyAlignment="1">
      <alignment horizontal="center" vertical="center" shrinkToFit="1"/>
    </xf>
    <xf numFmtId="0" fontId="125" fillId="27" borderId="10" xfId="43" applyFont="1" applyFill="1" applyBorder="1" applyAlignment="1">
      <alignment horizontal="center" vertical="center" shrinkToFit="1"/>
    </xf>
    <xf numFmtId="0" fontId="179" fillId="27" borderId="257" xfId="43" applyFont="1" applyFill="1" applyBorder="1" applyAlignment="1">
      <alignment horizontal="center" vertical="center" shrinkToFit="1"/>
    </xf>
    <xf numFmtId="0" fontId="177" fillId="53" borderId="0" xfId="43" applyFont="1" applyFill="1" applyAlignment="1">
      <alignment horizontal="center" vertical="center" shrinkToFit="1"/>
    </xf>
    <xf numFmtId="0" fontId="124" fillId="0" borderId="0" xfId="43" applyFont="1" applyAlignment="1">
      <alignment horizontal="center" vertical="center"/>
    </xf>
    <xf numFmtId="0" fontId="125" fillId="47" borderId="10" xfId="43" applyFont="1" applyFill="1" applyBorder="1" applyAlignment="1">
      <alignment horizontal="center" vertical="center"/>
    </xf>
    <xf numFmtId="6" fontId="122" fillId="0" borderId="10" xfId="77" applyFont="1" applyBorder="1" applyAlignment="1" applyProtection="1">
      <alignment horizontal="center" vertical="center" shrinkToFit="1"/>
    </xf>
    <xf numFmtId="0" fontId="122" fillId="0" borderId="10" xfId="43" applyFont="1" applyBorder="1" applyAlignment="1" applyProtection="1">
      <alignment horizontal="center" vertical="center" shrinkToFit="1"/>
      <protection locked="0"/>
    </xf>
    <xf numFmtId="0" fontId="122" fillId="0" borderId="14" xfId="43" applyFont="1" applyBorder="1" applyAlignment="1">
      <alignment horizontal="center" vertical="center" shrinkToFit="1"/>
    </xf>
    <xf numFmtId="0" fontId="122" fillId="0" borderId="15" xfId="43" applyFont="1" applyBorder="1" applyAlignment="1">
      <alignment horizontal="center" vertical="center" shrinkToFit="1"/>
    </xf>
    <xf numFmtId="0" fontId="122" fillId="0" borderId="16" xfId="43" applyFont="1" applyBorder="1" applyAlignment="1">
      <alignment horizontal="center" vertical="center" shrinkToFit="1"/>
    </xf>
    <xf numFmtId="38" fontId="122" fillId="0" borderId="10" xfId="78" applyFont="1" applyBorder="1" applyAlignment="1" applyProtection="1">
      <alignment horizontal="right" vertical="center"/>
    </xf>
    <xf numFmtId="2" fontId="122" fillId="0" borderId="10" xfId="43" applyNumberFormat="1" applyFont="1" applyBorder="1" applyAlignment="1">
      <alignment horizontal="center" vertical="center"/>
    </xf>
    <xf numFmtId="6" fontId="122" fillId="0" borderId="10" xfId="77" applyFont="1" applyBorder="1" applyAlignment="1">
      <alignment horizontal="center" vertical="center"/>
    </xf>
    <xf numFmtId="0" fontId="179" fillId="27" borderId="10" xfId="43" applyFont="1" applyFill="1" applyBorder="1" applyAlignment="1">
      <alignment horizontal="center" vertical="center" wrapText="1" shrinkToFit="1"/>
    </xf>
    <xf numFmtId="0" fontId="125" fillId="27" borderId="69" xfId="43" applyFont="1" applyFill="1" applyBorder="1" applyAlignment="1">
      <alignment horizontal="center" vertical="center" shrinkToFit="1"/>
    </xf>
    <xf numFmtId="0" fontId="125" fillId="27" borderId="22" xfId="43" applyFont="1" applyFill="1" applyBorder="1" applyAlignment="1">
      <alignment horizontal="center" vertical="center" shrinkToFit="1"/>
    </xf>
    <xf numFmtId="0" fontId="125" fillId="27" borderId="34" xfId="43" applyFont="1" applyFill="1" applyBorder="1" applyAlignment="1">
      <alignment horizontal="center" vertical="center" shrinkToFit="1"/>
    </xf>
    <xf numFmtId="6" fontId="184" fillId="0" borderId="37" xfId="77" applyFont="1" applyBorder="1" applyAlignment="1">
      <alignment horizontal="center" vertical="center"/>
    </xf>
    <xf numFmtId="6" fontId="184" fillId="0" borderId="257" xfId="77" applyFont="1" applyBorder="1" applyAlignment="1">
      <alignment horizontal="center" vertical="center"/>
    </xf>
    <xf numFmtId="6" fontId="184" fillId="0" borderId="253" xfId="77" applyFont="1" applyBorder="1" applyAlignment="1">
      <alignment horizontal="center" vertical="center"/>
    </xf>
    <xf numFmtId="6" fontId="184" fillId="0" borderId="29" xfId="77" applyFont="1" applyBorder="1" applyAlignment="1">
      <alignment horizontal="center" vertical="center"/>
    </xf>
    <xf numFmtId="6" fontId="184" fillId="0" borderId="30" xfId="77" applyFont="1" applyBorder="1" applyAlignment="1">
      <alignment horizontal="center" vertical="center"/>
    </xf>
    <xf numFmtId="6" fontId="184" fillId="0" borderId="38" xfId="77" applyFont="1" applyBorder="1" applyAlignment="1">
      <alignment horizontal="center" vertical="center"/>
    </xf>
    <xf numFmtId="0" fontId="122" fillId="0" borderId="0" xfId="43" applyFont="1" applyAlignment="1">
      <alignment horizontal="center" vertical="center"/>
    </xf>
    <xf numFmtId="0" fontId="125" fillId="27" borderId="10" xfId="43" applyFont="1" applyFill="1" applyBorder="1" applyAlignment="1">
      <alignment horizontal="center" vertical="center"/>
    </xf>
    <xf numFmtId="0" fontId="125" fillId="27" borderId="50" xfId="43" applyFont="1" applyFill="1" applyBorder="1" applyAlignment="1">
      <alignment horizontal="center" vertical="center" shrinkToFit="1"/>
    </xf>
    <xf numFmtId="0" fontId="125" fillId="27" borderId="67" xfId="43" applyFont="1" applyFill="1" applyBorder="1" applyAlignment="1">
      <alignment horizontal="center" vertical="center" shrinkToFit="1"/>
    </xf>
    <xf numFmtId="0" fontId="125" fillId="27" borderId="48" xfId="43" applyFont="1" applyFill="1" applyBorder="1" applyAlignment="1">
      <alignment horizontal="center" vertical="center" shrinkToFit="1"/>
    </xf>
    <xf numFmtId="0" fontId="125" fillId="27" borderId="33" xfId="43" applyFont="1" applyFill="1" applyBorder="1" applyAlignment="1">
      <alignment horizontal="center" vertical="center" shrinkToFit="1"/>
    </xf>
    <xf numFmtId="6" fontId="180" fillId="0" borderId="10" xfId="77" applyFont="1" applyBorder="1" applyAlignment="1" applyProtection="1">
      <alignment horizontal="center" vertical="center"/>
    </xf>
    <xf numFmtId="6" fontId="180" fillId="0" borderId="10" xfId="54" applyFont="1" applyBorder="1" applyAlignment="1" applyProtection="1">
      <alignment horizontal="center" vertical="center"/>
    </xf>
    <xf numFmtId="6" fontId="180" fillId="0" borderId="46" xfId="77" applyFont="1" applyBorder="1" applyAlignment="1" applyProtection="1">
      <alignment horizontal="center" vertical="center"/>
    </xf>
    <xf numFmtId="6" fontId="180" fillId="0" borderId="16" xfId="77" applyFont="1" applyBorder="1" applyAlignment="1" applyProtection="1">
      <alignment horizontal="center" vertical="center"/>
    </xf>
    <xf numFmtId="6" fontId="180" fillId="0" borderId="14" xfId="77" applyFont="1" applyBorder="1" applyAlignment="1" applyProtection="1">
      <alignment horizontal="center" vertical="center"/>
    </xf>
    <xf numFmtId="6" fontId="180" fillId="0" borderId="41" xfId="77" applyFont="1" applyBorder="1" applyAlignment="1" applyProtection="1">
      <alignment horizontal="center" vertical="center"/>
    </xf>
    <xf numFmtId="6" fontId="180" fillId="0" borderId="31" xfId="77" applyFont="1" applyBorder="1" applyAlignment="1" applyProtection="1">
      <alignment horizontal="center" vertical="center"/>
    </xf>
    <xf numFmtId="6" fontId="180" fillId="0" borderId="42" xfId="77" applyFont="1" applyBorder="1" applyAlignment="1" applyProtection="1">
      <alignment horizontal="center" vertical="center"/>
    </xf>
    <xf numFmtId="6" fontId="180" fillId="0" borderId="32" xfId="77" applyFont="1" applyBorder="1" applyAlignment="1" applyProtection="1">
      <alignment horizontal="center" vertical="center"/>
    </xf>
    <xf numFmtId="0" fontId="147" fillId="0" borderId="26" xfId="43" applyFont="1" applyBorder="1" applyAlignment="1">
      <alignment horizontal="left" vertical="center" wrapText="1"/>
    </xf>
    <xf numFmtId="0" fontId="147" fillId="0" borderId="0" xfId="43" applyFont="1" applyAlignment="1">
      <alignment horizontal="left" vertical="center" wrapText="1"/>
    </xf>
    <xf numFmtId="38" fontId="122" fillId="0" borderId="14" xfId="77" applyNumberFormat="1" applyFont="1" applyBorder="1" applyAlignment="1" applyProtection="1">
      <alignment horizontal="right" vertical="center"/>
    </xf>
    <xf numFmtId="0" fontId="122" fillId="0" borderId="15" xfId="77" applyNumberFormat="1" applyFont="1" applyBorder="1" applyAlignment="1" applyProtection="1">
      <alignment horizontal="right" vertical="center"/>
    </xf>
    <xf numFmtId="0" fontId="125" fillId="0" borderId="0" xfId="80" applyFont="1" applyAlignment="1">
      <alignment horizontal="left" vertical="center" shrinkToFit="1"/>
    </xf>
    <xf numFmtId="0" fontId="148" fillId="0" borderId="0" xfId="80" applyFont="1" applyAlignment="1">
      <alignment horizontal="left" vertical="center"/>
    </xf>
    <xf numFmtId="0" fontId="148" fillId="0" borderId="0" xfId="80" applyFont="1" applyAlignment="1" applyProtection="1">
      <alignment horizontal="center" vertical="center"/>
      <protection locked="0"/>
    </xf>
    <xf numFmtId="0" fontId="148" fillId="51" borderId="10" xfId="80" applyFont="1" applyFill="1" applyBorder="1" applyAlignment="1">
      <alignment horizontal="center" vertical="center" shrinkToFit="1"/>
    </xf>
    <xf numFmtId="0" fontId="126" fillId="0" borderId="256" xfId="80" applyFont="1" applyBorder="1" applyAlignment="1">
      <alignment horizontal="left" vertical="center" shrinkToFit="1"/>
    </xf>
    <xf numFmtId="0" fontId="126" fillId="0" borderId="257" xfId="80" applyFont="1" applyBorder="1" applyAlignment="1">
      <alignment horizontal="left" vertical="center" shrinkToFit="1"/>
    </xf>
    <xf numFmtId="0" fontId="126" fillId="0" borderId="254" xfId="80" applyFont="1" applyBorder="1" applyAlignment="1">
      <alignment horizontal="left" vertical="center" shrinkToFit="1"/>
    </xf>
    <xf numFmtId="0" fontId="126" fillId="0" borderId="11" xfId="80" applyFont="1" applyBorder="1" applyAlignment="1">
      <alignment horizontal="left" vertical="center" shrinkToFit="1"/>
    </xf>
    <xf numFmtId="0" fontId="126" fillId="0" borderId="12" xfId="80" applyFont="1" applyBorder="1" applyAlignment="1">
      <alignment horizontal="left" vertical="center" shrinkToFit="1"/>
    </xf>
    <xf numFmtId="0" fontId="126" fillId="0" borderId="18" xfId="80" applyFont="1" applyBorder="1" applyAlignment="1">
      <alignment horizontal="left" vertical="center" shrinkToFit="1"/>
    </xf>
    <xf numFmtId="0" fontId="126" fillId="0" borderId="256" xfId="80" applyFont="1" applyBorder="1" applyAlignment="1">
      <alignment horizontal="left" vertical="center" wrapText="1" shrinkToFit="1"/>
    </xf>
    <xf numFmtId="0" fontId="126" fillId="0" borderId="257" xfId="80" applyFont="1" applyBorder="1" applyAlignment="1">
      <alignment horizontal="left" vertical="center" wrapText="1" shrinkToFit="1"/>
    </xf>
    <xf numFmtId="0" fontId="126" fillId="0" borderId="254" xfId="80" applyFont="1" applyBorder="1" applyAlignment="1">
      <alignment horizontal="left" vertical="center" wrapText="1" shrinkToFit="1"/>
    </xf>
    <xf numFmtId="0" fontId="126" fillId="0" borderId="11" xfId="80" applyFont="1" applyBorder="1" applyAlignment="1">
      <alignment horizontal="left" vertical="center" wrapText="1" shrinkToFit="1"/>
    </xf>
    <xf numFmtId="0" fontId="126" fillId="0" borderId="12" xfId="80" applyFont="1" applyBorder="1" applyAlignment="1">
      <alignment horizontal="left" vertical="center" wrapText="1" shrinkToFit="1"/>
    </xf>
    <xf numFmtId="0" fontId="126" fillId="0" borderId="18" xfId="80" applyFont="1" applyBorder="1" applyAlignment="1">
      <alignment horizontal="left" vertical="center" wrapText="1" shrinkToFit="1"/>
    </xf>
    <xf numFmtId="0" fontId="148" fillId="0" borderId="10" xfId="80" applyFont="1" applyBorder="1" applyAlignment="1">
      <alignment horizontal="left" vertical="center" shrinkToFit="1"/>
    </xf>
    <xf numFmtId="0" fontId="148" fillId="51" borderId="256" xfId="80" applyFont="1" applyFill="1" applyBorder="1" applyAlignment="1">
      <alignment horizontal="center" vertical="center" shrinkToFit="1"/>
    </xf>
    <xf numFmtId="0" fontId="148" fillId="51" borderId="254" xfId="80" applyFont="1" applyFill="1" applyBorder="1" applyAlignment="1">
      <alignment horizontal="center" vertical="center" shrinkToFit="1"/>
    </xf>
    <xf numFmtId="0" fontId="148" fillId="51" borderId="11" xfId="80" applyFont="1" applyFill="1" applyBorder="1" applyAlignment="1">
      <alignment horizontal="center" vertical="center" shrinkToFit="1"/>
    </xf>
    <xf numFmtId="0" fontId="148" fillId="51" borderId="18" xfId="80" applyFont="1" applyFill="1" applyBorder="1" applyAlignment="1">
      <alignment horizontal="center" vertical="center" shrinkToFit="1"/>
    </xf>
    <xf numFmtId="0" fontId="148" fillId="0" borderId="255" xfId="80" applyFont="1" applyBorder="1" applyAlignment="1">
      <alignment horizontal="right" vertical="center" shrinkToFit="1"/>
    </xf>
    <xf numFmtId="0" fontId="148" fillId="0" borderId="51" xfId="80" applyFont="1" applyBorder="1" applyAlignment="1">
      <alignment horizontal="right" vertical="center" shrinkToFit="1"/>
    </xf>
    <xf numFmtId="0" fontId="148" fillId="0" borderId="10" xfId="80" applyFont="1" applyBorder="1" applyAlignment="1">
      <alignment horizontal="right" vertical="center" shrinkToFit="1"/>
    </xf>
    <xf numFmtId="0" fontId="148" fillId="50" borderId="14" xfId="80" applyFont="1" applyFill="1" applyBorder="1" applyAlignment="1">
      <alignment horizontal="center" vertical="center"/>
    </xf>
    <xf numFmtId="0" fontId="148" fillId="50" borderId="15" xfId="80" applyFont="1" applyFill="1" applyBorder="1" applyAlignment="1">
      <alignment horizontal="center" vertical="center"/>
    </xf>
    <xf numFmtId="0" fontId="148" fillId="50" borderId="16" xfId="80" applyFont="1" applyFill="1" applyBorder="1" applyAlignment="1">
      <alignment horizontal="center" vertical="center"/>
    </xf>
    <xf numFmtId="0" fontId="148" fillId="49" borderId="10" xfId="80" applyFont="1" applyFill="1" applyBorder="1" applyAlignment="1">
      <alignment horizontal="center" vertical="center" shrinkToFit="1"/>
    </xf>
    <xf numFmtId="0" fontId="149" fillId="48" borderId="10" xfId="80" applyFont="1" applyFill="1" applyBorder="1" applyAlignment="1">
      <alignment horizontal="center" vertical="center"/>
    </xf>
    <xf numFmtId="0" fontId="148" fillId="50" borderId="10" xfId="80" applyFont="1" applyFill="1" applyBorder="1" applyAlignment="1">
      <alignment horizontal="center" vertical="center" shrinkToFit="1"/>
    </xf>
    <xf numFmtId="0" fontId="148" fillId="51" borderId="10" xfId="80" applyFont="1" applyFill="1" applyBorder="1" applyAlignment="1">
      <alignment horizontal="left" vertical="center" shrinkToFit="1"/>
    </xf>
    <xf numFmtId="0" fontId="148" fillId="50" borderId="10" xfId="80" applyFont="1" applyFill="1" applyBorder="1" applyAlignment="1">
      <alignment horizontal="center" vertical="center"/>
    </xf>
    <xf numFmtId="0" fontId="148" fillId="49" borderId="10" xfId="80" applyFont="1" applyFill="1" applyBorder="1" applyAlignment="1">
      <alignment horizontal="center" vertical="center"/>
    </xf>
    <xf numFmtId="0" fontId="149" fillId="48" borderId="10" xfId="80" applyFont="1" applyFill="1" applyBorder="1" applyAlignment="1">
      <alignment horizontal="left" vertical="center"/>
    </xf>
    <xf numFmtId="0" fontId="148" fillId="0" borderId="14" xfId="80" applyFont="1" applyBorder="1" applyAlignment="1">
      <alignment horizontal="left" vertical="center" shrinkToFit="1"/>
    </xf>
    <xf numFmtId="0" fontId="148" fillId="0" borderId="16" xfId="80" applyFont="1" applyBorder="1" applyAlignment="1">
      <alignment horizontal="left" vertical="center" shrinkToFit="1"/>
    </xf>
    <xf numFmtId="0" fontId="148" fillId="0" borderId="10" xfId="80" applyFont="1" applyBorder="1" applyAlignment="1">
      <alignment horizontal="center" vertical="center" shrinkToFit="1"/>
    </xf>
    <xf numFmtId="0" fontId="150" fillId="49" borderId="10" xfId="80" applyFont="1" applyFill="1" applyBorder="1" applyAlignment="1">
      <alignment horizontal="center" vertical="center" shrinkToFit="1"/>
    </xf>
    <xf numFmtId="0" fontId="149" fillId="48" borderId="14" xfId="80" applyFont="1" applyFill="1" applyBorder="1" applyAlignment="1">
      <alignment horizontal="center" vertical="center"/>
    </xf>
    <xf numFmtId="0" fontId="149" fillId="48" borderId="15" xfId="80" applyFont="1" applyFill="1" applyBorder="1" applyAlignment="1">
      <alignment horizontal="center" vertical="center"/>
    </xf>
    <xf numFmtId="0" fontId="149" fillId="48" borderId="16" xfId="80" applyFont="1" applyFill="1" applyBorder="1" applyAlignment="1">
      <alignment horizontal="center" vertical="center"/>
    </xf>
    <xf numFmtId="0" fontId="148" fillId="0" borderId="0" xfId="80" applyFont="1" applyAlignment="1">
      <alignment horizontal="center" vertical="center"/>
    </xf>
    <xf numFmtId="0" fontId="153" fillId="0" borderId="267" xfId="80" applyFont="1" applyBorder="1" applyAlignment="1">
      <alignment horizontal="center" vertical="center"/>
    </xf>
    <xf numFmtId="0" fontId="149" fillId="48" borderId="10" xfId="80" applyFont="1" applyFill="1" applyBorder="1" applyAlignment="1">
      <alignment horizontal="center" vertical="center" textRotation="255"/>
    </xf>
    <xf numFmtId="0" fontId="148" fillId="0" borderId="14" xfId="75" applyFont="1" applyBorder="1" applyAlignment="1">
      <alignment horizontal="center" vertical="center" shrinkToFit="1"/>
    </xf>
    <xf numFmtId="0" fontId="148" fillId="0" borderId="16" xfId="75" applyFont="1" applyBorder="1" applyAlignment="1">
      <alignment horizontal="center" vertical="center" shrinkToFit="1"/>
    </xf>
    <xf numFmtId="0" fontId="148" fillId="0" borderId="14" xfId="80" applyFont="1" applyBorder="1" applyAlignment="1">
      <alignment horizontal="center" vertical="center" shrinkToFit="1"/>
    </xf>
    <xf numFmtId="0" fontId="148" fillId="0" borderId="16" xfId="80" applyFont="1" applyBorder="1" applyAlignment="1">
      <alignment horizontal="center" vertical="center" shrinkToFit="1"/>
    </xf>
    <xf numFmtId="0" fontId="148" fillId="0" borderId="0" xfId="80" applyFont="1" applyAlignment="1">
      <alignment horizontal="left" vertical="center" shrinkToFit="1"/>
    </xf>
    <xf numFmtId="0" fontId="148" fillId="0" borderId="36" xfId="80" applyFont="1" applyBorder="1" applyAlignment="1">
      <alignment horizontal="left" vertical="center" shrinkToFit="1"/>
    </xf>
    <xf numFmtId="193" fontId="156" fillId="50" borderId="245" xfId="52" applyNumberFormat="1" applyFont="1" applyFill="1" applyBorder="1" applyAlignment="1">
      <alignment horizontal="center" vertical="center" textRotation="255" shrinkToFit="1"/>
    </xf>
    <xf numFmtId="193" fontId="156" fillId="50" borderId="252" xfId="52" applyNumberFormat="1" applyFont="1" applyFill="1" applyBorder="1" applyAlignment="1">
      <alignment horizontal="center" vertical="center" textRotation="255" shrinkToFit="1"/>
    </xf>
    <xf numFmtId="193" fontId="156" fillId="50" borderId="248" xfId="52" applyNumberFormat="1" applyFont="1" applyFill="1" applyBorder="1" applyAlignment="1">
      <alignment horizontal="center" vertical="center" textRotation="255" shrinkToFit="1"/>
    </xf>
    <xf numFmtId="0" fontId="151" fillId="0" borderId="256" xfId="80" applyFont="1" applyBorder="1" applyAlignment="1">
      <alignment horizontal="center" vertical="center"/>
    </xf>
    <xf numFmtId="0" fontId="151" fillId="0" borderId="257" xfId="80" applyFont="1" applyBorder="1" applyAlignment="1">
      <alignment horizontal="center" vertical="center"/>
    </xf>
    <xf numFmtId="0" fontId="151" fillId="0" borderId="254" xfId="80" applyFont="1" applyBorder="1" applyAlignment="1">
      <alignment horizontal="center" vertical="center"/>
    </xf>
    <xf numFmtId="0" fontId="151" fillId="0" borderId="11" xfId="80" applyFont="1" applyBorder="1" applyAlignment="1">
      <alignment horizontal="center" vertical="center"/>
    </xf>
    <xf numFmtId="0" fontId="151" fillId="0" borderId="12" xfId="80" applyFont="1" applyBorder="1" applyAlignment="1">
      <alignment horizontal="center" vertical="center"/>
    </xf>
    <xf numFmtId="0" fontId="151" fillId="0" borderId="18" xfId="80" applyFont="1" applyBorder="1" applyAlignment="1">
      <alignment horizontal="center" vertical="center"/>
    </xf>
    <xf numFmtId="0" fontId="152" fillId="0" borderId="23" xfId="80" applyFont="1" applyBorder="1" applyAlignment="1">
      <alignment horizontal="center" vertical="center" shrinkToFit="1"/>
    </xf>
    <xf numFmtId="0" fontId="152" fillId="0" borderId="0" xfId="80" applyFont="1" applyAlignment="1">
      <alignment horizontal="center" vertical="center" shrinkToFit="1"/>
    </xf>
    <xf numFmtId="0" fontId="148" fillId="0" borderId="0" xfId="80" applyFont="1" applyAlignment="1">
      <alignment horizontal="right" vertical="center"/>
    </xf>
    <xf numFmtId="0" fontId="153" fillId="0" borderId="0" xfId="80" applyFont="1" applyAlignment="1">
      <alignment horizontal="left" vertical="center"/>
    </xf>
    <xf numFmtId="193" fontId="154" fillId="52" borderId="179" xfId="52" applyNumberFormat="1" applyFont="1" applyFill="1" applyBorder="1" applyAlignment="1">
      <alignment horizontal="center" vertical="center" shrinkToFit="1"/>
    </xf>
    <xf numFmtId="193" fontId="154" fillId="52" borderId="78" xfId="52" applyNumberFormat="1" applyFont="1" applyFill="1" applyBorder="1" applyAlignment="1">
      <alignment horizontal="center" vertical="center" shrinkToFit="1"/>
    </xf>
    <xf numFmtId="193" fontId="154" fillId="52" borderId="79" xfId="52" applyNumberFormat="1" applyFont="1" applyFill="1" applyBorder="1" applyAlignment="1">
      <alignment horizontal="center" vertical="center" shrinkToFit="1"/>
    </xf>
    <xf numFmtId="0" fontId="153" fillId="0" borderId="0" xfId="80" applyFont="1" applyAlignment="1">
      <alignment horizontal="center" vertical="center"/>
    </xf>
    <xf numFmtId="0" fontId="158" fillId="0" borderId="15" xfId="0" applyFont="1" applyBorder="1" applyAlignment="1">
      <alignment horizontal="distributed" vertical="center"/>
    </xf>
    <xf numFmtId="0" fontId="158" fillId="0" borderId="10" xfId="0" applyFont="1" applyBorder="1" applyAlignment="1">
      <alignment horizontal="left" vertical="center"/>
    </xf>
    <xf numFmtId="0" fontId="199" fillId="0" borderId="0" xfId="0" applyFont="1" applyAlignment="1">
      <alignment horizontal="left" vertical="top" wrapText="1"/>
    </xf>
    <xf numFmtId="0" fontId="157" fillId="0" borderId="0" xfId="0" applyFont="1" applyAlignment="1">
      <alignment horizontal="center" vertical="top"/>
    </xf>
    <xf numFmtId="0" fontId="158" fillId="0" borderId="0" xfId="0" applyFont="1" applyAlignment="1">
      <alignment horizontal="left" vertical="top" wrapText="1"/>
    </xf>
    <xf numFmtId="0" fontId="158" fillId="0" borderId="14" xfId="0" applyFont="1" applyBorder="1" applyAlignment="1">
      <alignment horizontal="left" vertical="center"/>
    </xf>
    <xf numFmtId="0" fontId="158" fillId="0" borderId="15" xfId="0" applyFont="1" applyBorder="1" applyAlignment="1">
      <alignment horizontal="left" vertical="center"/>
    </xf>
    <xf numFmtId="0" fontId="158" fillId="0" borderId="16" xfId="0" applyFont="1" applyBorder="1" applyAlignment="1">
      <alignment horizontal="left" vertical="center"/>
    </xf>
    <xf numFmtId="0" fontId="158" fillId="0" borderId="14" xfId="0" applyFont="1" applyBorder="1" applyAlignment="1">
      <alignment horizontal="left" vertical="center" wrapText="1"/>
    </xf>
    <xf numFmtId="0" fontId="158" fillId="0" borderId="15" xfId="0" applyFont="1" applyBorder="1" applyAlignment="1">
      <alignment horizontal="left" vertical="center" wrapText="1"/>
    </xf>
    <xf numFmtId="0" fontId="158" fillId="0" borderId="16" xfId="0" applyFont="1" applyBorder="1" applyAlignment="1">
      <alignment horizontal="left" vertical="center" wrapText="1"/>
    </xf>
    <xf numFmtId="0" fontId="158" fillId="0" borderId="257" xfId="0" applyFont="1" applyBorder="1" applyAlignment="1">
      <alignment horizontal="distributed" vertical="center"/>
    </xf>
    <xf numFmtId="0" fontId="158" fillId="0" borderId="0" xfId="0" applyFont="1" applyAlignment="1">
      <alignment horizontal="distributed" vertical="center"/>
    </xf>
    <xf numFmtId="0" fontId="158" fillId="0" borderId="12" xfId="0" applyFont="1" applyBorder="1" applyAlignment="1">
      <alignment horizontal="distributed" vertical="center"/>
    </xf>
    <xf numFmtId="0" fontId="158" fillId="0" borderId="256" xfId="0" applyFont="1" applyBorder="1" applyAlignment="1">
      <alignment horizontal="center" vertical="center" wrapText="1"/>
    </xf>
    <xf numFmtId="0" fontId="158" fillId="0" borderId="257" xfId="0" applyFont="1" applyBorder="1" applyAlignment="1">
      <alignment horizontal="center" vertical="center" wrapText="1"/>
    </xf>
    <xf numFmtId="0" fontId="158" fillId="0" borderId="257" xfId="0" applyFont="1" applyBorder="1" applyAlignment="1">
      <alignment horizontal="left" vertical="center" shrinkToFit="1"/>
    </xf>
    <xf numFmtId="0" fontId="158" fillId="0" borderId="254" xfId="0" applyFont="1" applyBorder="1" applyAlignment="1">
      <alignment horizontal="left" vertical="center" shrinkToFit="1"/>
    </xf>
    <xf numFmtId="0" fontId="158" fillId="0" borderId="23" xfId="0" applyFont="1" applyBorder="1" applyAlignment="1">
      <alignment horizontal="center" vertical="center" wrapText="1"/>
    </xf>
    <xf numFmtId="0" fontId="158" fillId="0" borderId="0" xfId="0" applyFont="1" applyAlignment="1">
      <alignment horizontal="center" vertical="center" wrapText="1"/>
    </xf>
    <xf numFmtId="0" fontId="158" fillId="0" borderId="0" xfId="0" applyFont="1" applyAlignment="1">
      <alignment horizontal="left" vertical="center" wrapText="1"/>
    </xf>
    <xf numFmtId="0" fontId="158" fillId="0" borderId="24" xfId="0" applyFont="1" applyBorder="1" applyAlignment="1">
      <alignment horizontal="left" vertical="center" wrapText="1"/>
    </xf>
    <xf numFmtId="0" fontId="158" fillId="0" borderId="11" xfId="0" applyFont="1" applyBorder="1" applyAlignment="1">
      <alignment horizontal="center" vertical="center" shrinkToFit="1"/>
    </xf>
    <xf numFmtId="0" fontId="158" fillId="0" borderId="12" xfId="0" applyFont="1" applyBorder="1" applyAlignment="1">
      <alignment horizontal="center" vertical="center" shrinkToFit="1"/>
    </xf>
    <xf numFmtId="0" fontId="158" fillId="0" borderId="12" xfId="0" applyFont="1" applyBorder="1" applyAlignment="1">
      <alignment horizontal="left" vertical="center" wrapText="1"/>
    </xf>
    <xf numFmtId="0" fontId="158" fillId="0" borderId="18" xfId="0" applyFont="1" applyBorder="1" applyAlignment="1">
      <alignment horizontal="left" vertical="center" wrapText="1"/>
    </xf>
    <xf numFmtId="0" fontId="158" fillId="0" borderId="255" xfId="0" applyFont="1" applyBorder="1" applyAlignment="1">
      <alignment horizontal="center" vertical="center" shrinkToFit="1"/>
    </xf>
    <xf numFmtId="0" fontId="162" fillId="0" borderId="11" xfId="0" applyFont="1" applyBorder="1" applyAlignment="1">
      <alignment horizontal="center" vertical="center" wrapText="1"/>
    </xf>
    <xf numFmtId="0" fontId="162" fillId="0" borderId="18" xfId="0" applyFont="1" applyBorder="1" applyAlignment="1">
      <alignment horizontal="center" vertical="center" wrapText="1"/>
    </xf>
    <xf numFmtId="0" fontId="158" fillId="0" borderId="10" xfId="0" applyFont="1" applyBorder="1" applyAlignment="1">
      <alignment horizontal="left" vertical="center" wrapText="1"/>
    </xf>
    <xf numFmtId="0" fontId="158" fillId="0" borderId="14" xfId="0" applyFont="1" applyBorder="1" applyAlignment="1">
      <alignment horizontal="center" vertical="center"/>
    </xf>
    <xf numFmtId="0" fontId="158" fillId="0" borderId="15" xfId="0" applyFont="1" applyBorder="1" applyAlignment="1">
      <alignment horizontal="center" vertical="center"/>
    </xf>
    <xf numFmtId="0" fontId="162" fillId="0" borderId="14" xfId="0" applyFont="1" applyBorder="1" applyAlignment="1">
      <alignment horizontal="center" vertical="center" wrapText="1"/>
    </xf>
    <xf numFmtId="0" fontId="162" fillId="0" borderId="16" xfId="0" applyFont="1" applyBorder="1" applyAlignment="1">
      <alignment horizontal="center" vertical="center" wrapText="1"/>
    </xf>
    <xf numFmtId="0" fontId="158" fillId="0" borderId="14" xfId="0" applyFont="1" applyBorder="1" applyAlignment="1">
      <alignment horizontal="left" vertical="center" shrinkToFit="1"/>
    </xf>
    <xf numFmtId="0" fontId="158" fillId="0" borderId="15" xfId="0" applyFont="1" applyBorder="1" applyAlignment="1">
      <alignment horizontal="left" vertical="center" shrinkToFit="1"/>
    </xf>
    <xf numFmtId="0" fontId="158" fillId="0" borderId="16" xfId="0" applyFont="1" applyBorder="1" applyAlignment="1">
      <alignment horizontal="left" vertical="center" shrinkToFit="1"/>
    </xf>
    <xf numFmtId="0" fontId="162" fillId="0" borderId="10" xfId="0" applyFont="1" applyBorder="1" applyAlignment="1">
      <alignment horizontal="center" vertical="center" shrinkToFit="1"/>
    </xf>
    <xf numFmtId="0" fontId="162" fillId="0" borderId="65" xfId="0" applyFont="1" applyBorder="1" applyAlignment="1">
      <alignment horizontal="center" vertical="center" wrapText="1"/>
    </xf>
    <xf numFmtId="0" fontId="162" fillId="0" borderId="134" xfId="0" applyFont="1" applyBorder="1" applyAlignment="1">
      <alignment horizontal="center" vertical="center" wrapText="1"/>
    </xf>
    <xf numFmtId="0" fontId="162" fillId="0" borderId="10" xfId="0" applyFont="1" applyBorder="1" applyAlignment="1">
      <alignment horizontal="center" vertical="center" wrapText="1"/>
    </xf>
    <xf numFmtId="0" fontId="162" fillId="0" borderId="256" xfId="0" applyFont="1" applyBorder="1" applyAlignment="1">
      <alignment horizontal="center" vertical="center" wrapText="1"/>
    </xf>
    <xf numFmtId="0" fontId="162" fillId="0" borderId="257" xfId="0" applyFont="1" applyBorder="1" applyAlignment="1">
      <alignment horizontal="center" vertical="center" wrapText="1"/>
    </xf>
    <xf numFmtId="0" fontId="162" fillId="0" borderId="23" xfId="0" applyFont="1" applyBorder="1" applyAlignment="1">
      <alignment horizontal="center" vertical="center" wrapText="1"/>
    </xf>
    <xf numFmtId="0" fontId="162" fillId="0" borderId="0" xfId="0" applyFont="1" applyAlignment="1">
      <alignment horizontal="center" vertical="center" wrapText="1"/>
    </xf>
    <xf numFmtId="0" fontId="158" fillId="0" borderId="10" xfId="0" applyFont="1" applyBorder="1" applyAlignment="1">
      <alignment horizontal="center" vertical="center" wrapText="1"/>
    </xf>
    <xf numFmtId="0" fontId="158" fillId="0" borderId="254" xfId="0" applyFont="1" applyBorder="1" applyAlignment="1">
      <alignment horizontal="center" vertical="center" wrapText="1"/>
    </xf>
    <xf numFmtId="0" fontId="158" fillId="0" borderId="24" xfId="0" applyFont="1" applyBorder="1" applyAlignment="1">
      <alignment horizontal="center" vertical="center" wrapText="1"/>
    </xf>
    <xf numFmtId="0" fontId="158" fillId="0" borderId="11" xfId="0" applyFont="1" applyBorder="1" applyAlignment="1">
      <alignment horizontal="center" vertical="center" wrapText="1"/>
    </xf>
    <xf numFmtId="0" fontId="158" fillId="0" borderId="12" xfId="0" applyFont="1" applyBorder="1" applyAlignment="1">
      <alignment horizontal="center" vertical="center" wrapText="1"/>
    </xf>
    <xf numFmtId="0" fontId="158" fillId="0" borderId="18" xfId="0" applyFont="1" applyBorder="1" applyAlignment="1">
      <alignment horizontal="center" vertical="center" wrapText="1"/>
    </xf>
    <xf numFmtId="181" fontId="158" fillId="0" borderId="14" xfId="0" applyNumberFormat="1" applyFont="1" applyBorder="1" applyAlignment="1">
      <alignment horizontal="center" vertical="center"/>
    </xf>
    <xf numFmtId="181" fontId="158" fillId="0" borderId="15" xfId="0" applyNumberFormat="1" applyFont="1" applyBorder="1" applyAlignment="1">
      <alignment horizontal="center" vertical="center"/>
    </xf>
    <xf numFmtId="181" fontId="158" fillId="0" borderId="16" xfId="0" applyNumberFormat="1" applyFont="1" applyBorder="1" applyAlignment="1">
      <alignment horizontal="center" vertical="center"/>
    </xf>
    <xf numFmtId="0" fontId="158" fillId="0" borderId="16" xfId="0" applyFont="1" applyBorder="1" applyAlignment="1">
      <alignment horizontal="center" vertical="center"/>
    </xf>
    <xf numFmtId="0" fontId="162" fillId="0" borderId="257" xfId="0" applyFont="1" applyBorder="1" applyAlignment="1">
      <alignment horizontal="distributed" vertical="center" shrinkToFit="1"/>
    </xf>
    <xf numFmtId="0" fontId="158" fillId="0" borderId="256" xfId="0" applyFont="1" applyBorder="1" applyAlignment="1">
      <alignment horizontal="left" vertical="center"/>
    </xf>
    <xf numFmtId="0" fontId="158" fillId="0" borderId="257" xfId="0" applyFont="1" applyBorder="1" applyAlignment="1">
      <alignment horizontal="left" vertical="center"/>
    </xf>
    <xf numFmtId="0" fontId="158" fillId="0" borderId="254" xfId="0" applyFont="1" applyBorder="1" applyAlignment="1">
      <alignment horizontal="left" vertical="center"/>
    </xf>
    <xf numFmtId="0" fontId="158" fillId="0" borderId="10" xfId="0" applyFont="1" applyBorder="1" applyAlignment="1">
      <alignment horizontal="center" vertical="center"/>
    </xf>
    <xf numFmtId="20" fontId="158" fillId="0" borderId="14" xfId="0" applyNumberFormat="1" applyFont="1" applyBorder="1" applyAlignment="1">
      <alignment horizontal="center" vertical="center"/>
    </xf>
    <xf numFmtId="20" fontId="158" fillId="0" borderId="15" xfId="0" applyNumberFormat="1" applyFont="1" applyBorder="1" applyAlignment="1">
      <alignment horizontal="center" vertical="center"/>
    </xf>
    <xf numFmtId="20" fontId="158" fillId="0" borderId="16" xfId="0" applyNumberFormat="1" applyFont="1" applyBorder="1" applyAlignment="1">
      <alignment horizontal="center" vertical="center"/>
    </xf>
    <xf numFmtId="0" fontId="158" fillId="0" borderId="256" xfId="0" applyFont="1" applyBorder="1" applyAlignment="1">
      <alignment horizontal="left" vertical="center" wrapText="1"/>
    </xf>
    <xf numFmtId="0" fontId="162" fillId="0" borderId="15" xfId="0" applyFont="1" applyBorder="1" applyAlignment="1">
      <alignment horizontal="distributed" vertical="center" shrinkToFit="1"/>
    </xf>
    <xf numFmtId="0" fontId="158" fillId="0" borderId="257" xfId="0" applyFont="1" applyBorder="1" applyAlignment="1">
      <alignment horizontal="left" vertical="center" wrapText="1"/>
    </xf>
    <xf numFmtId="0" fontId="158" fillId="0" borderId="254" xfId="0" applyFont="1" applyBorder="1" applyAlignment="1">
      <alignment horizontal="left" vertical="center" wrapText="1"/>
    </xf>
    <xf numFmtId="49" fontId="158" fillId="0" borderId="0" xfId="0" applyNumberFormat="1" applyFont="1" applyAlignment="1">
      <alignment horizontal="left" vertical="top" wrapText="1"/>
    </xf>
    <xf numFmtId="0" fontId="158" fillId="0" borderId="12" xfId="0" applyFont="1" applyBorder="1" applyAlignment="1">
      <alignment horizontal="center" vertical="top"/>
    </xf>
    <xf numFmtId="0" fontId="158" fillId="0" borderId="0" xfId="0" applyFont="1" applyAlignment="1">
      <alignment horizontal="center" vertical="center" shrinkToFit="1"/>
    </xf>
    <xf numFmtId="0" fontId="158" fillId="0" borderId="96" xfId="0" applyFont="1" applyBorder="1" applyAlignment="1">
      <alignment horizontal="left" vertical="center" wrapText="1"/>
    </xf>
    <xf numFmtId="0" fontId="158" fillId="0" borderId="91" xfId="0" applyFont="1" applyBorder="1" applyAlignment="1">
      <alignment horizontal="left" vertical="center" wrapText="1"/>
    </xf>
    <xf numFmtId="0" fontId="158" fillId="0" borderId="256" xfId="0" applyFont="1" applyBorder="1" applyAlignment="1">
      <alignment horizontal="center" vertical="center"/>
    </xf>
    <xf numFmtId="0" fontId="158" fillId="0" borderId="23" xfId="0" applyFont="1" applyBorder="1" applyAlignment="1">
      <alignment horizontal="center" vertical="center"/>
    </xf>
    <xf numFmtId="0" fontId="158" fillId="0" borderId="11" xfId="0" applyFont="1" applyBorder="1" applyAlignment="1">
      <alignment horizontal="center" vertical="center"/>
    </xf>
    <xf numFmtId="0" fontId="162" fillId="0" borderId="87" xfId="0" applyFont="1" applyBorder="1" applyAlignment="1">
      <alignment horizontal="center" vertical="center" wrapText="1"/>
    </xf>
    <xf numFmtId="0" fontId="158" fillId="0" borderId="87" xfId="0" applyFont="1" applyBorder="1" applyAlignment="1">
      <alignment horizontal="left" vertical="center"/>
    </xf>
    <xf numFmtId="0" fontId="162" fillId="0" borderId="88" xfId="0" applyFont="1" applyBorder="1" applyAlignment="1">
      <alignment horizontal="center" vertical="center" wrapText="1"/>
    </xf>
    <xf numFmtId="0" fontId="158" fillId="0" borderId="88" xfId="0" applyFont="1" applyBorder="1" applyAlignment="1">
      <alignment horizontal="left" vertical="center"/>
    </xf>
    <xf numFmtId="0" fontId="162" fillId="0" borderId="91" xfId="0" applyFont="1" applyBorder="1" applyAlignment="1">
      <alignment horizontal="distributed" vertical="center" wrapText="1"/>
    </xf>
    <xf numFmtId="0" fontId="162" fillId="0" borderId="92" xfId="0" applyFont="1" applyBorder="1" applyAlignment="1">
      <alignment horizontal="distributed" vertical="center" wrapText="1"/>
    </xf>
    <xf numFmtId="0" fontId="158" fillId="0" borderId="96" xfId="0" applyFont="1" applyBorder="1" applyAlignment="1">
      <alignment horizontal="left" vertical="center" shrinkToFit="1"/>
    </xf>
    <xf numFmtId="0" fontId="162" fillId="0" borderId="70" xfId="0" applyFont="1" applyBorder="1" applyAlignment="1">
      <alignment horizontal="distributed" vertical="center" wrapText="1"/>
    </xf>
    <xf numFmtId="0" fontId="162" fillId="0" borderId="71" xfId="0" applyFont="1" applyBorder="1" applyAlignment="1">
      <alignment horizontal="distributed" vertical="center" wrapText="1"/>
    </xf>
    <xf numFmtId="0" fontId="158" fillId="0" borderId="89" xfId="0" applyFont="1" applyBorder="1" applyAlignment="1">
      <alignment horizontal="left" vertical="center"/>
    </xf>
    <xf numFmtId="0" fontId="158" fillId="0" borderId="53" xfId="0" applyFont="1" applyBorder="1" applyAlignment="1">
      <alignment horizontal="left" vertical="center"/>
    </xf>
    <xf numFmtId="0" fontId="158" fillId="0" borderId="59" xfId="0" applyFont="1" applyBorder="1" applyAlignment="1">
      <alignment horizontal="left" vertical="center"/>
    </xf>
    <xf numFmtId="0" fontId="158" fillId="0" borderId="60" xfId="0" applyFont="1" applyBorder="1" applyAlignment="1">
      <alignment horizontal="left" vertical="center"/>
    </xf>
    <xf numFmtId="0" fontId="158" fillId="0" borderId="90" xfId="0" applyFont="1" applyBorder="1" applyAlignment="1">
      <alignment horizontal="left" vertical="center"/>
    </xf>
    <xf numFmtId="0" fontId="158" fillId="0" borderId="91" xfId="0" applyFont="1" applyBorder="1" applyAlignment="1">
      <alignment horizontal="left" vertical="center"/>
    </xf>
    <xf numFmtId="0" fontId="158" fillId="0" borderId="92" xfId="0" applyFont="1" applyBorder="1" applyAlignment="1">
      <alignment horizontal="left" vertical="center"/>
    </xf>
    <xf numFmtId="0" fontId="162" fillId="0" borderId="89" xfId="0" applyFont="1" applyBorder="1" applyAlignment="1">
      <alignment horizontal="center" vertical="center" wrapText="1"/>
    </xf>
    <xf numFmtId="0" fontId="158" fillId="0" borderId="72" xfId="0" applyFont="1" applyBorder="1" applyAlignment="1">
      <alignment horizontal="left" vertical="center"/>
    </xf>
    <xf numFmtId="0" fontId="158" fillId="0" borderId="70" xfId="0" applyFont="1" applyBorder="1" applyAlignment="1">
      <alignment horizontal="left" vertical="center"/>
    </xf>
    <xf numFmtId="0" fontId="158" fillId="0" borderId="71" xfId="0" applyFont="1" applyBorder="1" applyAlignment="1">
      <alignment horizontal="left" vertical="center"/>
    </xf>
    <xf numFmtId="0" fontId="158" fillId="0" borderId="0" xfId="0" applyFont="1" applyAlignment="1">
      <alignment horizontal="left" vertical="center"/>
    </xf>
    <xf numFmtId="0" fontId="158" fillId="0" borderId="24" xfId="0" applyFont="1" applyBorder="1" applyAlignment="1">
      <alignment horizontal="left" vertical="center"/>
    </xf>
    <xf numFmtId="0" fontId="162" fillId="0" borderId="135" xfId="0" applyFont="1" applyBorder="1" applyAlignment="1">
      <alignment horizontal="center" vertical="center" shrinkToFit="1"/>
    </xf>
    <xf numFmtId="0" fontId="162" fillId="0" borderId="110" xfId="0" applyFont="1" applyBorder="1" applyAlignment="1">
      <alignment horizontal="center" vertical="center" shrinkToFit="1"/>
    </xf>
    <xf numFmtId="0" fontId="162" fillId="0" borderId="23" xfId="0" applyFont="1" applyBorder="1" applyAlignment="1">
      <alignment horizontal="center" vertical="center" shrinkToFit="1"/>
    </xf>
    <xf numFmtId="0" fontId="162" fillId="0" borderId="0" xfId="0" applyFont="1" applyAlignment="1">
      <alignment horizontal="center" vertical="center" shrinkToFit="1"/>
    </xf>
    <xf numFmtId="0" fontId="162" fillId="0" borderId="11" xfId="0" applyFont="1" applyBorder="1" applyAlignment="1">
      <alignment horizontal="center" vertical="center" shrinkToFit="1"/>
    </xf>
    <xf numFmtId="0" fontId="162" fillId="0" borderId="12" xfId="0" applyFont="1" applyBorder="1" applyAlignment="1">
      <alignment horizontal="center" vertical="center" shrinkToFit="1"/>
    </xf>
    <xf numFmtId="0" fontId="162" fillId="0" borderId="53" xfId="0" applyFont="1" applyBorder="1" applyAlignment="1">
      <alignment horizontal="center" vertical="center" wrapText="1"/>
    </xf>
    <xf numFmtId="0" fontId="162" fillId="0" borderId="59" xfId="0" applyFont="1" applyBorder="1" applyAlignment="1">
      <alignment horizontal="center" vertical="center" wrapText="1"/>
    </xf>
    <xf numFmtId="0" fontId="162" fillId="0" borderId="60" xfId="0" applyFont="1" applyBorder="1" applyAlignment="1">
      <alignment horizontal="center" vertical="center" wrapText="1"/>
    </xf>
    <xf numFmtId="0" fontId="158" fillId="0" borderId="53" xfId="0" applyFont="1" applyBorder="1" applyAlignment="1">
      <alignment horizontal="left" vertical="center" shrinkToFit="1"/>
    </xf>
    <xf numFmtId="0" fontId="158" fillId="0" borderId="59" xfId="0" applyFont="1" applyBorder="1" applyAlignment="1">
      <alignment horizontal="left" vertical="center" shrinkToFit="1"/>
    </xf>
    <xf numFmtId="0" fontId="158" fillId="0" borderId="60" xfId="0" applyFont="1" applyBorder="1" applyAlignment="1">
      <alignment horizontal="left" vertical="center" shrinkToFit="1"/>
    </xf>
    <xf numFmtId="0" fontId="162" fillId="0" borderId="90" xfId="0" applyFont="1" applyBorder="1" applyAlignment="1">
      <alignment horizontal="center" vertical="center" wrapText="1"/>
    </xf>
    <xf numFmtId="0" fontId="162" fillId="0" borderId="91" xfId="0" applyFont="1" applyBorder="1" applyAlignment="1">
      <alignment horizontal="center" vertical="center" wrapText="1"/>
    </xf>
    <xf numFmtId="0" fontId="162" fillId="0" borderId="92" xfId="0" applyFont="1" applyBorder="1" applyAlignment="1">
      <alignment horizontal="center" vertical="center" wrapText="1"/>
    </xf>
    <xf numFmtId="0" fontId="162" fillId="0" borderId="72" xfId="0" applyFont="1" applyBorder="1" applyAlignment="1">
      <alignment horizontal="center" vertical="center" wrapText="1"/>
    </xf>
    <xf numFmtId="0" fontId="162" fillId="0" borderId="70" xfId="0" applyFont="1" applyBorder="1" applyAlignment="1">
      <alignment horizontal="center" vertical="center" wrapText="1"/>
    </xf>
    <xf numFmtId="0" fontId="162" fillId="0" borderId="71" xfId="0" applyFont="1" applyBorder="1" applyAlignment="1">
      <alignment horizontal="center" vertical="center" wrapText="1"/>
    </xf>
    <xf numFmtId="49" fontId="158" fillId="0" borderId="0" xfId="0" applyNumberFormat="1" applyFont="1" applyAlignment="1">
      <alignment horizontal="left" vertical="top"/>
    </xf>
    <xf numFmtId="0" fontId="199" fillId="0" borderId="0" xfId="0" applyFont="1" applyAlignment="1">
      <alignment horizontal="left" vertical="top"/>
    </xf>
    <xf numFmtId="49" fontId="199" fillId="0" borderId="0" xfId="0" applyNumberFormat="1" applyFont="1" applyAlignment="1">
      <alignment horizontal="left" vertical="top" wrapText="1"/>
    </xf>
    <xf numFmtId="49" fontId="83" fillId="0" borderId="0" xfId="0" applyNumberFormat="1" applyFont="1" applyAlignment="1">
      <alignment horizontal="right" vertical="top" wrapText="1"/>
    </xf>
    <xf numFmtId="0" fontId="83" fillId="0" borderId="0" xfId="0" applyFont="1" applyAlignment="1">
      <alignment horizontal="left" vertical="top"/>
    </xf>
    <xf numFmtId="0" fontId="86" fillId="0" borderId="0" xfId="0" applyFont="1" applyAlignment="1">
      <alignment horizontal="center" vertical="center"/>
    </xf>
    <xf numFmtId="0" fontId="86" fillId="0" borderId="30" xfId="0" applyFont="1" applyBorder="1" applyAlignment="1">
      <alignment horizontal="center" vertical="center"/>
    </xf>
    <xf numFmtId="0" fontId="86" fillId="0" borderId="36" xfId="0" applyFont="1" applyBorder="1" applyAlignment="1">
      <alignment horizontal="center" vertical="center"/>
    </xf>
    <xf numFmtId="0" fontId="83" fillId="0" borderId="0" xfId="0" applyFont="1" applyAlignment="1">
      <alignment horizontal="left" vertical="top" wrapText="1"/>
    </xf>
    <xf numFmtId="49" fontId="83" fillId="0" borderId="0" xfId="0" applyNumberFormat="1" applyFont="1" applyAlignment="1">
      <alignment horizontal="right" vertical="top"/>
    </xf>
    <xf numFmtId="0" fontId="83" fillId="0" borderId="0" xfId="0" applyFont="1" applyAlignment="1">
      <alignment horizontal="right" vertical="top"/>
    </xf>
    <xf numFmtId="0" fontId="83" fillId="0" borderId="0" xfId="0" applyFont="1" applyAlignment="1" applyProtection="1">
      <alignment horizontal="left" vertical="top" shrinkToFit="1"/>
      <protection locked="0"/>
    </xf>
    <xf numFmtId="49" fontId="83" fillId="0" borderId="0" xfId="0" applyNumberFormat="1" applyFont="1" applyAlignment="1">
      <alignment horizontal="left" vertical="top" wrapText="1"/>
    </xf>
    <xf numFmtId="0" fontId="83" fillId="0" borderId="0" xfId="0" applyFont="1" applyAlignment="1">
      <alignment horizontal="center" vertical="top"/>
    </xf>
    <xf numFmtId="0" fontId="83" fillId="0" borderId="0" xfId="0" applyFont="1" applyAlignment="1">
      <alignment horizontal="left" vertical="top" shrinkToFit="1"/>
    </xf>
    <xf numFmtId="0" fontId="81" fillId="0" borderId="0" xfId="0" applyFont="1" applyAlignment="1">
      <alignment horizontal="left" vertical="top" wrapText="1"/>
    </xf>
    <xf numFmtId="0" fontId="81" fillId="0" borderId="0" xfId="0" applyFont="1" applyAlignment="1">
      <alignment horizontal="left" vertical="top"/>
    </xf>
    <xf numFmtId="49" fontId="81" fillId="0" borderId="0" xfId="0" applyNumberFormat="1" applyFont="1" applyAlignment="1">
      <alignment horizontal="left" vertical="top" wrapText="1"/>
    </xf>
    <xf numFmtId="0" fontId="104" fillId="0" borderId="256" xfId="0" applyFont="1" applyBorder="1" applyAlignment="1">
      <alignment horizontal="center" vertical="center" wrapText="1" shrinkToFit="1"/>
    </xf>
    <xf numFmtId="0" fontId="104" fillId="0" borderId="257" xfId="0" applyFont="1" applyBorder="1" applyAlignment="1">
      <alignment horizontal="center" vertical="center" shrinkToFit="1"/>
    </xf>
    <xf numFmtId="0" fontId="104" fillId="0" borderId="254" xfId="0" applyFont="1" applyBorder="1" applyAlignment="1">
      <alignment horizontal="center" vertical="center" shrinkToFit="1"/>
    </xf>
    <xf numFmtId="0" fontId="104" fillId="0" borderId="23" xfId="0" applyFont="1" applyBorder="1" applyAlignment="1">
      <alignment horizontal="center" vertical="center" wrapText="1" shrinkToFit="1"/>
    </xf>
    <xf numFmtId="0" fontId="104" fillId="0" borderId="0" xfId="0" applyFont="1" applyAlignment="1">
      <alignment horizontal="center" vertical="center" shrinkToFit="1"/>
    </xf>
    <xf numFmtId="0" fontId="104" fillId="0" borderId="24" xfId="0" applyFont="1" applyBorder="1" applyAlignment="1">
      <alignment horizontal="center" vertical="center" shrinkToFit="1"/>
    </xf>
    <xf numFmtId="0" fontId="104" fillId="0" borderId="11" xfId="0" applyFont="1" applyBorder="1" applyAlignment="1">
      <alignment horizontal="center" vertical="center" shrinkToFit="1"/>
    </xf>
    <xf numFmtId="0" fontId="104" fillId="0" borderId="12" xfId="0" applyFont="1" applyBorder="1" applyAlignment="1">
      <alignment horizontal="center" vertical="center" shrinkToFit="1"/>
    </xf>
    <xf numFmtId="0" fontId="104" fillId="0" borderId="18" xfId="0" applyFont="1" applyBorder="1" applyAlignment="1">
      <alignment horizontal="center" vertical="center" shrinkToFit="1"/>
    </xf>
    <xf numFmtId="0" fontId="84" fillId="0" borderId="15" xfId="0" applyFont="1" applyBorder="1" applyAlignment="1">
      <alignment horizontal="distributed" vertical="center"/>
    </xf>
    <xf numFmtId="0" fontId="84" fillId="0" borderId="14" xfId="0" applyFont="1" applyBorder="1" applyAlignment="1">
      <alignment horizontal="left" vertical="center" wrapText="1"/>
    </xf>
    <xf numFmtId="0" fontId="84" fillId="0" borderId="15" xfId="0" applyFont="1" applyBorder="1" applyAlignment="1">
      <alignment horizontal="left" vertical="center" wrapText="1"/>
    </xf>
    <xf numFmtId="0" fontId="84" fillId="0" borderId="16" xfId="0" applyFont="1" applyBorder="1" applyAlignment="1">
      <alignment horizontal="left" vertical="center" wrapText="1"/>
    </xf>
    <xf numFmtId="0" fontId="104" fillId="0" borderId="11" xfId="0" applyFont="1" applyBorder="1" applyAlignment="1">
      <alignment horizontal="center" vertical="center" wrapText="1" shrinkToFit="1"/>
    </xf>
    <xf numFmtId="0" fontId="84" fillId="0" borderId="0" xfId="0" applyFont="1" applyAlignment="1">
      <alignment horizontal="left" vertical="center" wrapText="1"/>
    </xf>
    <xf numFmtId="0" fontId="84" fillId="0" borderId="24" xfId="0" applyFont="1" applyBorder="1" applyAlignment="1">
      <alignment horizontal="left" vertical="center" wrapText="1"/>
    </xf>
    <xf numFmtId="0" fontId="84" fillId="0" borderId="256" xfId="0" applyFont="1" applyBorder="1" applyAlignment="1">
      <alignment horizontal="center" vertical="center" wrapText="1"/>
    </xf>
    <xf numFmtId="0" fontId="84" fillId="0" borderId="257" xfId="0" applyFont="1" applyBorder="1" applyAlignment="1">
      <alignment horizontal="center" vertical="center" wrapText="1"/>
    </xf>
    <xf numFmtId="0" fontId="84" fillId="0" borderId="257" xfId="0" applyFont="1" applyBorder="1" applyAlignment="1">
      <alignment horizontal="left" vertical="center" shrinkToFit="1"/>
    </xf>
    <xf numFmtId="0" fontId="84" fillId="0" borderId="254" xfId="0" applyFont="1" applyBorder="1" applyAlignment="1">
      <alignment horizontal="left" vertical="center" shrinkToFit="1"/>
    </xf>
    <xf numFmtId="0" fontId="84" fillId="0" borderId="23" xfId="0" applyFont="1" applyBorder="1" applyAlignment="1">
      <alignment horizontal="center" vertical="center" wrapText="1"/>
    </xf>
    <xf numFmtId="0" fontId="84" fillId="0" borderId="0" xfId="0" applyFont="1" applyAlignment="1">
      <alignment horizontal="center" vertical="center" wrapText="1"/>
    </xf>
    <xf numFmtId="0" fontId="84" fillId="0" borderId="10" xfId="0" applyFont="1" applyBorder="1" applyAlignment="1">
      <alignment horizontal="left" vertical="center"/>
    </xf>
    <xf numFmtId="0" fontId="104" fillId="0" borderId="256" xfId="0" applyFont="1" applyBorder="1" applyAlignment="1">
      <alignment horizontal="center" vertical="center" shrinkToFit="1"/>
    </xf>
    <xf numFmtId="0" fontId="86" fillId="0" borderId="0" xfId="0" applyFont="1" applyAlignment="1">
      <alignment horizontal="center" vertical="top"/>
    </xf>
    <xf numFmtId="0" fontId="84" fillId="0" borderId="0" xfId="0" applyFont="1" applyAlignment="1">
      <alignment horizontal="left" vertical="top" wrapText="1"/>
    </xf>
    <xf numFmtId="0" fontId="84" fillId="0" borderId="14" xfId="0" applyFont="1" applyBorder="1" applyAlignment="1">
      <alignment horizontal="left" vertical="center"/>
    </xf>
    <xf numFmtId="0" fontId="84" fillId="0" borderId="15" xfId="0" applyFont="1" applyBorder="1" applyAlignment="1">
      <alignment horizontal="left" vertical="center"/>
    </xf>
    <xf numFmtId="0" fontId="84" fillId="0" borderId="16" xfId="0" applyFont="1" applyBorder="1" applyAlignment="1">
      <alignment horizontal="left" vertical="center"/>
    </xf>
    <xf numFmtId="0" fontId="84" fillId="0" borderId="254" xfId="0" applyFont="1" applyBorder="1" applyAlignment="1">
      <alignment horizontal="center" vertical="center" wrapText="1"/>
    </xf>
    <xf numFmtId="0" fontId="84" fillId="0" borderId="24" xfId="0" applyFont="1" applyBorder="1" applyAlignment="1">
      <alignment horizontal="center" vertical="center" wrapText="1"/>
    </xf>
    <xf numFmtId="20" fontId="84" fillId="0" borderId="14" xfId="0" applyNumberFormat="1" applyFont="1" applyBorder="1" applyAlignment="1">
      <alignment horizontal="center" vertical="center"/>
    </xf>
    <xf numFmtId="20" fontId="84" fillId="0" borderId="15" xfId="0" applyNumberFormat="1" applyFont="1" applyBorder="1" applyAlignment="1">
      <alignment horizontal="center" vertical="center"/>
    </xf>
    <xf numFmtId="20" fontId="84" fillId="0" borderId="16" xfId="0" applyNumberFormat="1" applyFont="1" applyBorder="1" applyAlignment="1">
      <alignment horizontal="center" vertical="center"/>
    </xf>
    <xf numFmtId="0" fontId="84" fillId="0" borderId="256" xfId="0" applyFont="1" applyBorder="1" applyAlignment="1">
      <alignment horizontal="left" vertical="center" wrapText="1"/>
    </xf>
    <xf numFmtId="0" fontId="84" fillId="0" borderId="257" xfId="0" applyFont="1" applyBorder="1" applyAlignment="1">
      <alignment horizontal="left" vertical="center" wrapText="1"/>
    </xf>
    <xf numFmtId="0" fontId="84" fillId="0" borderId="254" xfId="0" applyFont="1" applyBorder="1" applyAlignment="1">
      <alignment horizontal="left" vertical="center" wrapText="1"/>
    </xf>
    <xf numFmtId="0" fontId="84" fillId="0" borderId="23" xfId="0" applyFont="1" applyBorder="1" applyAlignment="1">
      <alignment horizontal="left" vertical="center" wrapText="1"/>
    </xf>
    <xf numFmtId="0" fontId="84" fillId="0" borderId="256" xfId="0" applyFont="1" applyBorder="1" applyAlignment="1">
      <alignment horizontal="center" vertical="center"/>
    </xf>
    <xf numFmtId="0" fontId="84" fillId="0" borderId="257" xfId="0" applyFont="1" applyBorder="1" applyAlignment="1">
      <alignment horizontal="center" vertical="center"/>
    </xf>
    <xf numFmtId="0" fontId="84" fillId="0" borderId="254" xfId="0" applyFont="1" applyBorder="1" applyAlignment="1">
      <alignment horizontal="center" vertical="center"/>
    </xf>
    <xf numFmtId="0" fontId="84" fillId="0" borderId="11" xfId="0" applyFont="1" applyBorder="1" applyAlignment="1">
      <alignment horizontal="center" vertical="center"/>
    </xf>
    <xf numFmtId="0" fontId="84" fillId="0" borderId="12" xfId="0" applyFont="1" applyBorder="1" applyAlignment="1">
      <alignment horizontal="center" vertical="center"/>
    </xf>
    <xf numFmtId="0" fontId="84" fillId="0" borderId="18" xfId="0" applyFont="1" applyBorder="1" applyAlignment="1">
      <alignment horizontal="center" vertical="center"/>
    </xf>
    <xf numFmtId="0" fontId="84" fillId="0" borderId="11" xfId="0" applyFont="1" applyBorder="1" applyAlignment="1">
      <alignment horizontal="center" vertical="center" shrinkToFit="1"/>
    </xf>
    <xf numFmtId="0" fontId="84" fillId="0" borderId="12" xfId="0" applyFont="1" applyBorder="1" applyAlignment="1">
      <alignment horizontal="center" vertical="center" shrinkToFit="1"/>
    </xf>
    <xf numFmtId="0" fontId="84" fillId="0" borderId="12" xfId="0" applyFont="1" applyBorder="1" applyAlignment="1">
      <alignment horizontal="left" vertical="center" wrapText="1"/>
    </xf>
    <xf numFmtId="0" fontId="84" fillId="0" borderId="18" xfId="0" applyFont="1" applyBorder="1" applyAlignment="1">
      <alignment horizontal="left" vertical="center" wrapText="1"/>
    </xf>
    <xf numFmtId="0" fontId="84" fillId="0" borderId="10" xfId="0" applyFont="1" applyBorder="1" applyAlignment="1">
      <alignment horizontal="left" vertical="center" wrapText="1"/>
    </xf>
    <xf numFmtId="0" fontId="84" fillId="0" borderId="257" xfId="0" applyFont="1" applyBorder="1" applyAlignment="1">
      <alignment horizontal="distributed" vertical="center"/>
    </xf>
    <xf numFmtId="0" fontId="84" fillId="0" borderId="16" xfId="0" applyFont="1" applyBorder="1" applyAlignment="1">
      <alignment horizontal="center" vertical="center"/>
    </xf>
    <xf numFmtId="0" fontId="84" fillId="0" borderId="10" xfId="0" applyFont="1" applyBorder="1" applyAlignment="1">
      <alignment horizontal="center" vertical="center"/>
    </xf>
    <xf numFmtId="0" fontId="84" fillId="0" borderId="0" xfId="0" applyFont="1" applyAlignment="1">
      <alignment horizontal="distributed" vertical="center"/>
    </xf>
    <xf numFmtId="0" fontId="84" fillId="0" borderId="12" xfId="0" applyFont="1" applyBorder="1" applyAlignment="1">
      <alignment horizontal="distributed" vertical="center"/>
    </xf>
    <xf numFmtId="0" fontId="84" fillId="0" borderId="12" xfId="0" applyFont="1" applyBorder="1" applyAlignment="1">
      <alignment horizontal="center" vertical="top"/>
    </xf>
    <xf numFmtId="0" fontId="84" fillId="0" borderId="256" xfId="0" applyFont="1" applyBorder="1" applyAlignment="1">
      <alignment horizontal="center" vertical="top"/>
    </xf>
    <xf numFmtId="0" fontId="84" fillId="0" borderId="23" xfId="0" applyFont="1" applyBorder="1" applyAlignment="1">
      <alignment horizontal="center" vertical="top"/>
    </xf>
    <xf numFmtId="0" fontId="84" fillId="0" borderId="11" xfId="0" applyFont="1" applyBorder="1" applyAlignment="1">
      <alignment horizontal="center" vertical="top"/>
    </xf>
    <xf numFmtId="0" fontId="104" fillId="0" borderId="87" xfId="0" applyFont="1" applyBorder="1" applyAlignment="1">
      <alignment horizontal="center" vertical="center" wrapText="1"/>
    </xf>
    <xf numFmtId="0" fontId="84" fillId="0" borderId="87" xfId="0" applyFont="1" applyBorder="1" applyAlignment="1">
      <alignment horizontal="left" vertical="center"/>
    </xf>
    <xf numFmtId="0" fontId="104" fillId="0" borderId="88" xfId="0" applyFont="1" applyBorder="1" applyAlignment="1">
      <alignment horizontal="center" vertical="center" wrapText="1"/>
    </xf>
    <xf numFmtId="0" fontId="84" fillId="0" borderId="88" xfId="0" applyFont="1" applyBorder="1" applyAlignment="1">
      <alignment horizontal="left" vertical="center"/>
    </xf>
    <xf numFmtId="0" fontId="104" fillId="0" borderId="91" xfId="0" applyFont="1" applyBorder="1" applyAlignment="1">
      <alignment horizontal="distributed" vertical="center" wrapText="1"/>
    </xf>
    <xf numFmtId="0" fontId="104" fillId="0" borderId="92" xfId="0" applyFont="1" applyBorder="1" applyAlignment="1">
      <alignment horizontal="distributed" vertical="center" wrapText="1"/>
    </xf>
    <xf numFmtId="49" fontId="84" fillId="0" borderId="0" xfId="0" applyNumberFormat="1" applyFont="1" applyAlignment="1">
      <alignment horizontal="left" vertical="top" wrapText="1"/>
    </xf>
    <xf numFmtId="0" fontId="104" fillId="0" borderId="70" xfId="0" applyFont="1" applyBorder="1" applyAlignment="1">
      <alignment horizontal="distributed" vertical="center" wrapText="1"/>
    </xf>
    <xf numFmtId="0" fontId="104" fillId="0" borderId="71" xfId="0" applyFont="1" applyBorder="1" applyAlignment="1">
      <alignment horizontal="distributed" vertical="center" wrapText="1"/>
    </xf>
    <xf numFmtId="0" fontId="84" fillId="0" borderId="89" xfId="0" applyFont="1" applyBorder="1" applyAlignment="1">
      <alignment horizontal="left" vertical="center"/>
    </xf>
    <xf numFmtId="0" fontId="104" fillId="0" borderId="135" xfId="0" applyFont="1" applyBorder="1" applyAlignment="1">
      <alignment horizontal="center" vertical="center" shrinkToFit="1"/>
    </xf>
    <xf numFmtId="0" fontId="104" fillId="0" borderId="110" xfId="0" applyFont="1" applyBorder="1" applyAlignment="1">
      <alignment horizontal="center" vertical="center" shrinkToFit="1"/>
    </xf>
    <xf numFmtId="0" fontId="104" fillId="0" borderId="23" xfId="0" applyFont="1" applyBorder="1" applyAlignment="1">
      <alignment horizontal="center" vertical="center" shrinkToFit="1"/>
    </xf>
    <xf numFmtId="0" fontId="84" fillId="0" borderId="91" xfId="0" applyFont="1" applyBorder="1" applyAlignment="1">
      <alignment horizontal="left" vertical="center" shrinkToFit="1"/>
    </xf>
    <xf numFmtId="0" fontId="84" fillId="0" borderId="96" xfId="0" applyFont="1" applyBorder="1" applyAlignment="1">
      <alignment horizontal="left" vertical="center" shrinkToFit="1"/>
    </xf>
    <xf numFmtId="0" fontId="84" fillId="0" borderId="11"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18" xfId="0" applyFont="1" applyBorder="1" applyAlignment="1">
      <alignment horizontal="center" vertical="center" wrapText="1"/>
    </xf>
    <xf numFmtId="0" fontId="84" fillId="0" borderId="11" xfId="0" applyFont="1" applyBorder="1" applyAlignment="1">
      <alignment horizontal="left" vertical="center" wrapText="1"/>
    </xf>
    <xf numFmtId="0" fontId="80" fillId="0" borderId="0" xfId="0" applyFont="1" applyAlignment="1">
      <alignment horizontal="left" vertical="top" shrinkToFit="1"/>
    </xf>
    <xf numFmtId="0" fontId="108" fillId="0" borderId="0" xfId="43" applyFont="1" applyAlignment="1">
      <alignment horizontal="left" vertical="center" wrapText="1"/>
    </xf>
    <xf numFmtId="0" fontId="80" fillId="0" borderId="96" xfId="0" applyFont="1" applyBorder="1" applyAlignment="1">
      <alignment horizontal="left" vertical="top" shrinkToFit="1"/>
    </xf>
    <xf numFmtId="0" fontId="80" fillId="0" borderId="91" xfId="0" applyFont="1" applyBorder="1" applyAlignment="1">
      <alignment horizontal="left" vertical="top" shrinkToFit="1"/>
    </xf>
    <xf numFmtId="0" fontId="80" fillId="0" borderId="91" xfId="0" applyFont="1" applyBorder="1" applyAlignment="1">
      <alignment horizontal="left" vertical="top" wrapText="1"/>
    </xf>
    <xf numFmtId="0" fontId="80" fillId="0" borderId="96" xfId="0" applyFont="1" applyBorder="1" applyAlignment="1">
      <alignment horizontal="left" vertical="top" wrapText="1"/>
    </xf>
    <xf numFmtId="0" fontId="107" fillId="0" borderId="0" xfId="48" applyFont="1" applyAlignment="1">
      <alignment horizontal="center" vertical="center"/>
    </xf>
    <xf numFmtId="0" fontId="82" fillId="0" borderId="0" xfId="48" applyFont="1" applyAlignment="1">
      <alignment horizontal="left" vertical="center" wrapText="1"/>
    </xf>
    <xf numFmtId="0" fontId="82" fillId="0" borderId="0" xfId="48" applyFont="1" applyAlignment="1">
      <alignment horizontal="center" vertical="center"/>
    </xf>
    <xf numFmtId="49" fontId="82" fillId="0" borderId="0" xfId="48" applyNumberFormat="1" applyFont="1" applyAlignment="1">
      <alignment horizontal="left" vertical="center" wrapText="1"/>
    </xf>
    <xf numFmtId="0" fontId="87" fillId="0" borderId="40" xfId="51" applyFont="1" applyBorder="1" applyAlignment="1">
      <alignment horizontal="right"/>
    </xf>
    <xf numFmtId="0" fontId="80" fillId="0" borderId="115" xfId="51" applyFont="1" applyBorder="1" applyAlignment="1">
      <alignment horizontal="center" vertical="center"/>
    </xf>
    <xf numFmtId="0" fontId="80" fillId="0" borderId="257" xfId="51" applyFont="1" applyBorder="1" applyAlignment="1">
      <alignment horizontal="center" vertical="center"/>
    </xf>
    <xf numFmtId="0" fontId="80" fillId="0" borderId="123" xfId="51" applyFont="1" applyBorder="1" applyAlignment="1">
      <alignment horizontal="center" vertical="center"/>
    </xf>
    <xf numFmtId="0" fontId="80" fillId="0" borderId="12" xfId="51" applyFont="1" applyBorder="1" applyAlignment="1">
      <alignment horizontal="center" vertical="center"/>
    </xf>
    <xf numFmtId="0" fontId="88" fillId="0" borderId="50" xfId="51" applyFont="1" applyBorder="1" applyAlignment="1">
      <alignment horizontal="center" vertical="center"/>
    </xf>
    <xf numFmtId="0" fontId="88" fillId="0" borderId="48" xfId="51" applyFont="1" applyBorder="1" applyAlignment="1">
      <alignment horizontal="center" vertical="center"/>
    </xf>
    <xf numFmtId="0" fontId="88" fillId="0" borderId="169" xfId="51" applyFont="1" applyBorder="1" applyAlignment="1">
      <alignment horizontal="center" vertical="center"/>
    </xf>
    <xf numFmtId="0" fontId="88" fillId="0" borderId="144" xfId="51" applyFont="1" applyBorder="1" applyAlignment="1">
      <alignment horizontal="center" vertical="center"/>
    </xf>
    <xf numFmtId="0" fontId="80" fillId="0" borderId="239" xfId="51" applyFont="1" applyBorder="1" applyAlignment="1">
      <alignment horizontal="center" vertical="center"/>
    </xf>
    <xf numFmtId="0" fontId="80" fillId="0" borderId="76" xfId="51" applyFont="1" applyBorder="1" applyAlignment="1">
      <alignment horizontal="center" vertical="center"/>
    </xf>
    <xf numFmtId="0" fontId="80" fillId="0" borderId="241" xfId="51" applyFont="1" applyBorder="1" applyAlignment="1">
      <alignment horizontal="center" vertical="center"/>
    </xf>
    <xf numFmtId="0" fontId="80" fillId="0" borderId="184" xfId="51" applyFont="1" applyBorder="1" applyAlignment="1">
      <alignment horizontal="center" vertical="center"/>
    </xf>
    <xf numFmtId="0" fontId="80" fillId="0" borderId="106" xfId="51" applyFont="1" applyBorder="1" applyAlignment="1">
      <alignment horizontal="center" vertical="center"/>
    </xf>
    <xf numFmtId="0" fontId="80" fillId="0" borderId="0" xfId="51" applyFont="1" applyAlignment="1">
      <alignment horizontal="center" vertical="center"/>
    </xf>
    <xf numFmtId="0" fontId="80" fillId="0" borderId="119" xfId="51" applyFont="1" applyBorder="1" applyAlignment="1">
      <alignment horizontal="center" vertical="center"/>
    </xf>
    <xf numFmtId="0" fontId="80" fillId="0" borderId="122" xfId="51" applyFont="1" applyBorder="1" applyAlignment="1">
      <alignment horizontal="center" vertical="center"/>
    </xf>
    <xf numFmtId="0" fontId="87" fillId="0" borderId="76" xfId="51" applyFont="1" applyBorder="1" applyAlignment="1">
      <alignment horizontal="right"/>
    </xf>
    <xf numFmtId="0" fontId="87" fillId="0" borderId="184" xfId="51" applyFont="1" applyBorder="1" applyAlignment="1">
      <alignment horizontal="right"/>
    </xf>
    <xf numFmtId="0" fontId="88" fillId="0" borderId="55" xfId="51" applyFont="1" applyBorder="1" applyAlignment="1">
      <alignment horizontal="center" vertical="center"/>
    </xf>
    <xf numFmtId="0" fontId="88" fillId="0" borderId="36" xfId="51" applyFont="1" applyBorder="1" applyAlignment="1">
      <alignment horizontal="center" vertical="center"/>
    </xf>
    <xf numFmtId="0" fontId="88" fillId="0" borderId="99" xfId="51" applyFont="1" applyBorder="1" applyAlignment="1">
      <alignment horizontal="center" vertical="center"/>
    </xf>
    <xf numFmtId="0" fontId="88" fillId="0" borderId="27" xfId="51" applyFont="1" applyBorder="1" applyAlignment="1">
      <alignment horizontal="center" vertical="center"/>
    </xf>
    <xf numFmtId="0" fontId="94" fillId="0" borderId="48" xfId="51" applyFont="1" applyBorder="1" applyAlignment="1">
      <alignment horizontal="center" vertical="center"/>
    </xf>
    <xf numFmtId="0" fontId="94" fillId="0" borderId="144" xfId="51" applyFont="1" applyBorder="1" applyAlignment="1">
      <alignment horizontal="center" vertical="center"/>
    </xf>
    <xf numFmtId="0" fontId="80" fillId="0" borderId="242" xfId="51" applyFont="1" applyBorder="1" applyAlignment="1">
      <alignment horizontal="center" vertical="center"/>
    </xf>
    <xf numFmtId="0" fontId="80" fillId="0" borderId="156" xfId="51" applyFont="1" applyBorder="1" applyAlignment="1">
      <alignment horizontal="center" vertical="center"/>
    </xf>
    <xf numFmtId="0" fontId="80" fillId="0" borderId="40" xfId="51" applyFont="1" applyBorder="1" applyAlignment="1">
      <alignment horizontal="center" vertical="center"/>
    </xf>
    <xf numFmtId="0" fontId="80" fillId="0" borderId="240" xfId="51" applyFont="1" applyBorder="1" applyAlignment="1">
      <alignment horizontal="center" vertical="center"/>
    </xf>
    <xf numFmtId="0" fontId="80" fillId="0" borderId="251" xfId="51" applyFont="1" applyBorder="1" applyAlignment="1">
      <alignment horizontal="center" vertical="center"/>
    </xf>
    <xf numFmtId="0" fontId="80" fillId="0" borderId="157" xfId="51" applyFont="1" applyBorder="1" applyAlignment="1">
      <alignment horizontal="center" vertical="center"/>
    </xf>
    <xf numFmtId="0" fontId="80" fillId="0" borderId="37" xfId="51" applyFont="1" applyBorder="1" applyAlignment="1">
      <alignment horizontal="center" vertical="center"/>
    </xf>
    <xf numFmtId="0" fontId="80" fillId="0" borderId="28" xfId="51" applyFont="1" applyBorder="1" applyAlignment="1">
      <alignment horizontal="center" vertical="center"/>
    </xf>
    <xf numFmtId="0" fontId="80" fillId="0" borderId="172" xfId="51" applyFont="1" applyBorder="1" applyAlignment="1">
      <alignment horizontal="center" vertical="center"/>
    </xf>
    <xf numFmtId="0" fontId="80" fillId="0" borderId="15" xfId="51" applyFont="1" applyBorder="1" applyAlignment="1">
      <alignment horizontal="center" vertical="center"/>
    </xf>
    <xf numFmtId="0" fontId="80" fillId="0" borderId="17" xfId="51" applyFont="1" applyBorder="1" applyAlignment="1">
      <alignment horizontal="center" vertical="center"/>
    </xf>
    <xf numFmtId="0" fontId="80" fillId="0" borderId="253" xfId="51" applyFont="1" applyBorder="1" applyAlignment="1">
      <alignment horizontal="center" vertical="center"/>
    </xf>
    <xf numFmtId="0" fontId="80" fillId="0" borderId="13" xfId="51" applyFont="1" applyBorder="1" applyAlignment="1">
      <alignment horizontal="center" vertical="center"/>
    </xf>
    <xf numFmtId="0" fontId="87" fillId="0" borderId="115" xfId="51" applyFont="1" applyBorder="1" applyAlignment="1">
      <alignment horizontal="right"/>
    </xf>
    <xf numFmtId="0" fontId="87" fillId="0" borderId="257" xfId="51" applyFont="1" applyBorder="1" applyAlignment="1">
      <alignment horizontal="right"/>
    </xf>
    <xf numFmtId="0" fontId="87" fillId="0" borderId="251" xfId="51" applyFont="1" applyBorder="1" applyAlignment="1">
      <alignment horizontal="right"/>
    </xf>
    <xf numFmtId="0" fontId="87" fillId="0" borderId="123" xfId="51" applyFont="1" applyBorder="1" applyAlignment="1">
      <alignment horizontal="right"/>
    </xf>
    <xf numFmtId="0" fontId="87" fillId="0" borderId="12" xfId="51" applyFont="1" applyBorder="1" applyAlignment="1">
      <alignment horizontal="right"/>
    </xf>
    <xf numFmtId="0" fontId="87" fillId="0" borderId="157" xfId="51" applyFont="1" applyBorder="1" applyAlignment="1">
      <alignment horizontal="right"/>
    </xf>
    <xf numFmtId="0" fontId="113" fillId="0" borderId="0" xfId="51" applyFont="1" applyAlignment="1">
      <alignment horizontal="center" vertical="center"/>
    </xf>
    <xf numFmtId="0" fontId="90" fillId="0" borderId="0" xfId="51" applyFont="1" applyAlignment="1">
      <alignment horizontal="center" vertical="center"/>
    </xf>
    <xf numFmtId="0" fontId="90" fillId="0" borderId="12" xfId="51" applyFont="1" applyBorder="1" applyAlignment="1">
      <alignment horizontal="center" vertical="center"/>
    </xf>
    <xf numFmtId="0" fontId="89" fillId="0" borderId="36" xfId="51" applyFont="1" applyBorder="1" applyAlignment="1">
      <alignment horizontal="right" vertical="center"/>
    </xf>
    <xf numFmtId="0" fontId="89" fillId="0" borderId="0" xfId="51" applyFont="1" applyAlignment="1">
      <alignment horizontal="right" vertical="center"/>
    </xf>
    <xf numFmtId="0" fontId="88" fillId="0" borderId="45" xfId="51" applyFont="1" applyBorder="1" applyAlignment="1">
      <alignment horizontal="center" vertical="center"/>
    </xf>
    <xf numFmtId="0" fontId="88" fillId="0" borderId="206" xfId="51" applyFont="1" applyBorder="1" applyAlignment="1">
      <alignment horizontal="center" vertical="center"/>
    </xf>
    <xf numFmtId="0" fontId="80" fillId="0" borderId="19" xfId="51" applyFont="1" applyBorder="1" applyAlignment="1">
      <alignment horizontal="center" vertical="center"/>
    </xf>
    <xf numFmtId="0" fontId="21" fillId="34" borderId="10" xfId="75" applyFont="1" applyFill="1" applyBorder="1" applyAlignment="1">
      <alignment horizontal="center" vertical="center"/>
    </xf>
    <xf numFmtId="0" fontId="13" fillId="34" borderId="10" xfId="75" applyFont="1" applyFill="1" applyBorder="1" applyAlignment="1">
      <alignment horizontal="center" vertical="center"/>
    </xf>
    <xf numFmtId="0" fontId="117" fillId="0" borderId="12" xfId="75" applyFont="1" applyBorder="1" applyAlignment="1">
      <alignment horizontal="right" vertical="center"/>
    </xf>
    <xf numFmtId="0" fontId="13" fillId="34" borderId="15" xfId="75" applyFont="1" applyFill="1" applyBorder="1" applyAlignment="1">
      <alignment horizontal="center" vertical="center"/>
    </xf>
    <xf numFmtId="0" fontId="13" fillId="34" borderId="16" xfId="75" applyFont="1" applyFill="1" applyBorder="1" applyAlignment="1">
      <alignment horizontal="center" vertical="center"/>
    </xf>
    <xf numFmtId="0" fontId="13" fillId="34" borderId="14" xfId="75" applyFont="1" applyFill="1" applyBorder="1" applyAlignment="1">
      <alignment horizontal="center" vertical="center"/>
    </xf>
    <xf numFmtId="0" fontId="13" fillId="34" borderId="255" xfId="75" applyFont="1" applyFill="1" applyBorder="1" applyAlignment="1">
      <alignment horizontal="center" vertical="center"/>
    </xf>
    <xf numFmtId="0" fontId="13" fillId="34" borderId="51" xfId="75" applyFont="1" applyFill="1" applyBorder="1" applyAlignment="1">
      <alignment horizontal="center" vertical="center"/>
    </xf>
    <xf numFmtId="0" fontId="18" fillId="0" borderId="90" xfId="44" applyFont="1" applyBorder="1" applyAlignment="1" applyProtection="1">
      <alignment horizontal="left" vertical="center" shrinkToFit="1"/>
      <protection locked="0"/>
    </xf>
    <xf numFmtId="0" fontId="18" fillId="0" borderId="91" xfId="44" applyFont="1" applyBorder="1" applyAlignment="1" applyProtection="1">
      <alignment horizontal="left" vertical="center" shrinkToFit="1"/>
      <protection locked="0"/>
    </xf>
    <xf numFmtId="0" fontId="18" fillId="0" borderId="92" xfId="44" applyFont="1" applyBorder="1" applyAlignment="1" applyProtection="1">
      <alignment horizontal="left" vertical="center" shrinkToFit="1"/>
      <protection locked="0"/>
    </xf>
    <xf numFmtId="0" fontId="18" fillId="0" borderId="72" xfId="44" applyFont="1" applyBorder="1" applyAlignment="1" applyProtection="1">
      <alignment horizontal="left" vertical="center" shrinkToFit="1"/>
      <protection locked="0"/>
    </xf>
    <xf numFmtId="0" fontId="18" fillId="0" borderId="70" xfId="44" applyFont="1" applyBorder="1" applyAlignment="1" applyProtection="1">
      <alignment horizontal="left" vertical="center" shrinkToFit="1"/>
      <protection locked="0"/>
    </xf>
    <xf numFmtId="0" fontId="18" fillId="0" borderId="71" xfId="44" applyFont="1" applyBorder="1" applyAlignment="1" applyProtection="1">
      <alignment horizontal="left" vertical="center" shrinkToFit="1"/>
      <protection locked="0"/>
    </xf>
    <xf numFmtId="0" fontId="18" fillId="0" borderId="257" xfId="44" applyFont="1" applyBorder="1" applyAlignment="1">
      <alignment horizontal="center" vertical="center" shrinkToFit="1"/>
    </xf>
    <xf numFmtId="0" fontId="18" fillId="0" borderId="254" xfId="44" applyFont="1" applyBorder="1" applyAlignment="1">
      <alignment horizontal="center" vertical="center" shrinkToFit="1"/>
    </xf>
    <xf numFmtId="0" fontId="18" fillId="0" borderId="0" xfId="44" applyFont="1" applyAlignment="1">
      <alignment horizontal="center" vertical="center" shrinkToFit="1"/>
    </xf>
    <xf numFmtId="0" fontId="18" fillId="0" borderId="24" xfId="44" applyFont="1" applyBorder="1" applyAlignment="1">
      <alignment horizontal="center" vertical="center" shrinkToFit="1"/>
    </xf>
    <xf numFmtId="0" fontId="18" fillId="0" borderId="51" xfId="44" applyFont="1" applyBorder="1" applyAlignment="1">
      <alignment horizontal="center" vertical="center"/>
    </xf>
    <xf numFmtId="0" fontId="18" fillId="0" borderId="10" xfId="44" applyFont="1" applyBorder="1" applyAlignment="1">
      <alignment horizontal="center" vertical="center"/>
    </xf>
    <xf numFmtId="0" fontId="18" fillId="0" borderId="90" xfId="44" applyFont="1" applyBorder="1" applyAlignment="1" applyProtection="1">
      <alignment horizontal="center" vertical="center"/>
      <protection locked="0"/>
    </xf>
    <xf numFmtId="0" fontId="18" fillId="0" borderId="91" xfId="44" applyFont="1" applyBorder="1" applyAlignment="1" applyProtection="1">
      <alignment horizontal="center" vertical="center"/>
      <protection locked="0"/>
    </xf>
    <xf numFmtId="0" fontId="18" fillId="0" borderId="92" xfId="44" applyFont="1" applyBorder="1" applyAlignment="1" applyProtection="1">
      <alignment horizontal="center" vertical="center"/>
      <protection locked="0"/>
    </xf>
    <xf numFmtId="0" fontId="18" fillId="0" borderId="88" xfId="44" applyFont="1" applyBorder="1" applyAlignment="1" applyProtection="1">
      <alignment horizontal="center" vertical="center"/>
      <protection locked="0"/>
    </xf>
    <xf numFmtId="0" fontId="61" fillId="0" borderId="0" xfId="44" applyFont="1" applyAlignment="1">
      <alignment horizontal="distributed" shrinkToFit="1"/>
    </xf>
    <xf numFmtId="0" fontId="18" fillId="0" borderId="184" xfId="44" applyFont="1" applyBorder="1" applyAlignment="1" applyProtection="1">
      <alignment horizontal="center" vertical="center"/>
      <protection locked="0"/>
    </xf>
    <xf numFmtId="0" fontId="18" fillId="0" borderId="185" xfId="44" applyFont="1" applyBorder="1" applyAlignment="1" applyProtection="1">
      <alignment horizontal="center" vertical="center"/>
      <protection locked="0"/>
    </xf>
    <xf numFmtId="0" fontId="18" fillId="0" borderId="186" xfId="44" applyFont="1" applyBorder="1" applyAlignment="1" applyProtection="1">
      <alignment horizontal="center" vertical="center"/>
      <protection locked="0"/>
    </xf>
    <xf numFmtId="0" fontId="18" fillId="0" borderId="187" xfId="44" applyFont="1" applyBorder="1" applyAlignment="1" applyProtection="1">
      <alignment horizontal="center" vertical="center"/>
      <protection locked="0"/>
    </xf>
    <xf numFmtId="0" fontId="18" fillId="0" borderId="76" xfId="44" applyFont="1" applyBorder="1" applyAlignment="1" applyProtection="1">
      <alignment horizontal="center" vertical="center"/>
      <protection locked="0"/>
    </xf>
    <xf numFmtId="0" fontId="18" fillId="0" borderId="77" xfId="44" applyFont="1" applyBorder="1" applyAlignment="1" applyProtection="1">
      <alignment horizontal="center" vertical="center"/>
      <protection locked="0"/>
    </xf>
    <xf numFmtId="0" fontId="18" fillId="35" borderId="10" xfId="44" applyFont="1" applyFill="1" applyBorder="1" applyAlignment="1">
      <alignment horizontal="center" vertical="center"/>
    </xf>
    <xf numFmtId="0" fontId="38" fillId="0" borderId="0" xfId="44" applyFont="1" applyAlignment="1">
      <alignment horizontal="center" shrinkToFit="1"/>
    </xf>
    <xf numFmtId="0" fontId="38" fillId="0" borderId="12" xfId="44" applyFont="1" applyBorder="1" applyAlignment="1">
      <alignment horizontal="center" shrinkToFit="1"/>
    </xf>
    <xf numFmtId="0" fontId="18" fillId="0" borderId="0" xfId="44" applyFont="1" applyAlignment="1">
      <alignment horizontal="center"/>
    </xf>
    <xf numFmtId="0" fontId="18" fillId="0" borderId="12" xfId="44" applyFont="1" applyBorder="1" applyAlignment="1">
      <alignment horizontal="center"/>
    </xf>
    <xf numFmtId="0" fontId="18" fillId="0" borderId="87" xfId="44" applyFont="1" applyBorder="1" applyAlignment="1">
      <alignment horizontal="center" vertical="center"/>
    </xf>
    <xf numFmtId="0" fontId="18" fillId="0" borderId="88" xfId="44" applyFont="1" applyBorder="1" applyAlignment="1">
      <alignment horizontal="center" vertical="center"/>
    </xf>
    <xf numFmtId="0" fontId="18" fillId="0" borderId="10" xfId="44" applyFont="1" applyBorder="1" applyAlignment="1">
      <alignment horizontal="center" vertical="center" wrapText="1"/>
    </xf>
    <xf numFmtId="0" fontId="18" fillId="0" borderId="10" xfId="44" applyFont="1" applyBorder="1" applyAlignment="1" applyProtection="1">
      <alignment horizontal="center" vertical="center"/>
      <protection locked="0"/>
    </xf>
    <xf numFmtId="0" fontId="18" fillId="35" borderId="181" xfId="44" applyFont="1" applyFill="1" applyBorder="1" applyAlignment="1">
      <alignment horizontal="center" vertical="center" textRotation="255" wrapText="1"/>
    </xf>
    <xf numFmtId="0" fontId="18" fillId="35" borderId="182" xfId="44" applyFont="1" applyFill="1" applyBorder="1" applyAlignment="1">
      <alignment horizontal="center" vertical="center" textRotation="255" wrapText="1"/>
    </xf>
    <xf numFmtId="0" fontId="18" fillId="35" borderId="183" xfId="44" applyFont="1" applyFill="1" applyBorder="1" applyAlignment="1">
      <alignment horizontal="center" vertical="center" textRotation="255" wrapText="1"/>
    </xf>
    <xf numFmtId="0" fontId="18" fillId="0" borderId="39" xfId="44" applyFont="1" applyBorder="1" applyAlignment="1">
      <alignment horizontal="center" vertical="center"/>
    </xf>
    <xf numFmtId="0" fontId="18" fillId="0" borderId="40" xfId="44" applyFont="1" applyBorder="1" applyAlignment="1">
      <alignment horizontal="center" vertical="center"/>
    </xf>
    <xf numFmtId="185" fontId="60" fillId="0" borderId="0" xfId="44" applyNumberFormat="1" applyFont="1" applyAlignment="1">
      <alignment horizontal="right" shrinkToFit="1"/>
    </xf>
    <xf numFmtId="185" fontId="60" fillId="0" borderId="12" xfId="44" applyNumberFormat="1" applyFont="1" applyBorder="1" applyAlignment="1">
      <alignment horizontal="right" shrinkToFit="1"/>
    </xf>
    <xf numFmtId="189" fontId="60" fillId="0" borderId="0" xfId="44" applyNumberFormat="1" applyFont="1" applyAlignment="1">
      <alignment horizontal="center" shrinkToFit="1"/>
    </xf>
    <xf numFmtId="189" fontId="60" fillId="0" borderId="12" xfId="44" applyNumberFormat="1" applyFont="1" applyBorder="1" applyAlignment="1">
      <alignment horizontal="center" shrinkToFit="1"/>
    </xf>
    <xf numFmtId="0" fontId="18" fillId="35" borderId="14" xfId="44" applyFont="1" applyFill="1" applyBorder="1" applyAlignment="1">
      <alignment horizontal="center" vertical="center"/>
    </xf>
    <xf numFmtId="0" fontId="18" fillId="35" borderId="15" xfId="44" applyFont="1" applyFill="1" applyBorder="1" applyAlignment="1">
      <alignment horizontal="center" vertical="center"/>
    </xf>
    <xf numFmtId="0" fontId="18" fillId="35" borderId="16" xfId="44" applyFont="1" applyFill="1" applyBorder="1" applyAlignment="1">
      <alignment horizontal="center" vertical="center"/>
    </xf>
    <xf numFmtId="20" fontId="18" fillId="0" borderId="87" xfId="44" applyNumberFormat="1" applyFont="1" applyBorder="1" applyAlignment="1" applyProtection="1">
      <alignment horizontal="center" vertical="center"/>
      <protection locked="0"/>
    </xf>
    <xf numFmtId="0" fontId="18" fillId="0" borderId="87" xfId="44" applyFont="1" applyBorder="1" applyAlignment="1" applyProtection="1">
      <alignment horizontal="center" vertical="center"/>
      <protection locked="0"/>
    </xf>
    <xf numFmtId="0" fontId="18" fillId="0" borderId="87" xfId="44" applyFont="1" applyBorder="1" applyAlignment="1" applyProtection="1">
      <alignment horizontal="center" vertical="center" shrinkToFit="1"/>
      <protection locked="0"/>
    </xf>
    <xf numFmtId="0" fontId="18" fillId="0" borderId="53" xfId="44" applyFont="1" applyBorder="1" applyAlignment="1" applyProtection="1">
      <alignment horizontal="left" vertical="center" shrinkToFit="1"/>
      <protection locked="0"/>
    </xf>
    <xf numFmtId="0" fontId="18" fillId="0" borderId="59" xfId="44" applyFont="1" applyBorder="1" applyAlignment="1" applyProtection="1">
      <alignment horizontal="left" vertical="center" shrinkToFit="1"/>
      <protection locked="0"/>
    </xf>
    <xf numFmtId="0" fontId="18" fillId="0" borderId="60" xfId="44" applyFont="1" applyBorder="1" applyAlignment="1" applyProtection="1">
      <alignment horizontal="left" vertical="center" shrinkToFit="1"/>
      <protection locked="0"/>
    </xf>
    <xf numFmtId="0" fontId="18" fillId="35" borderId="255" xfId="44" applyFont="1" applyFill="1" applyBorder="1" applyAlignment="1">
      <alignment horizontal="center" vertical="center" wrapText="1"/>
    </xf>
    <xf numFmtId="0" fontId="18" fillId="35" borderId="54" xfId="44" applyFont="1" applyFill="1" applyBorder="1" applyAlignment="1">
      <alignment horizontal="center" vertical="center" wrapText="1"/>
    </xf>
    <xf numFmtId="0" fontId="18" fillId="35" borderId="51" xfId="44" applyFont="1" applyFill="1" applyBorder="1" applyAlignment="1">
      <alignment horizontal="center" vertical="center" wrapText="1"/>
    </xf>
    <xf numFmtId="0" fontId="18" fillId="0" borderId="178" xfId="44" applyFont="1" applyBorder="1" applyAlignment="1" applyProtection="1">
      <alignment horizontal="center" vertical="center"/>
      <protection locked="0"/>
    </xf>
    <xf numFmtId="0" fontId="18" fillId="0" borderId="177" xfId="44" applyFont="1" applyBorder="1" applyAlignment="1" applyProtection="1">
      <alignment horizontal="center" vertical="center"/>
      <protection locked="0"/>
    </xf>
    <xf numFmtId="0" fontId="18" fillId="0" borderId="75" xfId="44" applyFont="1" applyBorder="1" applyAlignment="1" applyProtection="1">
      <alignment horizontal="center" vertical="center"/>
      <protection locked="0"/>
    </xf>
    <xf numFmtId="0" fontId="18" fillId="0" borderId="74" xfId="44" applyFont="1" applyBorder="1" applyAlignment="1">
      <alignment horizontal="center" vertical="center"/>
    </xf>
    <xf numFmtId="0" fontId="18" fillId="0" borderId="89" xfId="44" applyFont="1" applyBorder="1" applyAlignment="1">
      <alignment horizontal="center" vertical="center"/>
    </xf>
    <xf numFmtId="0" fontId="18" fillId="0" borderId="158" xfId="44" applyFont="1" applyBorder="1" applyAlignment="1">
      <alignment horizontal="center" vertical="center"/>
    </xf>
    <xf numFmtId="0" fontId="18" fillId="0" borderId="159" xfId="44" applyFont="1" applyBorder="1" applyAlignment="1">
      <alignment horizontal="center" vertical="center"/>
    </xf>
    <xf numFmtId="0" fontId="18" fillId="0" borderId="23" xfId="44" applyFont="1" applyBorder="1" applyAlignment="1">
      <alignment horizontal="center" vertical="center" textRotation="255"/>
    </xf>
    <xf numFmtId="0" fontId="18" fillId="0" borderId="0" xfId="44" applyFont="1" applyAlignment="1">
      <alignment horizontal="center" vertical="center" textRotation="255"/>
    </xf>
    <xf numFmtId="0" fontId="18" fillId="0" borderId="122" xfId="44" applyFont="1" applyBorder="1" applyAlignment="1">
      <alignment horizontal="center" vertical="center" textRotation="255"/>
    </xf>
    <xf numFmtId="0" fontId="18" fillId="0" borderId="24" xfId="44" applyFont="1" applyBorder="1" applyAlignment="1">
      <alignment horizontal="center" vertical="center" textRotation="255"/>
    </xf>
    <xf numFmtId="20" fontId="18" fillId="0" borderId="88" xfId="44" applyNumberFormat="1" applyFont="1" applyBorder="1" applyAlignment="1" applyProtection="1">
      <alignment horizontal="center" vertical="center"/>
      <protection locked="0"/>
    </xf>
    <xf numFmtId="0" fontId="18" fillId="0" borderId="88" xfId="44" applyFont="1" applyBorder="1" applyAlignment="1" applyProtection="1">
      <alignment horizontal="center" vertical="center" shrinkToFit="1"/>
      <protection locked="0"/>
    </xf>
    <xf numFmtId="20" fontId="18" fillId="0" borderId="90" xfId="44" applyNumberFormat="1" applyFont="1" applyBorder="1" applyAlignment="1" applyProtection="1">
      <alignment horizontal="center" vertical="center"/>
      <protection locked="0"/>
    </xf>
    <xf numFmtId="0" fontId="18" fillId="0" borderId="90" xfId="44" applyFont="1" applyBorder="1" applyAlignment="1" applyProtection="1">
      <alignment horizontal="center" vertical="center" shrinkToFit="1"/>
      <protection locked="0"/>
    </xf>
    <xf numFmtId="0" fontId="18" fillId="0" borderId="91" xfId="44" applyFont="1" applyBorder="1" applyAlignment="1" applyProtection="1">
      <alignment horizontal="center" vertical="center" shrinkToFit="1"/>
      <protection locked="0"/>
    </xf>
    <xf numFmtId="0" fontId="18" fillId="0" borderId="92" xfId="44" applyFont="1" applyBorder="1" applyAlignment="1" applyProtection="1">
      <alignment horizontal="center" vertical="center" shrinkToFit="1"/>
      <protection locked="0"/>
    </xf>
    <xf numFmtId="0" fontId="18" fillId="0" borderId="14" xfId="44" applyFont="1" applyBorder="1" applyAlignment="1">
      <alignment horizontal="center" vertical="center"/>
    </xf>
    <xf numFmtId="0" fontId="18" fillId="0" borderId="15" xfId="44" applyFont="1" applyBorder="1" applyAlignment="1" applyProtection="1">
      <alignment horizontal="center" vertical="center"/>
      <protection locked="0"/>
    </xf>
    <xf numFmtId="0" fontId="18" fillId="0" borderId="11" xfId="44" applyFont="1" applyBorder="1" applyAlignment="1" applyProtection="1">
      <alignment horizontal="center" vertical="top"/>
      <protection locked="0"/>
    </xf>
    <xf numFmtId="0" fontId="18" fillId="0" borderId="12" xfId="44" applyFont="1" applyBorder="1" applyAlignment="1" applyProtection="1">
      <alignment horizontal="center" vertical="top"/>
      <protection locked="0"/>
    </xf>
    <xf numFmtId="0" fontId="18" fillId="0" borderId="18" xfId="44" applyFont="1" applyBorder="1" applyAlignment="1" applyProtection="1">
      <alignment horizontal="center" vertical="top"/>
      <protection locked="0"/>
    </xf>
    <xf numFmtId="0" fontId="18" fillId="0" borderId="15" xfId="44" applyFont="1" applyBorder="1" applyAlignment="1">
      <alignment horizontal="center" vertical="center"/>
    </xf>
    <xf numFmtId="0" fontId="18" fillId="0" borderId="44" xfId="44" applyFont="1" applyBorder="1" applyAlignment="1">
      <alignment horizontal="center" vertical="center" shrinkToFit="1"/>
    </xf>
    <xf numFmtId="0" fontId="18" fillId="0" borderId="78" xfId="44" applyFont="1" applyBorder="1" applyAlignment="1">
      <alignment horizontal="center" vertical="center" shrinkToFit="1"/>
    </xf>
    <xf numFmtId="0" fontId="18" fillId="0" borderId="35" xfId="44" applyFont="1" applyBorder="1" applyAlignment="1">
      <alignment horizontal="center" vertical="center"/>
    </xf>
    <xf numFmtId="0" fontId="18" fillId="0" borderId="29" xfId="44" applyFont="1" applyBorder="1" applyAlignment="1">
      <alignment horizontal="center" vertical="center"/>
    </xf>
    <xf numFmtId="0" fontId="18" fillId="0" borderId="89" xfId="44" applyFont="1" applyBorder="1" applyAlignment="1" applyProtection="1">
      <alignment horizontal="center" vertical="center"/>
      <protection locked="0"/>
    </xf>
    <xf numFmtId="0" fontId="18" fillId="0" borderId="11" xfId="44" applyFont="1" applyBorder="1" applyAlignment="1" applyProtection="1">
      <alignment horizontal="center" vertical="center"/>
      <protection locked="0"/>
    </xf>
    <xf numFmtId="0" fontId="18" fillId="0" borderId="12" xfId="44" applyFont="1" applyBorder="1" applyAlignment="1" applyProtection="1">
      <alignment horizontal="center" vertical="center"/>
      <protection locked="0"/>
    </xf>
    <xf numFmtId="0" fontId="18" fillId="0" borderId="123" xfId="44" applyFont="1" applyBorder="1" applyAlignment="1" applyProtection="1">
      <alignment horizontal="center" vertical="center"/>
      <protection locked="0"/>
    </xf>
    <xf numFmtId="0" fontId="18" fillId="0" borderId="18" xfId="44" applyFont="1" applyBorder="1" applyAlignment="1" applyProtection="1">
      <alignment horizontal="center" vertical="center"/>
      <protection locked="0"/>
    </xf>
    <xf numFmtId="0" fontId="18" fillId="0" borderId="117" xfId="44" applyFont="1" applyBorder="1" applyAlignment="1" applyProtection="1">
      <alignment horizontal="center" vertical="center"/>
      <protection locked="0"/>
    </xf>
    <xf numFmtId="0" fontId="18" fillId="0" borderId="110" xfId="44" applyFont="1" applyBorder="1" applyAlignment="1" applyProtection="1">
      <alignment horizontal="center" vertical="center"/>
      <protection locked="0"/>
    </xf>
    <xf numFmtId="0" fontId="18" fillId="0" borderId="136" xfId="44" applyFont="1" applyBorder="1" applyAlignment="1" applyProtection="1">
      <alignment horizontal="center" vertical="center"/>
      <protection locked="0"/>
    </xf>
    <xf numFmtId="0" fontId="18" fillId="0" borderId="23" xfId="44" applyFont="1" applyBorder="1" applyAlignment="1" applyProtection="1">
      <alignment horizontal="center" vertical="center"/>
      <protection locked="0"/>
    </xf>
    <xf numFmtId="0" fontId="18" fillId="0" borderId="0" xfId="44" applyFont="1" applyAlignment="1" applyProtection="1">
      <alignment horizontal="center" vertical="center"/>
      <protection locked="0"/>
    </xf>
    <xf numFmtId="0" fontId="18" fillId="0" borderId="160" xfId="44" applyFont="1" applyBorder="1" applyAlignment="1">
      <alignment horizontal="center" vertical="center"/>
    </xf>
    <xf numFmtId="0" fontId="18" fillId="0" borderId="14" xfId="44" applyFont="1" applyBorder="1" applyAlignment="1" applyProtection="1">
      <alignment horizontal="center" vertical="center"/>
      <protection locked="0"/>
    </xf>
    <xf numFmtId="0" fontId="18" fillId="35" borderId="10" xfId="44" applyFont="1" applyFill="1" applyBorder="1" applyAlignment="1">
      <alignment horizontal="center" vertical="center" shrinkToFit="1"/>
    </xf>
    <xf numFmtId="0" fontId="18" fillId="35" borderId="255" xfId="44" applyFont="1" applyFill="1" applyBorder="1" applyAlignment="1">
      <alignment horizontal="center" vertical="center"/>
    </xf>
    <xf numFmtId="0" fontId="18" fillId="0" borderId="16" xfId="44" applyFont="1" applyBorder="1" applyAlignment="1" applyProtection="1">
      <alignment horizontal="center" vertical="center"/>
      <protection locked="0"/>
    </xf>
    <xf numFmtId="0" fontId="18" fillId="35" borderId="10" xfId="44" applyFont="1" applyFill="1" applyBorder="1" applyAlignment="1">
      <alignment horizontal="center" vertical="center" wrapText="1"/>
    </xf>
    <xf numFmtId="0" fontId="18" fillId="39" borderId="14" xfId="44" applyFont="1" applyFill="1" applyBorder="1" applyAlignment="1">
      <alignment horizontal="center" vertical="center"/>
    </xf>
    <xf numFmtId="0" fontId="18" fillId="39" borderId="203" xfId="44" applyFont="1" applyFill="1" applyBorder="1" applyAlignment="1">
      <alignment horizontal="center" vertical="center"/>
    </xf>
    <xf numFmtId="0" fontId="18" fillId="0" borderId="172" xfId="44" applyFont="1" applyBorder="1" applyAlignment="1" applyProtection="1">
      <alignment horizontal="distributed" vertical="center" shrinkToFit="1"/>
      <protection locked="0"/>
    </xf>
    <xf numFmtId="0" fontId="18" fillId="0" borderId="15" xfId="44" applyFont="1" applyBorder="1" applyAlignment="1" applyProtection="1">
      <alignment horizontal="distributed" vertical="center" shrinkToFit="1"/>
      <protection locked="0"/>
    </xf>
    <xf numFmtId="0" fontId="18" fillId="39" borderId="172" xfId="44" applyFont="1" applyFill="1" applyBorder="1" applyAlignment="1" applyProtection="1">
      <alignment horizontal="center" vertical="center" shrinkToFit="1"/>
      <protection locked="0"/>
    </xf>
    <xf numFmtId="0" fontId="18" fillId="39" borderId="203" xfId="44" applyFont="1" applyFill="1" applyBorder="1" applyAlignment="1" applyProtection="1">
      <alignment horizontal="center" vertical="center" shrinkToFit="1"/>
      <protection locked="0"/>
    </xf>
    <xf numFmtId="0" fontId="18" fillId="0" borderId="16" xfId="44" applyFont="1" applyBorder="1" applyAlignment="1" applyProtection="1">
      <alignment horizontal="distributed" vertical="center" shrinkToFit="1"/>
      <protection locked="0"/>
    </xf>
    <xf numFmtId="0" fontId="18" fillId="0" borderId="53" xfId="44" applyFont="1" applyBorder="1" applyAlignment="1" applyProtection="1">
      <alignment horizontal="center" vertical="center"/>
      <protection locked="0"/>
    </xf>
    <xf numFmtId="0" fontId="18" fillId="0" borderId="59" xfId="44" applyFont="1" applyBorder="1" applyAlignment="1" applyProtection="1">
      <alignment horizontal="center" vertical="center"/>
      <protection locked="0"/>
    </xf>
    <xf numFmtId="0" fontId="18" fillId="0" borderId="60" xfId="44" applyFont="1" applyBorder="1" applyAlignment="1" applyProtection="1">
      <alignment horizontal="center" vertical="center"/>
      <protection locked="0"/>
    </xf>
    <xf numFmtId="0" fontId="18" fillId="0" borderId="257" xfId="44" applyFont="1" applyBorder="1" applyAlignment="1">
      <alignment horizontal="right" vertical="center" shrinkToFit="1"/>
    </xf>
    <xf numFmtId="0" fontId="18" fillId="0" borderId="0" xfId="44" applyFont="1" applyAlignment="1">
      <alignment horizontal="right" vertical="center" shrinkToFit="1"/>
    </xf>
    <xf numFmtId="0" fontId="18" fillId="0" borderId="15" xfId="44" applyFont="1" applyBorder="1" applyAlignment="1" applyProtection="1">
      <alignment horizontal="center" vertical="center" shrinkToFit="1"/>
      <protection locked="0"/>
    </xf>
    <xf numFmtId="0" fontId="18" fillId="0" borderId="16" xfId="44" applyFont="1" applyBorder="1" applyAlignment="1" applyProtection="1">
      <alignment horizontal="center" vertical="center" shrinkToFit="1"/>
      <protection locked="0"/>
    </xf>
    <xf numFmtId="0" fontId="18" fillId="0" borderId="172" xfId="44" applyFont="1" applyBorder="1" applyAlignment="1">
      <alignment horizontal="center" vertical="center"/>
    </xf>
    <xf numFmtId="0" fontId="18" fillId="0" borderId="138" xfId="44" applyFont="1" applyBorder="1" applyAlignment="1">
      <alignment horizontal="center" vertical="center"/>
    </xf>
    <xf numFmtId="0" fontId="18" fillId="0" borderId="140" xfId="44" applyFont="1" applyBorder="1" applyAlignment="1">
      <alignment horizontal="center" vertical="center"/>
    </xf>
    <xf numFmtId="0" fontId="18" fillId="0" borderId="170" xfId="44" applyFont="1" applyBorder="1" applyAlignment="1">
      <alignment horizontal="center" vertical="center"/>
    </xf>
    <xf numFmtId="0" fontId="18" fillId="0" borderId="139" xfId="44" applyFont="1" applyBorder="1" applyAlignment="1">
      <alignment horizontal="center" vertical="center"/>
    </xf>
    <xf numFmtId="0" fontId="18" fillId="0" borderId="171" xfId="44" applyFont="1" applyBorder="1" applyAlignment="1">
      <alignment horizontal="center" vertical="center"/>
    </xf>
    <xf numFmtId="0" fontId="18" fillId="0" borderId="144" xfId="44" applyFont="1" applyBorder="1" applyAlignment="1" applyProtection="1">
      <alignment horizontal="center" vertical="center"/>
      <protection locked="0"/>
    </xf>
    <xf numFmtId="0" fontId="18" fillId="0" borderId="141" xfId="44" applyFont="1" applyBorder="1" applyAlignment="1" applyProtection="1">
      <alignment horizontal="center" vertical="center"/>
      <protection locked="0"/>
    </xf>
    <xf numFmtId="0" fontId="18" fillId="0" borderId="145" xfId="44" applyFont="1" applyBorder="1" applyAlignment="1" applyProtection="1">
      <alignment horizontal="center" vertical="center"/>
      <protection locked="0"/>
    </xf>
    <xf numFmtId="0" fontId="18" fillId="35" borderId="137" xfId="44" applyFont="1" applyFill="1" applyBorder="1" applyAlignment="1">
      <alignment horizontal="center" vertical="center"/>
    </xf>
    <xf numFmtId="0" fontId="18" fillId="35" borderId="138" xfId="44" applyFont="1" applyFill="1" applyBorder="1" applyAlignment="1">
      <alignment horizontal="center" vertical="center"/>
    </xf>
    <xf numFmtId="0" fontId="18" fillId="35" borderId="142" xfId="44" applyFont="1" applyFill="1" applyBorder="1" applyAlignment="1">
      <alignment horizontal="center" vertical="center"/>
    </xf>
    <xf numFmtId="0" fontId="18" fillId="35" borderId="143" xfId="44" applyFont="1" applyFill="1" applyBorder="1" applyAlignment="1">
      <alignment horizontal="center" vertical="center"/>
    </xf>
    <xf numFmtId="0" fontId="18" fillId="35" borderId="144" xfId="44" applyFont="1" applyFill="1" applyBorder="1" applyAlignment="1">
      <alignment horizontal="center" vertical="center"/>
    </xf>
    <xf numFmtId="0" fontId="18" fillId="0" borderId="256" xfId="44" applyFont="1" applyBorder="1" applyAlignment="1" applyProtection="1">
      <alignment horizontal="center" vertical="center"/>
      <protection locked="0"/>
    </xf>
    <xf numFmtId="0" fontId="18" fillId="0" borderId="254" xfId="44" applyFont="1" applyBorder="1" applyAlignment="1" applyProtection="1">
      <alignment horizontal="center" vertical="center"/>
      <protection locked="0"/>
    </xf>
    <xf numFmtId="0" fontId="18" fillId="0" borderId="24" xfId="44" applyFont="1" applyBorder="1" applyAlignment="1" applyProtection="1">
      <alignment horizontal="center" vertical="center"/>
      <protection locked="0"/>
    </xf>
    <xf numFmtId="0" fontId="18" fillId="0" borderId="99" xfId="44" applyFont="1" applyBorder="1" applyAlignment="1" applyProtection="1">
      <alignment horizontal="center" vertical="center"/>
      <protection locked="0"/>
    </xf>
    <xf numFmtId="0" fontId="18" fillId="0" borderId="100" xfId="44" applyFont="1" applyBorder="1" applyAlignment="1" applyProtection="1">
      <alignment horizontal="center" vertical="center"/>
      <protection locked="0"/>
    </xf>
    <xf numFmtId="0" fontId="18" fillId="0" borderId="15" xfId="44" applyFont="1" applyBorder="1" applyAlignment="1" applyProtection="1">
      <alignment vertical="center" shrinkToFit="1"/>
      <protection locked="0"/>
    </xf>
    <xf numFmtId="0" fontId="18" fillId="0" borderId="16" xfId="44" applyFont="1" applyBorder="1" applyAlignment="1" applyProtection="1">
      <alignment vertical="center" shrinkToFit="1"/>
      <protection locked="0"/>
    </xf>
    <xf numFmtId="189" fontId="60" fillId="0" borderId="0" xfId="44" applyNumberFormat="1" applyFont="1" applyAlignment="1">
      <alignment horizontal="center"/>
    </xf>
    <xf numFmtId="189" fontId="60" fillId="0" borderId="12" xfId="44" applyNumberFormat="1" applyFont="1" applyBorder="1" applyAlignment="1">
      <alignment horizontal="center"/>
    </xf>
  </cellXfs>
  <cellStyles count="11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61" xr:uid="{00000000-0005-0000-0000-00001C000000}"/>
    <cellStyle name="メモ 3" xfId="83" xr:uid="{00000000-0005-0000-0000-00001D000000}"/>
    <cellStyle name="リンク セル" xfId="29" builtinId="24" customBuiltin="1"/>
    <cellStyle name="悪い" xfId="30" builtinId="27" customBuiltin="1"/>
    <cellStyle name="計算" xfId="31" builtinId="22" customBuiltin="1"/>
    <cellStyle name="計算 2" xfId="62" xr:uid="{00000000-0005-0000-0000-000021000000}"/>
    <cellStyle name="計算 3" xfId="84" xr:uid="{00000000-0005-0000-0000-000022000000}"/>
    <cellStyle name="警告文" xfId="32" builtinId="11" customBuiltin="1"/>
    <cellStyle name="桁区切り" xfId="46" builtinId="6"/>
    <cellStyle name="桁区切り 2" xfId="45" xr:uid="{00000000-0005-0000-0000-000025000000}"/>
    <cellStyle name="桁区切り 3" xfId="81" xr:uid="{00000000-0005-0000-0000-000026000000}"/>
    <cellStyle name="桁区切り 3 2" xfId="112" xr:uid="{00000000-0005-0000-0000-000027000000}"/>
    <cellStyle name="桁区切り 3 3" xfId="107" xr:uid="{00000000-0005-0000-0000-000028000000}"/>
    <cellStyle name="桁区切り 4" xfId="78" xr:uid="{00000000-0005-0000-0000-000029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63" xr:uid="{00000000-0005-0000-0000-00002F000000}"/>
    <cellStyle name="集計 2 2" xfId="96" xr:uid="{00000000-0005-0000-0000-000030000000}"/>
    <cellStyle name="集計 3" xfId="85" xr:uid="{00000000-0005-0000-0000-000031000000}"/>
    <cellStyle name="出力" xfId="38" builtinId="21" customBuiltin="1"/>
    <cellStyle name="出力 2" xfId="64" xr:uid="{00000000-0005-0000-0000-000033000000}"/>
    <cellStyle name="出力 2 2" xfId="97" xr:uid="{00000000-0005-0000-0000-000034000000}"/>
    <cellStyle name="出力 3" xfId="86" xr:uid="{00000000-0005-0000-0000-000035000000}"/>
    <cellStyle name="説明文" xfId="39" builtinId="53" customBuiltin="1"/>
    <cellStyle name="通貨" xfId="54" builtinId="7"/>
    <cellStyle name="通貨 2" xfId="60" xr:uid="{00000000-0005-0000-0000-000038000000}"/>
    <cellStyle name="通貨 2 2" xfId="73" xr:uid="{00000000-0005-0000-0000-000039000000}"/>
    <cellStyle name="通貨 2 2 2" xfId="105" xr:uid="{00000000-0005-0000-0000-00003A000000}"/>
    <cellStyle name="通貨 2 3" xfId="95" xr:uid="{00000000-0005-0000-0000-00003B000000}"/>
    <cellStyle name="通貨 3" xfId="68" xr:uid="{00000000-0005-0000-0000-00003C000000}"/>
    <cellStyle name="通貨 3 2" xfId="100" xr:uid="{00000000-0005-0000-0000-00003D000000}"/>
    <cellStyle name="通貨 4" xfId="77" xr:uid="{00000000-0005-0000-0000-00003E000000}"/>
    <cellStyle name="通貨 4 2" xfId="108" xr:uid="{00000000-0005-0000-0000-00003F000000}"/>
    <cellStyle name="通貨 5" xfId="82" xr:uid="{00000000-0005-0000-0000-000040000000}"/>
    <cellStyle name="通貨 5 2" xfId="109" xr:uid="{00000000-0005-0000-0000-000041000000}"/>
    <cellStyle name="通貨 6" xfId="90" xr:uid="{00000000-0005-0000-0000-000042000000}"/>
    <cellStyle name="入力" xfId="40" builtinId="20" customBuiltin="1"/>
    <cellStyle name="入力 2" xfId="65" xr:uid="{00000000-0005-0000-0000-000044000000}"/>
    <cellStyle name="入力 3" xfId="87" xr:uid="{00000000-0005-0000-0000-000045000000}"/>
    <cellStyle name="標準" xfId="0" builtinId="0"/>
    <cellStyle name="標準 10" xfId="75" xr:uid="{00000000-0005-0000-0000-000047000000}"/>
    <cellStyle name="標準 10 2" xfId="80" xr:uid="{00000000-0005-0000-0000-000048000000}"/>
    <cellStyle name="標準 10 2 2" xfId="111" xr:uid="{00000000-0005-0000-0000-000049000000}"/>
    <cellStyle name="標準 10 3" xfId="106" xr:uid="{00000000-0005-0000-0000-00004A000000}"/>
    <cellStyle name="標準 11" xfId="76" xr:uid="{00000000-0005-0000-0000-00004B000000}"/>
    <cellStyle name="標準 18" xfId="51" xr:uid="{00000000-0005-0000-0000-00004C000000}"/>
    <cellStyle name="標準 2" xfId="42" xr:uid="{00000000-0005-0000-0000-00004D000000}"/>
    <cellStyle name="標準 2 2" xfId="52" xr:uid="{00000000-0005-0000-0000-00004E000000}"/>
    <cellStyle name="標準 2 3" xfId="56" xr:uid="{00000000-0005-0000-0000-00004F000000}"/>
    <cellStyle name="標準 2 4" xfId="74" xr:uid="{00000000-0005-0000-0000-000050000000}"/>
    <cellStyle name="標準 3" xfId="43" xr:uid="{00000000-0005-0000-0000-000051000000}"/>
    <cellStyle name="標準 4" xfId="44" xr:uid="{00000000-0005-0000-0000-000052000000}"/>
    <cellStyle name="標準 5" xfId="47" xr:uid="{00000000-0005-0000-0000-000053000000}"/>
    <cellStyle name="標準 6" xfId="48" xr:uid="{00000000-0005-0000-0000-000054000000}"/>
    <cellStyle name="標準 6 2" xfId="53" xr:uid="{00000000-0005-0000-0000-000055000000}"/>
    <cellStyle name="標準 6 2 2" xfId="67" xr:uid="{00000000-0005-0000-0000-000056000000}"/>
    <cellStyle name="標準 6 2 2 2" xfId="99" xr:uid="{00000000-0005-0000-0000-000057000000}"/>
    <cellStyle name="標準 6 2 3" xfId="89" xr:uid="{00000000-0005-0000-0000-000058000000}"/>
    <cellStyle name="標準 6 3" xfId="55" xr:uid="{00000000-0005-0000-0000-000059000000}"/>
    <cellStyle name="標準 6 3 2" xfId="69" xr:uid="{00000000-0005-0000-0000-00005A000000}"/>
    <cellStyle name="標準 6 3 2 2" xfId="101" xr:uid="{00000000-0005-0000-0000-00005B000000}"/>
    <cellStyle name="標準 6 3 3" xfId="91" xr:uid="{00000000-0005-0000-0000-00005C000000}"/>
    <cellStyle name="標準 6 4" xfId="58" xr:uid="{00000000-0005-0000-0000-00005D000000}"/>
    <cellStyle name="標準 6 4 2" xfId="71" xr:uid="{00000000-0005-0000-0000-00005E000000}"/>
    <cellStyle name="標準 6 4 2 2" xfId="103" xr:uid="{00000000-0005-0000-0000-00005F000000}"/>
    <cellStyle name="標準 6 4 3" xfId="79" xr:uid="{00000000-0005-0000-0000-000060000000}"/>
    <cellStyle name="標準 6 4 3 2" xfId="110" xr:uid="{00000000-0005-0000-0000-000061000000}"/>
    <cellStyle name="標準 6 4 4" xfId="93" xr:uid="{00000000-0005-0000-0000-000062000000}"/>
    <cellStyle name="標準 6 5" xfId="59" xr:uid="{00000000-0005-0000-0000-000063000000}"/>
    <cellStyle name="標準 6 5 2" xfId="72" xr:uid="{00000000-0005-0000-0000-000064000000}"/>
    <cellStyle name="標準 6 5 2 2" xfId="104" xr:uid="{00000000-0005-0000-0000-000065000000}"/>
    <cellStyle name="標準 6 5 3" xfId="94" xr:uid="{00000000-0005-0000-0000-000066000000}"/>
    <cellStyle name="標準 6 6" xfId="66" xr:uid="{00000000-0005-0000-0000-000067000000}"/>
    <cellStyle name="標準 6 6 2" xfId="98" xr:uid="{00000000-0005-0000-0000-000068000000}"/>
    <cellStyle name="標準 6 7" xfId="88" xr:uid="{00000000-0005-0000-0000-000069000000}"/>
    <cellStyle name="標準 7" xfId="49" xr:uid="{00000000-0005-0000-0000-00006A000000}"/>
    <cellStyle name="標準 8" xfId="50" xr:uid="{00000000-0005-0000-0000-00006B000000}"/>
    <cellStyle name="標準 9" xfId="57" xr:uid="{00000000-0005-0000-0000-00006C000000}"/>
    <cellStyle name="標準 9 2" xfId="70" xr:uid="{00000000-0005-0000-0000-00006D000000}"/>
    <cellStyle name="標準 9 2 2" xfId="102" xr:uid="{00000000-0005-0000-0000-00006E000000}"/>
    <cellStyle name="標準 9 3" xfId="92" xr:uid="{00000000-0005-0000-0000-00006F000000}"/>
    <cellStyle name="良い" xfId="41" builtinId="26" customBuiltin="1"/>
  </cellStyles>
  <dxfs count="7">
    <dxf>
      <font>
        <b/>
        <i val="0"/>
        <color rgb="FFFF0000"/>
      </font>
    </dxf>
    <dxf>
      <font>
        <color theme="0"/>
      </font>
      <fill>
        <patternFill>
          <bgColor theme="0"/>
        </patternFill>
      </fill>
    </dxf>
    <dxf>
      <font>
        <color theme="0"/>
      </font>
    </dxf>
    <dxf>
      <font>
        <color theme="0"/>
      </font>
      <fill>
        <patternFill>
          <bgColor theme="0"/>
        </patternFill>
      </fill>
    </dxf>
    <dxf>
      <font>
        <color theme="0"/>
      </font>
    </dxf>
    <dxf>
      <fill>
        <patternFill>
          <bgColor rgb="FFFF0000"/>
        </patternFill>
      </fill>
    </dxf>
    <dxf>
      <font>
        <b/>
        <i val="0"/>
        <color rgb="FFFF0000"/>
      </font>
    </dxf>
  </dxfs>
  <tableStyles count="0" defaultTableStyle="TableStyleMedium2" defaultPivotStyle="PivotStyleLight16"/>
  <colors>
    <mruColors>
      <color rgb="FFFDD0C7"/>
      <color rgb="FFF2DCDB"/>
      <color rgb="FFFF9900"/>
      <color rgb="FFF4F2F8"/>
      <color rgb="FFFEF6F0"/>
      <color rgb="FFFFEA6D"/>
      <color rgb="FF66FFFF"/>
      <color rgb="FFCCFFFF"/>
      <color rgb="FFFFF19B"/>
      <color rgb="FFE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323858</xdr:colOff>
      <xdr:row>44</xdr:row>
      <xdr:rowOff>76200</xdr:rowOff>
    </xdr:from>
    <xdr:to>
      <xdr:col>12</xdr:col>
      <xdr:colOff>40714</xdr:colOff>
      <xdr:row>51</xdr:row>
      <xdr:rowOff>38700</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2790833" y="8458200"/>
          <a:ext cx="1478981" cy="12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57150</xdr:colOff>
      <xdr:row>36</xdr:row>
      <xdr:rowOff>134013</xdr:rowOff>
    </xdr:from>
    <xdr:to>
      <xdr:col>32</xdr:col>
      <xdr:colOff>134172</xdr:colOff>
      <xdr:row>39</xdr:row>
      <xdr:rowOff>164573</xdr:rowOff>
    </xdr:to>
    <xdr:pic>
      <xdr:nvPicPr>
        <xdr:cNvPr id="3" name="図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5295900" y="9963813"/>
          <a:ext cx="2458272" cy="573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6</xdr:col>
      <xdr:colOff>419100</xdr:colOff>
      <xdr:row>3</xdr:row>
      <xdr:rowOff>95250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38100" y="38100"/>
          <a:ext cx="6153150" cy="523875"/>
        </a:xfrm>
        <a:prstGeom prst="roundRect">
          <a:avLst>
            <a:gd name="adj" fmla="val 16667"/>
          </a:avLst>
        </a:prstGeom>
        <a:solidFill>
          <a:srgbClr val="FFFFFF"/>
        </a:solidFill>
        <a:ln w="28575">
          <a:solidFill>
            <a:srgbClr val="33CCCC"/>
          </a:solidFill>
          <a:round/>
          <a:headEnd/>
          <a:tailEnd/>
        </a:ln>
        <a:effectLst/>
      </xdr:spPr>
      <xdr:txBody>
        <a:bodyPr vertOverflow="clip" wrap="square" lIns="64008" tIns="27432" rIns="64008" bIns="27432" anchor="ctr" upright="1"/>
        <a:lstStyle/>
        <a:p>
          <a:pPr algn="ctr" rtl="0">
            <a:defRPr sz="1000"/>
          </a:pPr>
          <a:r>
            <a:rPr lang="ja-JP" altLang="en-US" sz="2200" b="1" i="0" u="none" strike="noStrike" baseline="0">
              <a:solidFill>
                <a:srgbClr val="000000"/>
              </a:solidFill>
              <a:latin typeface="HG丸ｺﾞｼｯｸM-PRO"/>
              <a:ea typeface="HG丸ｺﾞｼｯｸM-PRO"/>
            </a:rPr>
            <a:t>お泊り利用料金概算見積一覧表</a:t>
          </a:r>
        </a:p>
      </xdr:txBody>
    </xdr:sp>
    <xdr:clientData/>
  </xdr:twoCellAnchor>
  <xdr:twoCellAnchor editAs="oneCell">
    <xdr:from>
      <xdr:col>14</xdr:col>
      <xdr:colOff>390525</xdr:colOff>
      <xdr:row>0</xdr:row>
      <xdr:rowOff>66675</xdr:rowOff>
    </xdr:from>
    <xdr:to>
      <xdr:col>15</xdr:col>
      <xdr:colOff>504825</xdr:colOff>
      <xdr:row>3</xdr:row>
      <xdr:rowOff>28575</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858875" y="66675"/>
          <a:ext cx="1076325" cy="428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6</xdr:col>
      <xdr:colOff>438150</xdr:colOff>
      <xdr:row>3</xdr:row>
      <xdr:rowOff>114300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57150" y="57150"/>
          <a:ext cx="4581525" cy="523875"/>
        </a:xfrm>
        <a:prstGeom prst="roundRect">
          <a:avLst>
            <a:gd name="adj" fmla="val 16667"/>
          </a:avLst>
        </a:prstGeom>
        <a:solidFill>
          <a:srgbClr val="FFFFFF"/>
        </a:solidFill>
        <a:ln w="28575">
          <a:solidFill>
            <a:srgbClr val="33CCCC"/>
          </a:solidFill>
          <a:round/>
          <a:headEnd/>
          <a:tailEnd/>
        </a:ln>
        <a:effectLst/>
      </xdr:spPr>
      <xdr:txBody>
        <a:bodyPr vertOverflow="clip" wrap="square" lIns="64008" tIns="27432" rIns="64008" bIns="27432" anchor="ctr" upright="1"/>
        <a:lstStyle/>
        <a:p>
          <a:pPr algn="ctr" rtl="0">
            <a:defRPr sz="1000"/>
          </a:pPr>
          <a:r>
            <a:rPr lang="ja-JP" altLang="en-US" sz="2200" b="1" i="0" u="none" strike="noStrike" baseline="0">
              <a:solidFill>
                <a:srgbClr val="000000"/>
              </a:solidFill>
              <a:latin typeface="HG丸ｺﾞｼｯｸM-PRO"/>
              <a:ea typeface="HG丸ｺﾞｼｯｸM-PRO"/>
            </a:rPr>
            <a:t>お泊り利用料金概算見積一覧表</a:t>
          </a:r>
        </a:p>
      </xdr:txBody>
    </xdr:sp>
    <xdr:clientData/>
  </xdr:twoCellAnchor>
  <xdr:twoCellAnchor editAs="oneCell">
    <xdr:from>
      <xdr:col>14</xdr:col>
      <xdr:colOff>390525</xdr:colOff>
      <xdr:row>0</xdr:row>
      <xdr:rowOff>66675</xdr:rowOff>
    </xdr:from>
    <xdr:to>
      <xdr:col>15</xdr:col>
      <xdr:colOff>765175</xdr:colOff>
      <xdr:row>3</xdr:row>
      <xdr:rowOff>28575</xdr:rowOff>
    </xdr:to>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91775" y="66675"/>
          <a:ext cx="1031875" cy="428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123826</xdr:colOff>
      <xdr:row>68</xdr:row>
      <xdr:rowOff>19050</xdr:rowOff>
    </xdr:from>
    <xdr:to>
      <xdr:col>39</xdr:col>
      <xdr:colOff>66675</xdr:colOff>
      <xdr:row>70</xdr:row>
      <xdr:rowOff>139923</xdr:rowOff>
    </xdr:to>
    <xdr:pic>
      <xdr:nvPicPr>
        <xdr:cNvPr id="2" name="図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stretch>
          <a:fillRect/>
        </a:stretch>
      </xdr:blipFill>
      <xdr:spPr>
        <a:xfrm>
          <a:off x="6638926" y="10096500"/>
          <a:ext cx="485774" cy="4256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xdr:row>
      <xdr:rowOff>62865</xdr:rowOff>
    </xdr:from>
    <xdr:to>
      <xdr:col>25</xdr:col>
      <xdr:colOff>108585</xdr:colOff>
      <xdr:row>3</xdr:row>
      <xdr:rowOff>38100</xdr:rowOff>
    </xdr:to>
    <xdr:sp macro="" textlink="">
      <xdr:nvSpPr>
        <xdr:cNvPr id="2" name="角丸四角形 1">
          <a:extLst>
            <a:ext uri="{FF2B5EF4-FFF2-40B4-BE49-F238E27FC236}">
              <a16:creationId xmlns:a16="http://schemas.microsoft.com/office/drawing/2014/main" id="{00000000-0008-0000-2000-000002000000}"/>
            </a:ext>
          </a:extLst>
        </xdr:cNvPr>
        <xdr:cNvSpPr/>
      </xdr:nvSpPr>
      <xdr:spPr bwMode="auto">
        <a:xfrm>
          <a:off x="95250" y="329565"/>
          <a:ext cx="6299835" cy="432435"/>
        </a:xfrm>
        <a:prstGeom prst="roundRect">
          <a:avLst/>
        </a:prstGeom>
        <a:solidFill>
          <a:srgbClr val="F2DCDB">
            <a:alpha val="61176"/>
          </a:srgb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600">
              <a:solidFill>
                <a:sysClr val="windowText" lastClr="000000"/>
              </a:solidFill>
              <a:latin typeface="ＭＳ 明朝" panose="02020609040205080304" pitchFamily="17" charset="-128"/>
              <a:ea typeface="ＭＳ 明朝" panose="02020609040205080304" pitchFamily="17" charset="-128"/>
            </a:rPr>
            <a:t>編集は、経過表（内）から行ってください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PT145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1456"/>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BB99865-EB6D-4211-927C-E9DBA7783070}">
  <we:reference id="wa104379121" version="1.0.0.0" store="ja-JP" storeType="OMEX"/>
  <we:alternateReferences>
    <we:reference id="WA104379121" version="1.0.0.0" store="WA104379121"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3.bin"/><Relationship Id="rId4" Type="http://schemas.openxmlformats.org/officeDocument/2006/relationships/comments" Target="../comments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5"/>
  <sheetViews>
    <sheetView workbookViewId="0"/>
  </sheetViews>
  <sheetFormatPr defaultColWidth="9" defaultRowHeight="16.5"/>
  <cols>
    <col min="1" max="1" width="20.625" style="1" customWidth="1"/>
    <col min="2" max="2" width="45.625" style="1" customWidth="1"/>
    <col min="3" max="3" width="20.625" style="1" customWidth="1"/>
    <col min="4" max="4" width="45.625" style="1" customWidth="1"/>
    <col min="5" max="16384" width="9" style="1"/>
  </cols>
  <sheetData>
    <row r="1" spans="1:4" ht="19.5">
      <c r="A1" s="85" t="s">
        <v>0</v>
      </c>
      <c r="C1" s="85"/>
    </row>
    <row r="2" spans="1:4">
      <c r="A2" s="86" t="s">
        <v>1</v>
      </c>
      <c r="B2" s="86" t="s">
        <v>2</v>
      </c>
      <c r="C2" s="86" t="s">
        <v>1</v>
      </c>
      <c r="D2" s="86" t="s">
        <v>2</v>
      </c>
    </row>
    <row r="3" spans="1:4">
      <c r="A3" s="2" t="s">
        <v>3</v>
      </c>
      <c r="B3" s="2" t="s">
        <v>4</v>
      </c>
      <c r="C3" s="2" t="s">
        <v>5</v>
      </c>
      <c r="D3" s="2" t="s">
        <v>6</v>
      </c>
    </row>
    <row r="4" spans="1:4">
      <c r="A4" s="2"/>
      <c r="B4" s="2" t="s">
        <v>7</v>
      </c>
      <c r="C4" s="2"/>
      <c r="D4" s="2" t="s">
        <v>8</v>
      </c>
    </row>
    <row r="5" spans="1:4">
      <c r="A5" s="2"/>
      <c r="B5" s="2" t="s">
        <v>9</v>
      </c>
      <c r="C5" s="2"/>
      <c r="D5" s="2" t="s">
        <v>10</v>
      </c>
    </row>
    <row r="6" spans="1:4">
      <c r="A6" s="2" t="s">
        <v>11</v>
      </c>
      <c r="B6" s="2" t="s">
        <v>12</v>
      </c>
      <c r="C6" s="2"/>
      <c r="D6" s="2" t="s">
        <v>13</v>
      </c>
    </row>
    <row r="7" spans="1:4">
      <c r="A7" s="2"/>
      <c r="B7" s="2" t="s">
        <v>14</v>
      </c>
      <c r="C7" s="2"/>
      <c r="D7" s="2" t="s">
        <v>15</v>
      </c>
    </row>
    <row r="8" spans="1:4">
      <c r="A8" s="2"/>
      <c r="B8" s="2" t="s">
        <v>16</v>
      </c>
      <c r="C8" s="2"/>
      <c r="D8" s="2" t="s">
        <v>17</v>
      </c>
    </row>
    <row r="9" spans="1:4">
      <c r="A9" s="2"/>
      <c r="B9" s="2" t="s">
        <v>18</v>
      </c>
      <c r="C9" s="2"/>
      <c r="D9" s="2" t="s">
        <v>19</v>
      </c>
    </row>
    <row r="10" spans="1:4">
      <c r="A10" s="2"/>
      <c r="B10" s="2" t="s">
        <v>20</v>
      </c>
      <c r="C10" s="2"/>
      <c r="D10" s="2" t="s">
        <v>21</v>
      </c>
    </row>
    <row r="11" spans="1:4">
      <c r="A11" s="2"/>
      <c r="B11" s="2" t="s">
        <v>22</v>
      </c>
      <c r="C11" s="2"/>
      <c r="D11" s="2" t="s">
        <v>23</v>
      </c>
    </row>
    <row r="12" spans="1:4">
      <c r="A12" s="2"/>
      <c r="B12" s="2" t="s">
        <v>24</v>
      </c>
      <c r="C12" s="2"/>
      <c r="D12" s="2" t="s">
        <v>25</v>
      </c>
    </row>
    <row r="13" spans="1:4">
      <c r="A13" s="2"/>
      <c r="B13" s="2" t="s">
        <v>26</v>
      </c>
      <c r="C13" s="2"/>
      <c r="D13" s="2" t="s">
        <v>27</v>
      </c>
    </row>
    <row r="14" spans="1:4">
      <c r="A14" s="2"/>
      <c r="B14" s="2" t="s">
        <v>28</v>
      </c>
      <c r="C14" s="2"/>
      <c r="D14" s="2" t="s">
        <v>29</v>
      </c>
    </row>
    <row r="15" spans="1:4">
      <c r="A15" s="2" t="s">
        <v>30</v>
      </c>
      <c r="B15" s="2" t="s">
        <v>31</v>
      </c>
      <c r="C15" s="2" t="s">
        <v>32</v>
      </c>
      <c r="D15" s="2" t="s">
        <v>33</v>
      </c>
    </row>
    <row r="16" spans="1:4">
      <c r="A16" s="2"/>
      <c r="B16" s="2" t="s">
        <v>34</v>
      </c>
      <c r="C16" s="2"/>
      <c r="D16" s="2" t="s">
        <v>35</v>
      </c>
    </row>
    <row r="17" spans="1:4">
      <c r="A17" s="2"/>
      <c r="B17" s="2" t="s">
        <v>36</v>
      </c>
      <c r="C17" s="2"/>
      <c r="D17" s="2" t="s">
        <v>37</v>
      </c>
    </row>
    <row r="18" spans="1:4">
      <c r="A18" s="2"/>
      <c r="B18" s="2" t="s">
        <v>38</v>
      </c>
      <c r="C18" s="2"/>
      <c r="D18" s="2" t="s">
        <v>39</v>
      </c>
    </row>
    <row r="19" spans="1:4">
      <c r="A19" s="2"/>
      <c r="B19" s="2" t="s">
        <v>40</v>
      </c>
      <c r="C19" s="2"/>
      <c r="D19" s="2" t="s">
        <v>41</v>
      </c>
    </row>
    <row r="20" spans="1:4">
      <c r="A20" s="2" t="s">
        <v>42</v>
      </c>
      <c r="B20" s="2" t="s">
        <v>43</v>
      </c>
      <c r="C20" s="2"/>
      <c r="D20" s="2" t="s">
        <v>44</v>
      </c>
    </row>
    <row r="21" spans="1:4">
      <c r="A21" s="2"/>
      <c r="B21" s="2" t="s">
        <v>45</v>
      </c>
      <c r="C21" s="2"/>
      <c r="D21" s="2" t="s">
        <v>46</v>
      </c>
    </row>
    <row r="22" spans="1:4">
      <c r="A22" s="2" t="s">
        <v>47</v>
      </c>
      <c r="B22" s="2" t="s">
        <v>48</v>
      </c>
      <c r="C22" s="2"/>
      <c r="D22" s="2" t="s">
        <v>49</v>
      </c>
    </row>
    <row r="23" spans="1:4">
      <c r="A23" s="2"/>
      <c r="B23" s="2" t="s">
        <v>50</v>
      </c>
      <c r="C23" s="2"/>
      <c r="D23" s="2"/>
    </row>
    <row r="24" spans="1:4">
      <c r="A24" s="2"/>
      <c r="B24" s="2" t="s">
        <v>51</v>
      </c>
      <c r="C24" s="2"/>
      <c r="D24" s="2"/>
    </row>
    <row r="25" spans="1:4">
      <c r="A25" s="2"/>
      <c r="B25" s="2" t="s">
        <v>52</v>
      </c>
      <c r="C25" s="2"/>
      <c r="D25" s="2"/>
    </row>
    <row r="26" spans="1:4">
      <c r="A26" s="2"/>
      <c r="B26" s="2" t="s">
        <v>53</v>
      </c>
      <c r="C26" s="2"/>
      <c r="D26" s="2"/>
    </row>
    <row r="27" spans="1:4">
      <c r="A27" s="2"/>
      <c r="B27" s="2" t="s">
        <v>54</v>
      </c>
      <c r="C27" s="2"/>
      <c r="D27" s="2"/>
    </row>
    <row r="28" spans="1:4">
      <c r="A28" s="2"/>
      <c r="B28" s="2" t="s">
        <v>55</v>
      </c>
      <c r="C28" s="2"/>
      <c r="D28" s="2"/>
    </row>
    <row r="29" spans="1:4">
      <c r="A29" s="2"/>
      <c r="B29" s="2" t="s">
        <v>56</v>
      </c>
      <c r="C29" s="2"/>
      <c r="D29" s="2"/>
    </row>
    <row r="30" spans="1:4">
      <c r="A30" s="2"/>
      <c r="B30" s="2" t="s">
        <v>57</v>
      </c>
      <c r="C30" s="2"/>
      <c r="D30" s="2"/>
    </row>
    <row r="31" spans="1:4">
      <c r="A31" s="2" t="s">
        <v>58</v>
      </c>
      <c r="B31" s="2" t="s">
        <v>59</v>
      </c>
      <c r="C31" s="2"/>
      <c r="D31" s="2"/>
    </row>
    <row r="32" spans="1:4">
      <c r="A32" s="2"/>
      <c r="B32" s="2" t="s">
        <v>60</v>
      </c>
      <c r="C32" s="2"/>
      <c r="D32" s="2"/>
    </row>
    <row r="33" spans="1:4">
      <c r="A33" s="2"/>
      <c r="B33" s="2" t="s">
        <v>61</v>
      </c>
      <c r="C33" s="2"/>
      <c r="D33" s="2"/>
    </row>
    <row r="34" spans="1:4">
      <c r="A34" s="2"/>
      <c r="B34" s="2" t="s">
        <v>62</v>
      </c>
      <c r="C34" s="2"/>
      <c r="D34" s="2"/>
    </row>
    <row r="35" spans="1:4">
      <c r="A35" s="2"/>
      <c r="B35" s="2" t="s">
        <v>63</v>
      </c>
      <c r="C35" s="2"/>
      <c r="D35" s="2"/>
    </row>
  </sheetData>
  <phoneticPr fontId="17"/>
  <pageMargins left="0.70866141732283472" right="0.70866141732283472" top="0.74803149606299213" bottom="0.74803149606299213" header="0.31496062992125984" footer="0.31496062992125984"/>
  <pageSetup paperSize="9" scale="93" orientation="landscape" verticalDpi="1200" r:id="rId1"/>
  <headerFooter>
    <oddFooter>&amp;CCopyright (C) 2014 JCG Inc.  All Rights Reserved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Z279"/>
  <sheetViews>
    <sheetView workbookViewId="0">
      <selection activeCell="F28" sqref="F28:I28"/>
    </sheetView>
  </sheetViews>
  <sheetFormatPr defaultColWidth="9" defaultRowHeight="12"/>
  <cols>
    <col min="1" max="1" width="16.625" style="710" customWidth="1"/>
    <col min="2" max="2" width="8.625" style="710" customWidth="1"/>
    <col min="3" max="12" width="8.625" style="611" customWidth="1"/>
    <col min="13" max="13" width="11.125" style="611" customWidth="1"/>
    <col min="14" max="14" width="12" style="611" customWidth="1"/>
    <col min="15" max="17" width="9" style="611" customWidth="1"/>
    <col min="18" max="19" width="10.625" style="612" customWidth="1"/>
    <col min="20" max="52" width="10.625" style="611" customWidth="1"/>
    <col min="53" max="78" width="9" style="611" customWidth="1"/>
    <col min="79" max="16384" width="9" style="611"/>
  </cols>
  <sheetData>
    <row r="1" spans="1:78">
      <c r="A1" s="1244" t="s">
        <v>64</v>
      </c>
      <c r="B1" s="1244"/>
      <c r="C1" s="1244"/>
      <c r="D1" s="1244"/>
      <c r="E1" s="1244"/>
      <c r="F1" s="1244"/>
      <c r="G1" s="1244"/>
      <c r="H1" s="1244"/>
      <c r="I1" s="1244"/>
      <c r="J1" s="1244"/>
      <c r="K1" s="1244"/>
      <c r="L1" s="1244"/>
    </row>
    <row r="2" spans="1:78" ht="5.0999999999999996" customHeight="1">
      <c r="A2" s="867"/>
      <c r="B2" s="613"/>
      <c r="C2" s="613"/>
      <c r="D2" s="613"/>
      <c r="E2" s="613"/>
      <c r="F2" s="613"/>
      <c r="G2" s="613"/>
      <c r="H2" s="613"/>
      <c r="I2" s="613"/>
      <c r="J2" s="613"/>
      <c r="K2" s="613"/>
      <c r="L2" s="613"/>
      <c r="M2" s="614"/>
      <c r="N2" s="614"/>
      <c r="O2" s="614"/>
      <c r="P2" s="614"/>
      <c r="Q2" s="614"/>
      <c r="R2" s="615"/>
      <c r="S2" s="615"/>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c r="AZ2" s="613"/>
    </row>
    <row r="3" spans="1:78" ht="15" customHeight="1" thickBot="1">
      <c r="A3" s="867"/>
      <c r="B3" s="613"/>
      <c r="C3" s="613"/>
      <c r="D3" s="613"/>
      <c r="E3" s="613"/>
      <c r="F3" s="613"/>
      <c r="G3" s="613"/>
      <c r="H3" s="613"/>
      <c r="I3" s="613"/>
      <c r="J3" s="613"/>
      <c r="K3" s="613"/>
      <c r="L3" s="613"/>
      <c r="M3" s="614"/>
      <c r="N3" s="614"/>
      <c r="O3" s="614"/>
      <c r="P3" s="614"/>
      <c r="Q3" s="614"/>
      <c r="R3" s="615"/>
      <c r="S3" s="615"/>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3"/>
    </row>
    <row r="4" spans="1:78" ht="15" customHeight="1" thickBot="1">
      <c r="A4" s="1245" t="s">
        <v>65</v>
      </c>
      <c r="B4" s="1246"/>
      <c r="C4" s="616" t="s">
        <v>79</v>
      </c>
      <c r="D4" s="617">
        <v>6</v>
      </c>
      <c r="E4" s="618" t="s">
        <v>67</v>
      </c>
      <c r="F4" s="619">
        <v>6</v>
      </c>
      <c r="G4" s="618" t="s">
        <v>68</v>
      </c>
      <c r="H4" s="619">
        <v>1</v>
      </c>
      <c r="I4" s="620" t="s">
        <v>69</v>
      </c>
      <c r="J4" s="613"/>
      <c r="K4" s="613"/>
      <c r="L4" s="613"/>
      <c r="M4" s="614"/>
      <c r="N4" s="621" t="s">
        <v>70</v>
      </c>
      <c r="O4" s="621" t="s">
        <v>71</v>
      </c>
      <c r="R4" s="611"/>
    </row>
    <row r="5" spans="1:78" ht="15" customHeight="1" thickBot="1">
      <c r="A5" s="867"/>
      <c r="B5" s="867"/>
      <c r="C5" s="613"/>
      <c r="D5" s="613"/>
      <c r="E5" s="613"/>
      <c r="F5" s="613"/>
      <c r="G5" s="613"/>
      <c r="H5" s="613"/>
      <c r="I5" s="613"/>
      <c r="J5" s="613"/>
      <c r="K5" s="613"/>
      <c r="L5" s="613"/>
      <c r="M5" s="614"/>
      <c r="N5" s="622" t="s">
        <v>72</v>
      </c>
      <c r="O5" s="622" t="str">
        <f t="array" ref="O5:Q34">TRANSPOSE(V28:AY30)</f>
        <v>3時間以上4時間未満</v>
      </c>
      <c r="P5" s="622" t="str">
        <v>要介護1</v>
      </c>
      <c r="Q5" s="622" t="str">
        <v>３７０</v>
      </c>
      <c r="R5" s="622" t="str">
        <f t="array" ref="R5:R9">TRANSPOSE(B41:F41)</f>
        <v>３，７５１</v>
      </c>
    </row>
    <row r="6" spans="1:78" ht="15" customHeight="1">
      <c r="A6" s="1247" t="s">
        <v>73</v>
      </c>
      <c r="B6" s="1248"/>
      <c r="C6" s="1249" t="s">
        <v>2089</v>
      </c>
      <c r="D6" s="1250"/>
      <c r="E6" s="1250"/>
      <c r="F6" s="1250"/>
      <c r="G6" s="1250"/>
      <c r="H6" s="1251"/>
      <c r="I6" s="613"/>
      <c r="J6" s="613"/>
      <c r="K6" s="613"/>
      <c r="L6" s="613"/>
      <c r="M6" s="613"/>
      <c r="N6" s="622" t="s">
        <v>74</v>
      </c>
      <c r="O6" s="622">
        <v>0</v>
      </c>
      <c r="P6" s="622" t="str">
        <v>要介護2</v>
      </c>
      <c r="Q6" s="622" t="str">
        <v>４２３</v>
      </c>
      <c r="R6" s="622" t="str">
        <v>４，２８９</v>
      </c>
      <c r="T6" s="611" t="s">
        <v>75</v>
      </c>
      <c r="U6" s="611" t="s">
        <v>76</v>
      </c>
      <c r="V6" s="611" t="s">
        <v>77</v>
      </c>
      <c r="Y6" s="623"/>
    </row>
    <row r="7" spans="1:78" ht="15" customHeight="1" thickBot="1">
      <c r="A7" s="1212" t="s">
        <v>78</v>
      </c>
      <c r="B7" s="1213"/>
      <c r="C7" s="1177" t="s">
        <v>2090</v>
      </c>
      <c r="D7" s="1178"/>
      <c r="E7" s="1178"/>
      <c r="F7" s="1178"/>
      <c r="G7" s="1178"/>
      <c r="H7" s="1179"/>
      <c r="I7" s="624"/>
      <c r="J7" s="625"/>
      <c r="K7" s="625"/>
      <c r="L7" s="613"/>
      <c r="M7" s="613"/>
      <c r="N7" s="622" t="s">
        <v>79</v>
      </c>
      <c r="O7" s="622">
        <v>0</v>
      </c>
      <c r="P7" s="622" t="str">
        <v>要介護3</v>
      </c>
      <c r="Q7" s="622" t="str">
        <v>４７９</v>
      </c>
      <c r="R7" s="622" t="str">
        <v>４，８５７</v>
      </c>
      <c r="U7" s="611" t="s">
        <v>80</v>
      </c>
      <c r="V7" s="611" t="s">
        <v>81</v>
      </c>
    </row>
    <row r="8" spans="1:78" ht="15" customHeight="1" thickBot="1">
      <c r="A8" s="1064" t="s">
        <v>82</v>
      </c>
      <c r="B8" s="1065"/>
      <c r="C8" s="976">
        <v>442</v>
      </c>
      <c r="D8" s="977" t="s">
        <v>83</v>
      </c>
      <c r="E8" s="978" t="s">
        <v>2091</v>
      </c>
      <c r="F8" s="1187" t="s">
        <v>2092</v>
      </c>
      <c r="G8" s="1188"/>
      <c r="H8" s="1188"/>
      <c r="I8" s="1189"/>
      <c r="J8" s="1189"/>
      <c r="K8" s="1190"/>
      <c r="L8" s="613"/>
      <c r="M8" s="613"/>
      <c r="N8" s="622" t="s">
        <v>66</v>
      </c>
      <c r="O8" s="622">
        <v>0</v>
      </c>
      <c r="P8" s="622" t="str">
        <v>要介護4</v>
      </c>
      <c r="Q8" s="622" t="str">
        <v>５３３</v>
      </c>
      <c r="R8" s="622" t="str">
        <v>５，４０４</v>
      </c>
      <c r="V8" s="611" t="s">
        <v>84</v>
      </c>
      <c r="BB8" s="611" t="s">
        <v>85</v>
      </c>
      <c r="BC8" s="611">
        <v>472</v>
      </c>
      <c r="BD8" s="611">
        <v>525</v>
      </c>
      <c r="BE8" s="611">
        <v>579</v>
      </c>
      <c r="BF8" s="611">
        <v>382</v>
      </c>
      <c r="BG8" s="611">
        <v>438</v>
      </c>
      <c r="BH8" s="611">
        <v>495</v>
      </c>
      <c r="BI8" s="611">
        <v>551</v>
      </c>
      <c r="BJ8" s="611">
        <v>608</v>
      </c>
      <c r="BK8" s="611">
        <v>561</v>
      </c>
      <c r="BL8" s="611">
        <v>663</v>
      </c>
      <c r="BM8" s="611">
        <v>765</v>
      </c>
      <c r="BN8" s="611">
        <v>867</v>
      </c>
      <c r="BO8" s="611">
        <v>969</v>
      </c>
      <c r="BP8" s="611">
        <v>575</v>
      </c>
      <c r="BQ8" s="611">
        <v>679</v>
      </c>
      <c r="BR8" s="611">
        <v>784</v>
      </c>
      <c r="BS8" s="611">
        <v>888</v>
      </c>
      <c r="BT8" s="611">
        <v>993</v>
      </c>
      <c r="BU8" s="611">
        <v>648</v>
      </c>
      <c r="BV8" s="611">
        <v>765</v>
      </c>
      <c r="BW8" s="611">
        <v>887</v>
      </c>
      <c r="BX8" s="611">
        <v>1008</v>
      </c>
      <c r="BY8" s="611">
        <v>1130</v>
      </c>
      <c r="BZ8" s="611">
        <v>659</v>
      </c>
    </row>
    <row r="9" spans="1:78" ht="15" customHeight="1" thickBot="1">
      <c r="A9" s="1212" t="s">
        <v>86</v>
      </c>
      <c r="B9" s="1213"/>
      <c r="C9" s="1140" t="s">
        <v>2093</v>
      </c>
      <c r="D9" s="1141"/>
      <c r="E9" s="1142"/>
      <c r="F9" s="1209" t="s">
        <v>87</v>
      </c>
      <c r="G9" s="1210"/>
      <c r="H9" s="1211"/>
      <c r="I9" s="1140" t="s">
        <v>2094</v>
      </c>
      <c r="J9" s="1141"/>
      <c r="K9" s="1142"/>
      <c r="L9" s="624"/>
      <c r="M9" s="613"/>
      <c r="N9" s="615"/>
      <c r="O9" s="622">
        <v>0</v>
      </c>
      <c r="P9" s="622" t="str">
        <v>要介護5</v>
      </c>
      <c r="Q9" s="622" t="str">
        <v>５８８</v>
      </c>
      <c r="R9" s="622" t="str">
        <v>５，９６２</v>
      </c>
      <c r="V9" s="611" t="s">
        <v>88</v>
      </c>
    </row>
    <row r="10" spans="1:78" ht="15" customHeight="1" thickBot="1">
      <c r="A10" s="1212" t="s">
        <v>89</v>
      </c>
      <c r="B10" s="1213"/>
      <c r="C10" s="626">
        <v>2</v>
      </c>
      <c r="D10" s="628">
        <v>3</v>
      </c>
      <c r="E10" s="628">
        <v>7</v>
      </c>
      <c r="F10" s="629">
        <v>2</v>
      </c>
      <c r="G10" s="629">
        <v>6</v>
      </c>
      <c r="H10" s="629">
        <v>0</v>
      </c>
      <c r="I10" s="628">
        <v>2</v>
      </c>
      <c r="J10" s="630">
        <v>8</v>
      </c>
      <c r="K10" s="630">
        <v>6</v>
      </c>
      <c r="L10" s="631">
        <v>8</v>
      </c>
      <c r="M10" s="613"/>
      <c r="N10" s="615"/>
      <c r="O10" s="622" t="str">
        <v>4時間以上5時間未満</v>
      </c>
      <c r="P10" s="622" t="str">
        <v>要介護1</v>
      </c>
      <c r="Q10" s="622" t="str">
        <v>３８８</v>
      </c>
      <c r="R10" s="622" t="str">
        <f t="array" ref="R10:R14">TRANSPOSE(B42:F42)</f>
        <v>３，９３４</v>
      </c>
      <c r="V10" s="611" t="s">
        <v>90</v>
      </c>
    </row>
    <row r="11" spans="1:78" ht="15" customHeight="1" thickBot="1">
      <c r="A11" s="1165" t="s">
        <v>91</v>
      </c>
      <c r="B11" s="1166"/>
      <c r="C11" s="632" t="s">
        <v>79</v>
      </c>
      <c r="D11" s="633">
        <v>4</v>
      </c>
      <c r="E11" s="634" t="s">
        <v>67</v>
      </c>
      <c r="F11" s="635">
        <v>1</v>
      </c>
      <c r="G11" s="636" t="s">
        <v>68</v>
      </c>
      <c r="H11" s="635">
        <v>1</v>
      </c>
      <c r="I11" s="637" t="s">
        <v>2095</v>
      </c>
      <c r="J11" s="638"/>
      <c r="K11" s="639"/>
      <c r="L11" s="613"/>
      <c r="M11" s="613"/>
      <c r="N11" s="615"/>
      <c r="O11" s="622">
        <v>0</v>
      </c>
      <c r="P11" s="622" t="str">
        <v>要介護2</v>
      </c>
      <c r="Q11" s="622" t="str">
        <v>４４４</v>
      </c>
      <c r="R11" s="622" t="str">
        <v>４，５０２</v>
      </c>
    </row>
    <row r="12" spans="1:78" ht="15" customHeight="1">
      <c r="A12" s="1165" t="s">
        <v>93</v>
      </c>
      <c r="B12" s="1166"/>
      <c r="C12" s="980" t="s">
        <v>2116</v>
      </c>
      <c r="D12" s="627" t="s">
        <v>94</v>
      </c>
      <c r="E12" s="982" t="s">
        <v>2117</v>
      </c>
      <c r="F12" s="1214" t="s">
        <v>95</v>
      </c>
      <c r="G12" s="1215"/>
      <c r="H12" s="1216"/>
      <c r="I12" s="980" t="s">
        <v>2096</v>
      </c>
      <c r="J12" s="640" t="s">
        <v>94</v>
      </c>
      <c r="K12" s="984" t="s">
        <v>2097</v>
      </c>
      <c r="L12" s="613"/>
      <c r="M12" s="613"/>
      <c r="N12" s="615"/>
      <c r="O12" s="622">
        <v>0</v>
      </c>
      <c r="P12" s="622" t="str">
        <v>要介護3</v>
      </c>
      <c r="Q12" s="622" t="str">
        <v>５０２</v>
      </c>
      <c r="R12" s="622" t="str">
        <v>５，０９０</v>
      </c>
      <c r="T12" s="612"/>
    </row>
    <row r="13" spans="1:78" ht="15" customHeight="1" thickBot="1">
      <c r="A13" s="1165" t="s">
        <v>96</v>
      </c>
      <c r="B13" s="1166"/>
      <c r="C13" s="981" t="s">
        <v>97</v>
      </c>
      <c r="D13" s="641" t="s">
        <v>94</v>
      </c>
      <c r="E13" s="983" t="s">
        <v>98</v>
      </c>
      <c r="F13" s="1194" t="s">
        <v>99</v>
      </c>
      <c r="G13" s="1217"/>
      <c r="H13" s="1195"/>
      <c r="I13" s="642"/>
      <c r="J13" s="643" t="s">
        <v>94</v>
      </c>
      <c r="K13" s="644"/>
      <c r="L13" s="613"/>
      <c r="M13" s="613"/>
      <c r="N13" s="615"/>
      <c r="O13" s="622">
        <v>0</v>
      </c>
      <c r="P13" s="622" t="str">
        <v>要介護4</v>
      </c>
      <c r="Q13" s="622" t="str">
        <v>５６０</v>
      </c>
      <c r="R13" s="622" t="str">
        <v>５，６７８</v>
      </c>
      <c r="T13" s="612"/>
    </row>
    <row r="14" spans="1:78" ht="15" customHeight="1" thickBot="1">
      <c r="A14" s="1192" t="s">
        <v>100</v>
      </c>
      <c r="B14" s="1193"/>
      <c r="C14" s="645" t="s">
        <v>92</v>
      </c>
      <c r="D14" s="865" t="s">
        <v>101</v>
      </c>
      <c r="E14" s="865" t="s">
        <v>102</v>
      </c>
      <c r="F14" s="865" t="s">
        <v>103</v>
      </c>
      <c r="G14" s="865" t="s">
        <v>104</v>
      </c>
      <c r="H14" s="865" t="s">
        <v>105</v>
      </c>
      <c r="I14" s="865" t="s">
        <v>106</v>
      </c>
      <c r="J14" s="865" t="s">
        <v>107</v>
      </c>
      <c r="K14" s="1196" t="s">
        <v>108</v>
      </c>
      <c r="L14" s="1197"/>
      <c r="M14" s="613"/>
      <c r="N14" s="615"/>
      <c r="O14" s="622">
        <v>0</v>
      </c>
      <c r="P14" s="622" t="str">
        <v>要介護5</v>
      </c>
      <c r="Q14" s="622" t="str">
        <v>６１７</v>
      </c>
      <c r="R14" s="622" t="str">
        <v>６，２５６</v>
      </c>
      <c r="T14" s="612"/>
    </row>
    <row r="15" spans="1:78" ht="15" customHeight="1">
      <c r="A15" s="1194"/>
      <c r="B15" s="1195"/>
      <c r="C15" s="985"/>
      <c r="D15" s="986" t="s">
        <v>1821</v>
      </c>
      <c r="E15" s="987" t="s">
        <v>1821</v>
      </c>
      <c r="F15" s="987" t="s">
        <v>1821</v>
      </c>
      <c r="G15" s="987" t="s">
        <v>1821</v>
      </c>
      <c r="H15" s="987" t="s">
        <v>1821</v>
      </c>
      <c r="I15" s="987" t="s">
        <v>1821</v>
      </c>
      <c r="J15" s="988"/>
      <c r="K15" s="1198" t="s">
        <v>81</v>
      </c>
      <c r="L15" s="1199"/>
      <c r="M15" s="613"/>
      <c r="N15" s="615"/>
      <c r="O15" s="622" t="str">
        <v>5時間以上6時間未満</v>
      </c>
      <c r="P15" s="622" t="str">
        <v>要介護1</v>
      </c>
      <c r="Q15" s="622" t="str">
        <v>５７０</v>
      </c>
      <c r="R15" s="622" t="str">
        <f t="array" ref="R15:R19">TRANSPOSE(B43:F43)</f>
        <v>５，７７９</v>
      </c>
      <c r="T15" s="612"/>
    </row>
    <row r="16" spans="1:78" ht="15" customHeight="1" thickBot="1">
      <c r="A16" s="1165" t="s">
        <v>109</v>
      </c>
      <c r="B16" s="1166"/>
      <c r="C16" s="1200" t="s">
        <v>2098</v>
      </c>
      <c r="D16" s="1201"/>
      <c r="E16" s="1207" t="s">
        <v>2118</v>
      </c>
      <c r="F16" s="1208"/>
      <c r="G16" s="1207"/>
      <c r="H16" s="1208"/>
      <c r="I16" s="1205"/>
      <c r="J16" s="1206"/>
      <c r="K16" s="1205"/>
      <c r="L16" s="1081"/>
      <c r="M16" s="613"/>
      <c r="N16" s="615"/>
      <c r="O16" s="622">
        <v>0</v>
      </c>
      <c r="P16" s="622" t="str">
        <v>要介護2</v>
      </c>
      <c r="Q16" s="622" t="str">
        <v>６７３</v>
      </c>
      <c r="R16" s="622" t="str">
        <v>６，８２４</v>
      </c>
      <c r="T16" s="646"/>
      <c r="U16" s="647"/>
      <c r="V16" s="647" t="s">
        <v>110</v>
      </c>
      <c r="W16" s="647"/>
      <c r="X16" s="647"/>
      <c r="Y16" s="647"/>
      <c r="Z16" s="647"/>
      <c r="AA16" s="647" t="s">
        <v>111</v>
      </c>
      <c r="AB16" s="647"/>
      <c r="AC16" s="647"/>
      <c r="AD16" s="647"/>
      <c r="AE16" s="647"/>
      <c r="AF16" s="647" t="s">
        <v>112</v>
      </c>
      <c r="AG16" s="647"/>
      <c r="AH16" s="647"/>
      <c r="AI16" s="647"/>
      <c r="AJ16" s="647"/>
      <c r="AK16" s="647" t="s">
        <v>113</v>
      </c>
      <c r="AL16" s="647"/>
      <c r="AM16" s="647"/>
      <c r="AN16" s="647"/>
      <c r="AO16" s="647"/>
      <c r="AP16" s="647" t="s">
        <v>114</v>
      </c>
      <c r="AQ16" s="647"/>
      <c r="AR16" s="647"/>
      <c r="AS16" s="647"/>
      <c r="AT16" s="647"/>
      <c r="AU16" s="647" t="s">
        <v>115</v>
      </c>
      <c r="AV16" s="647"/>
      <c r="AW16" s="647"/>
      <c r="AX16" s="647"/>
      <c r="AY16" s="647"/>
    </row>
    <row r="17" spans="1:52" ht="15" customHeight="1" thickBot="1">
      <c r="A17" s="1165" t="s">
        <v>116</v>
      </c>
      <c r="B17" s="1166"/>
      <c r="C17" s="648">
        <v>20</v>
      </c>
      <c r="D17" s="649" t="s">
        <v>117</v>
      </c>
      <c r="E17" s="1202" t="s">
        <v>118</v>
      </c>
      <c r="F17" s="1203"/>
      <c r="G17" s="1204"/>
      <c r="H17" s="650">
        <v>9</v>
      </c>
      <c r="I17" s="651" t="s">
        <v>117</v>
      </c>
      <c r="J17" s="652"/>
      <c r="K17" s="652"/>
      <c r="L17" s="652"/>
      <c r="M17" s="613"/>
      <c r="N17" s="615"/>
      <c r="O17" s="622">
        <v>0</v>
      </c>
      <c r="P17" s="622" t="str">
        <v>要介護3</v>
      </c>
      <c r="Q17" s="622" t="str">
        <v>７７７</v>
      </c>
      <c r="R17" s="622" t="str">
        <v>７，８７８</v>
      </c>
      <c r="T17" s="646"/>
      <c r="U17" s="647"/>
      <c r="V17" s="653" t="s">
        <v>119</v>
      </c>
      <c r="W17" s="654" t="s">
        <v>120</v>
      </c>
      <c r="X17" s="654" t="s">
        <v>121</v>
      </c>
      <c r="Y17" s="654" t="s">
        <v>122</v>
      </c>
      <c r="Z17" s="655" t="s">
        <v>123</v>
      </c>
      <c r="AA17" s="771" t="s">
        <v>119</v>
      </c>
      <c r="AB17" s="654" t="s">
        <v>120</v>
      </c>
      <c r="AC17" s="654" t="s">
        <v>121</v>
      </c>
      <c r="AD17" s="654" t="s">
        <v>122</v>
      </c>
      <c r="AE17" s="655" t="s">
        <v>123</v>
      </c>
      <c r="AF17" s="765" t="s">
        <v>119</v>
      </c>
      <c r="AG17" s="654" t="s">
        <v>120</v>
      </c>
      <c r="AH17" s="654" t="s">
        <v>121</v>
      </c>
      <c r="AI17" s="654" t="s">
        <v>122</v>
      </c>
      <c r="AJ17" s="759" t="s">
        <v>123</v>
      </c>
      <c r="AK17" s="653" t="s">
        <v>119</v>
      </c>
      <c r="AL17" s="654" t="s">
        <v>120</v>
      </c>
      <c r="AM17" s="654" t="s">
        <v>121</v>
      </c>
      <c r="AN17" s="654" t="s">
        <v>122</v>
      </c>
      <c r="AO17" s="655" t="s">
        <v>123</v>
      </c>
      <c r="AP17" s="765" t="s">
        <v>119</v>
      </c>
      <c r="AQ17" s="654" t="s">
        <v>120</v>
      </c>
      <c r="AR17" s="654" t="s">
        <v>121</v>
      </c>
      <c r="AS17" s="654" t="s">
        <v>122</v>
      </c>
      <c r="AT17" s="759" t="s">
        <v>123</v>
      </c>
      <c r="AU17" s="653" t="s">
        <v>119</v>
      </c>
      <c r="AV17" s="654" t="s">
        <v>120</v>
      </c>
      <c r="AW17" s="654" t="s">
        <v>121</v>
      </c>
      <c r="AX17" s="654" t="s">
        <v>122</v>
      </c>
      <c r="AY17" s="755" t="s">
        <v>123</v>
      </c>
    </row>
    <row r="18" spans="1:52" ht="15" customHeight="1">
      <c r="A18" s="1165" t="s">
        <v>124</v>
      </c>
      <c r="B18" s="1166"/>
      <c r="C18" s="1167" t="s">
        <v>2099</v>
      </c>
      <c r="D18" s="1168"/>
      <c r="E18" s="1169"/>
      <c r="F18" s="1169"/>
      <c r="G18" s="1169"/>
      <c r="H18" s="1168"/>
      <c r="I18" s="1168"/>
      <c r="J18" s="1169"/>
      <c r="K18" s="1169"/>
      <c r="L18" s="1170"/>
      <c r="M18" s="613"/>
      <c r="N18" s="615"/>
      <c r="O18" s="622">
        <v>0</v>
      </c>
      <c r="P18" s="622" t="str">
        <v>要介護4</v>
      </c>
      <c r="Q18" s="622" t="str">
        <v>８８０</v>
      </c>
      <c r="R18" s="622" t="str">
        <v>８，９２３</v>
      </c>
      <c r="T18" s="646"/>
      <c r="U18" s="997" t="s">
        <v>2123</v>
      </c>
      <c r="V18" s="656">
        <v>370</v>
      </c>
      <c r="W18" s="657">
        <v>423</v>
      </c>
      <c r="X18" s="657">
        <v>479</v>
      </c>
      <c r="Y18" s="657">
        <v>533</v>
      </c>
      <c r="Z18" s="658">
        <v>588</v>
      </c>
      <c r="AA18" s="772">
        <v>388</v>
      </c>
      <c r="AB18" s="757">
        <v>444</v>
      </c>
      <c r="AC18" s="757">
        <v>502</v>
      </c>
      <c r="AD18" s="757">
        <v>560</v>
      </c>
      <c r="AE18" s="770">
        <v>617</v>
      </c>
      <c r="AF18" s="766">
        <v>570</v>
      </c>
      <c r="AG18" s="757">
        <v>673</v>
      </c>
      <c r="AH18" s="757">
        <v>777</v>
      </c>
      <c r="AI18" s="757">
        <v>880</v>
      </c>
      <c r="AJ18" s="764">
        <v>984</v>
      </c>
      <c r="AK18" s="763">
        <v>584</v>
      </c>
      <c r="AL18" s="757">
        <v>689</v>
      </c>
      <c r="AM18" s="757">
        <v>796</v>
      </c>
      <c r="AN18" s="758">
        <v>901</v>
      </c>
      <c r="AO18" s="769">
        <v>1008</v>
      </c>
      <c r="AP18" s="766">
        <v>658</v>
      </c>
      <c r="AQ18" s="757">
        <v>777</v>
      </c>
      <c r="AR18" s="757">
        <v>900</v>
      </c>
      <c r="AS18" s="757">
        <v>1023</v>
      </c>
      <c r="AT18" s="760">
        <v>1148</v>
      </c>
      <c r="AU18" s="763">
        <v>669</v>
      </c>
      <c r="AV18" s="757">
        <v>791</v>
      </c>
      <c r="AW18" s="758">
        <v>915</v>
      </c>
      <c r="AX18" s="758">
        <v>1041</v>
      </c>
      <c r="AY18" s="756">
        <v>1168</v>
      </c>
    </row>
    <row r="19" spans="1:52" ht="15" customHeight="1" thickBot="1">
      <c r="A19" s="1165" t="s">
        <v>125</v>
      </c>
      <c r="B19" s="1166"/>
      <c r="C19" s="1171"/>
      <c r="D19" s="1172"/>
      <c r="E19" s="1172"/>
      <c r="F19" s="1172"/>
      <c r="G19" s="1172"/>
      <c r="H19" s="1172"/>
      <c r="I19" s="1173"/>
      <c r="J19" s="1173"/>
      <c r="K19" s="1173"/>
      <c r="L19" s="1174"/>
      <c r="M19" s="613"/>
      <c r="N19" s="615"/>
      <c r="O19" s="622">
        <v>0</v>
      </c>
      <c r="P19" s="622" t="str">
        <v>要介護5</v>
      </c>
      <c r="Q19" s="622" t="str">
        <v>９８４</v>
      </c>
      <c r="R19" s="622" t="str">
        <v>９，９７７</v>
      </c>
      <c r="T19" s="659" t="s">
        <v>126</v>
      </c>
      <c r="U19" s="660">
        <v>10.9</v>
      </c>
      <c r="V19" s="661">
        <f>ROUNDDOWN(V$18*$U19,0)</f>
        <v>4033</v>
      </c>
      <c r="W19" s="662">
        <f t="shared" ref="W19:AL26" si="0">ROUNDDOWN(W$18*$U19,0)</f>
        <v>4610</v>
      </c>
      <c r="X19" s="662">
        <f t="shared" si="0"/>
        <v>5221</v>
      </c>
      <c r="Y19" s="662">
        <f t="shared" si="0"/>
        <v>5809</v>
      </c>
      <c r="Z19" s="663">
        <f t="shared" si="0"/>
        <v>6409</v>
      </c>
      <c r="AA19" s="773">
        <f>ROUNDDOWN(AA$18*$U19,0)</f>
        <v>4229</v>
      </c>
      <c r="AB19" s="662">
        <f t="shared" si="0"/>
        <v>4839</v>
      </c>
      <c r="AC19" s="662">
        <f t="shared" si="0"/>
        <v>5471</v>
      </c>
      <c r="AD19" s="662">
        <f t="shared" si="0"/>
        <v>6104</v>
      </c>
      <c r="AE19" s="663">
        <f t="shared" si="0"/>
        <v>6725</v>
      </c>
      <c r="AF19" s="767">
        <f>ROUNDDOWN(AF$18*$U19,0)</f>
        <v>6213</v>
      </c>
      <c r="AG19" s="662">
        <f t="shared" si="0"/>
        <v>7335</v>
      </c>
      <c r="AH19" s="662">
        <f t="shared" si="0"/>
        <v>8469</v>
      </c>
      <c r="AI19" s="662">
        <f t="shared" si="0"/>
        <v>9592</v>
      </c>
      <c r="AJ19" s="761">
        <f t="shared" si="0"/>
        <v>10725</v>
      </c>
      <c r="AK19" s="661">
        <f>ROUNDDOWN(AK$18*$U19,0)</f>
        <v>6365</v>
      </c>
      <c r="AL19" s="662">
        <f t="shared" si="0"/>
        <v>7510</v>
      </c>
      <c r="AM19" s="662">
        <f t="shared" ref="AL19:AP26" si="1">ROUNDDOWN(AM$18*$U19,0)</f>
        <v>8676</v>
      </c>
      <c r="AN19" s="662">
        <f t="shared" si="1"/>
        <v>9820</v>
      </c>
      <c r="AO19" s="663">
        <f t="shared" si="1"/>
        <v>10987</v>
      </c>
      <c r="AP19" s="767">
        <f>ROUNDDOWN(AP$18*$U19,0)</f>
        <v>7172</v>
      </c>
      <c r="AQ19" s="662">
        <f t="shared" ref="AQ19:AU26" si="2">ROUNDDOWN(AQ$18*$U19,0)</f>
        <v>8469</v>
      </c>
      <c r="AR19" s="662">
        <f t="shared" si="2"/>
        <v>9810</v>
      </c>
      <c r="AS19" s="662">
        <f t="shared" si="2"/>
        <v>11150</v>
      </c>
      <c r="AT19" s="761">
        <f t="shared" si="2"/>
        <v>12513</v>
      </c>
      <c r="AU19" s="661">
        <f>ROUNDDOWN(AU$18*$U19,0)</f>
        <v>7292</v>
      </c>
      <c r="AV19" s="662">
        <f t="shared" ref="AV19:AY26" si="3">ROUNDDOWN(AV$18*$U19,0)</f>
        <v>8621</v>
      </c>
      <c r="AW19" s="662">
        <f t="shared" si="3"/>
        <v>9973</v>
      </c>
      <c r="AX19" s="662">
        <f t="shared" si="3"/>
        <v>11346</v>
      </c>
      <c r="AY19" s="663">
        <f t="shared" si="3"/>
        <v>12731</v>
      </c>
    </row>
    <row r="20" spans="1:52" ht="15" customHeight="1" thickBot="1">
      <c r="A20" s="1175" t="s">
        <v>127</v>
      </c>
      <c r="B20" s="1176"/>
      <c r="C20" s="1177" t="s">
        <v>2161</v>
      </c>
      <c r="D20" s="1178"/>
      <c r="E20" s="1178"/>
      <c r="F20" s="1178"/>
      <c r="G20" s="1178"/>
      <c r="H20" s="1179"/>
      <c r="I20" s="624"/>
      <c r="J20" s="625"/>
      <c r="K20" s="625"/>
      <c r="L20" s="613"/>
      <c r="M20" s="613"/>
      <c r="N20" s="615"/>
      <c r="O20" s="622" t="str">
        <v>6時間以上7時間未満</v>
      </c>
      <c r="P20" s="622" t="str">
        <v>要介護1</v>
      </c>
      <c r="Q20" s="622" t="str">
        <v>５８４</v>
      </c>
      <c r="R20" s="622" t="str">
        <f t="array" ref="R20:R24">TRANSPOSE(B44:F44)</f>
        <v>５，９２１</v>
      </c>
      <c r="T20" s="659" t="s">
        <v>128</v>
      </c>
      <c r="U20" s="660">
        <v>10.72</v>
      </c>
      <c r="V20" s="661">
        <f t="shared" ref="V20:V26" si="4">ROUNDDOWN(V$18*$U20,0)</f>
        <v>3966</v>
      </c>
      <c r="W20" s="662">
        <f t="shared" si="0"/>
        <v>4534</v>
      </c>
      <c r="X20" s="662">
        <f t="shared" si="0"/>
        <v>5134</v>
      </c>
      <c r="Y20" s="662">
        <f t="shared" si="0"/>
        <v>5713</v>
      </c>
      <c r="Z20" s="663">
        <f t="shared" si="0"/>
        <v>6303</v>
      </c>
      <c r="AA20" s="773">
        <f t="shared" si="0"/>
        <v>4159</v>
      </c>
      <c r="AB20" s="662">
        <f t="shared" si="0"/>
        <v>4759</v>
      </c>
      <c r="AC20" s="662">
        <f t="shared" si="0"/>
        <v>5381</v>
      </c>
      <c r="AD20" s="662">
        <f t="shared" si="0"/>
        <v>6003</v>
      </c>
      <c r="AE20" s="663">
        <f t="shared" si="0"/>
        <v>6614</v>
      </c>
      <c r="AF20" s="767">
        <f t="shared" si="0"/>
        <v>6110</v>
      </c>
      <c r="AG20" s="662">
        <f t="shared" si="0"/>
        <v>7214</v>
      </c>
      <c r="AH20" s="662">
        <f t="shared" si="0"/>
        <v>8329</v>
      </c>
      <c r="AI20" s="662">
        <f t="shared" si="0"/>
        <v>9433</v>
      </c>
      <c r="AJ20" s="761">
        <f t="shared" si="0"/>
        <v>10548</v>
      </c>
      <c r="AK20" s="661">
        <f t="shared" si="0"/>
        <v>6260</v>
      </c>
      <c r="AL20" s="662">
        <f t="shared" si="1"/>
        <v>7386</v>
      </c>
      <c r="AM20" s="662">
        <f t="shared" si="1"/>
        <v>8533</v>
      </c>
      <c r="AN20" s="662">
        <f t="shared" si="1"/>
        <v>9658</v>
      </c>
      <c r="AO20" s="663">
        <f t="shared" si="1"/>
        <v>10805</v>
      </c>
      <c r="AP20" s="767">
        <f t="shared" si="1"/>
        <v>7053</v>
      </c>
      <c r="AQ20" s="662">
        <f t="shared" si="2"/>
        <v>8329</v>
      </c>
      <c r="AR20" s="662">
        <f t="shared" si="2"/>
        <v>9648</v>
      </c>
      <c r="AS20" s="662">
        <f t="shared" si="2"/>
        <v>10966</v>
      </c>
      <c r="AT20" s="761">
        <f t="shared" si="2"/>
        <v>12306</v>
      </c>
      <c r="AU20" s="661">
        <f t="shared" si="2"/>
        <v>7171</v>
      </c>
      <c r="AV20" s="662">
        <f t="shared" si="3"/>
        <v>8479</v>
      </c>
      <c r="AW20" s="662">
        <f t="shared" si="3"/>
        <v>9808</v>
      </c>
      <c r="AX20" s="662">
        <f t="shared" si="3"/>
        <v>11159</v>
      </c>
      <c r="AY20" s="663">
        <f t="shared" si="3"/>
        <v>12520</v>
      </c>
    </row>
    <row r="21" spans="1:52" ht="15" customHeight="1">
      <c r="A21" s="1138" t="s">
        <v>129</v>
      </c>
      <c r="B21" s="1139"/>
      <c r="C21" s="1180" t="s">
        <v>2100</v>
      </c>
      <c r="D21" s="1178"/>
      <c r="E21" s="1178"/>
      <c r="F21" s="1181"/>
      <c r="G21" s="1181"/>
      <c r="H21" s="1181"/>
      <c r="I21" s="1181"/>
      <c r="J21" s="1181"/>
      <c r="K21" s="1182"/>
      <c r="L21" s="613"/>
      <c r="M21" s="613"/>
      <c r="N21" s="615"/>
      <c r="O21" s="622">
        <v>0</v>
      </c>
      <c r="P21" s="622" t="str">
        <v>要介護2</v>
      </c>
      <c r="Q21" s="622" t="str">
        <v>６８９</v>
      </c>
      <c r="R21" s="622" t="str">
        <v>６，９８６</v>
      </c>
      <c r="T21" s="659" t="s">
        <v>130</v>
      </c>
      <c r="U21" s="660">
        <v>10.68</v>
      </c>
      <c r="V21" s="661">
        <f t="shared" si="4"/>
        <v>3951</v>
      </c>
      <c r="W21" s="662">
        <f t="shared" si="0"/>
        <v>4517</v>
      </c>
      <c r="X21" s="662">
        <f t="shared" si="0"/>
        <v>5115</v>
      </c>
      <c r="Y21" s="662">
        <f t="shared" si="0"/>
        <v>5692</v>
      </c>
      <c r="Z21" s="663">
        <f t="shared" si="0"/>
        <v>6279</v>
      </c>
      <c r="AA21" s="773">
        <f t="shared" si="0"/>
        <v>4143</v>
      </c>
      <c r="AB21" s="662">
        <f t="shared" si="0"/>
        <v>4741</v>
      </c>
      <c r="AC21" s="662">
        <f t="shared" si="0"/>
        <v>5361</v>
      </c>
      <c r="AD21" s="662">
        <f t="shared" si="0"/>
        <v>5980</v>
      </c>
      <c r="AE21" s="663">
        <f t="shared" si="0"/>
        <v>6589</v>
      </c>
      <c r="AF21" s="767">
        <f t="shared" si="0"/>
        <v>6087</v>
      </c>
      <c r="AG21" s="662">
        <f t="shared" si="0"/>
        <v>7187</v>
      </c>
      <c r="AH21" s="662">
        <f t="shared" si="0"/>
        <v>8298</v>
      </c>
      <c r="AI21" s="662">
        <f t="shared" si="0"/>
        <v>9398</v>
      </c>
      <c r="AJ21" s="761">
        <f t="shared" si="0"/>
        <v>10509</v>
      </c>
      <c r="AK21" s="661">
        <f t="shared" si="0"/>
        <v>6237</v>
      </c>
      <c r="AL21" s="662">
        <f t="shared" si="1"/>
        <v>7358</v>
      </c>
      <c r="AM21" s="662">
        <f t="shared" si="1"/>
        <v>8501</v>
      </c>
      <c r="AN21" s="662">
        <f t="shared" si="1"/>
        <v>9622</v>
      </c>
      <c r="AO21" s="663">
        <f t="shared" si="1"/>
        <v>10765</v>
      </c>
      <c r="AP21" s="767">
        <f t="shared" si="1"/>
        <v>7027</v>
      </c>
      <c r="AQ21" s="662">
        <f t="shared" si="2"/>
        <v>8298</v>
      </c>
      <c r="AR21" s="662">
        <f t="shared" si="2"/>
        <v>9612</v>
      </c>
      <c r="AS21" s="662">
        <f t="shared" si="2"/>
        <v>10925</v>
      </c>
      <c r="AT21" s="761">
        <f t="shared" si="2"/>
        <v>12260</v>
      </c>
      <c r="AU21" s="661">
        <f t="shared" si="2"/>
        <v>7144</v>
      </c>
      <c r="AV21" s="662">
        <f t="shared" si="3"/>
        <v>8447</v>
      </c>
      <c r="AW21" s="662">
        <f t="shared" si="3"/>
        <v>9772</v>
      </c>
      <c r="AX21" s="662">
        <f t="shared" si="3"/>
        <v>11117</v>
      </c>
      <c r="AY21" s="663">
        <f t="shared" si="3"/>
        <v>12474</v>
      </c>
    </row>
    <row r="22" spans="1:52" ht="15" customHeight="1">
      <c r="A22" s="1183" t="s">
        <v>1841</v>
      </c>
      <c r="B22" s="1184"/>
      <c r="C22" s="989" t="s">
        <v>2101</v>
      </c>
      <c r="D22" s="977" t="s">
        <v>83</v>
      </c>
      <c r="E22" s="978" t="s">
        <v>2102</v>
      </c>
      <c r="F22" s="1187" t="s">
        <v>2103</v>
      </c>
      <c r="G22" s="1188"/>
      <c r="H22" s="1188"/>
      <c r="I22" s="1189"/>
      <c r="J22" s="1189"/>
      <c r="K22" s="1190"/>
      <c r="L22" s="613"/>
      <c r="M22" s="613"/>
      <c r="N22" s="615"/>
      <c r="O22" s="622">
        <v>0</v>
      </c>
      <c r="P22" s="622" t="str">
        <v>要介護3</v>
      </c>
      <c r="Q22" s="622" t="str">
        <v>７９６</v>
      </c>
      <c r="R22" s="622" t="str">
        <v>８，０７１</v>
      </c>
      <c r="T22" s="659" t="s">
        <v>131</v>
      </c>
      <c r="U22" s="660">
        <v>10.54</v>
      </c>
      <c r="V22" s="661">
        <f t="shared" si="4"/>
        <v>3899</v>
      </c>
      <c r="W22" s="662">
        <f t="shared" si="0"/>
        <v>4458</v>
      </c>
      <c r="X22" s="662">
        <f t="shared" si="0"/>
        <v>5048</v>
      </c>
      <c r="Y22" s="662">
        <f t="shared" si="0"/>
        <v>5617</v>
      </c>
      <c r="Z22" s="663">
        <f t="shared" si="0"/>
        <v>6197</v>
      </c>
      <c r="AA22" s="773">
        <f t="shared" si="0"/>
        <v>4089</v>
      </c>
      <c r="AB22" s="662">
        <f t="shared" si="0"/>
        <v>4679</v>
      </c>
      <c r="AC22" s="662">
        <f t="shared" si="0"/>
        <v>5291</v>
      </c>
      <c r="AD22" s="662">
        <f t="shared" si="0"/>
        <v>5902</v>
      </c>
      <c r="AE22" s="663">
        <f t="shared" si="0"/>
        <v>6503</v>
      </c>
      <c r="AF22" s="767">
        <f t="shared" si="0"/>
        <v>6007</v>
      </c>
      <c r="AG22" s="662">
        <f t="shared" si="0"/>
        <v>7093</v>
      </c>
      <c r="AH22" s="662">
        <f t="shared" si="0"/>
        <v>8189</v>
      </c>
      <c r="AI22" s="662">
        <f t="shared" si="0"/>
        <v>9275</v>
      </c>
      <c r="AJ22" s="761">
        <f t="shared" si="0"/>
        <v>10371</v>
      </c>
      <c r="AK22" s="661">
        <f t="shared" si="0"/>
        <v>6155</v>
      </c>
      <c r="AL22" s="662">
        <f t="shared" si="1"/>
        <v>7262</v>
      </c>
      <c r="AM22" s="662">
        <f t="shared" si="1"/>
        <v>8389</v>
      </c>
      <c r="AN22" s="662">
        <f t="shared" si="1"/>
        <v>9496</v>
      </c>
      <c r="AO22" s="663">
        <f t="shared" si="1"/>
        <v>10624</v>
      </c>
      <c r="AP22" s="767">
        <f t="shared" si="1"/>
        <v>6935</v>
      </c>
      <c r="AQ22" s="662">
        <f t="shared" si="2"/>
        <v>8189</v>
      </c>
      <c r="AR22" s="662">
        <f t="shared" si="2"/>
        <v>9486</v>
      </c>
      <c r="AS22" s="662">
        <f t="shared" si="2"/>
        <v>10782</v>
      </c>
      <c r="AT22" s="761">
        <f t="shared" si="2"/>
        <v>12099</v>
      </c>
      <c r="AU22" s="661">
        <f t="shared" si="2"/>
        <v>7051</v>
      </c>
      <c r="AV22" s="662">
        <f t="shared" si="3"/>
        <v>8337</v>
      </c>
      <c r="AW22" s="662">
        <f t="shared" si="3"/>
        <v>9644</v>
      </c>
      <c r="AX22" s="662">
        <f t="shared" si="3"/>
        <v>10972</v>
      </c>
      <c r="AY22" s="663">
        <f t="shared" si="3"/>
        <v>12310</v>
      </c>
    </row>
    <row r="23" spans="1:52" ht="15" customHeight="1" thickBot="1">
      <c r="A23" s="1185"/>
      <c r="B23" s="1186"/>
      <c r="C23" s="1177"/>
      <c r="D23" s="1178"/>
      <c r="E23" s="1178"/>
      <c r="F23" s="1191"/>
      <c r="G23" s="1191"/>
      <c r="H23" s="1191"/>
      <c r="I23" s="1178"/>
      <c r="J23" s="1178"/>
      <c r="K23" s="1179"/>
      <c r="L23" s="613"/>
      <c r="M23" s="613"/>
      <c r="N23" s="615"/>
      <c r="O23" s="622">
        <v>0</v>
      </c>
      <c r="P23" s="622" t="str">
        <v>要介護4</v>
      </c>
      <c r="Q23" s="622" t="str">
        <v>９０１</v>
      </c>
      <c r="R23" s="622" t="str">
        <v>９，１３６</v>
      </c>
      <c r="T23" s="659" t="s">
        <v>132</v>
      </c>
      <c r="U23" s="660">
        <v>10.45</v>
      </c>
      <c r="V23" s="661">
        <f t="shared" si="4"/>
        <v>3866</v>
      </c>
      <c r="W23" s="662">
        <f t="shared" si="0"/>
        <v>4420</v>
      </c>
      <c r="X23" s="662">
        <f t="shared" si="0"/>
        <v>5005</v>
      </c>
      <c r="Y23" s="662">
        <f t="shared" si="0"/>
        <v>5569</v>
      </c>
      <c r="Z23" s="663">
        <f t="shared" si="0"/>
        <v>6144</v>
      </c>
      <c r="AA23" s="773">
        <f t="shared" si="0"/>
        <v>4054</v>
      </c>
      <c r="AB23" s="662">
        <f t="shared" si="0"/>
        <v>4639</v>
      </c>
      <c r="AC23" s="662">
        <f t="shared" si="0"/>
        <v>5245</v>
      </c>
      <c r="AD23" s="662">
        <f t="shared" si="0"/>
        <v>5852</v>
      </c>
      <c r="AE23" s="663">
        <f t="shared" si="0"/>
        <v>6447</v>
      </c>
      <c r="AF23" s="767">
        <f t="shared" si="0"/>
        <v>5956</v>
      </c>
      <c r="AG23" s="662">
        <f t="shared" si="0"/>
        <v>7032</v>
      </c>
      <c r="AH23" s="662">
        <f t="shared" si="0"/>
        <v>8119</v>
      </c>
      <c r="AI23" s="662">
        <f t="shared" si="0"/>
        <v>9196</v>
      </c>
      <c r="AJ23" s="761">
        <f t="shared" si="0"/>
        <v>10282</v>
      </c>
      <c r="AK23" s="661">
        <f t="shared" si="0"/>
        <v>6102</v>
      </c>
      <c r="AL23" s="662">
        <f t="shared" si="1"/>
        <v>7200</v>
      </c>
      <c r="AM23" s="662">
        <f t="shared" si="1"/>
        <v>8318</v>
      </c>
      <c r="AN23" s="662">
        <f t="shared" si="1"/>
        <v>9415</v>
      </c>
      <c r="AO23" s="663">
        <f t="shared" si="1"/>
        <v>10533</v>
      </c>
      <c r="AP23" s="767">
        <f t="shared" si="1"/>
        <v>6876</v>
      </c>
      <c r="AQ23" s="662">
        <f t="shared" si="2"/>
        <v>8119</v>
      </c>
      <c r="AR23" s="662">
        <f t="shared" si="2"/>
        <v>9405</v>
      </c>
      <c r="AS23" s="662">
        <f t="shared" si="2"/>
        <v>10690</v>
      </c>
      <c r="AT23" s="761">
        <f t="shared" si="2"/>
        <v>11996</v>
      </c>
      <c r="AU23" s="661">
        <f t="shared" si="2"/>
        <v>6991</v>
      </c>
      <c r="AV23" s="662">
        <f t="shared" si="3"/>
        <v>8265</v>
      </c>
      <c r="AW23" s="662">
        <f t="shared" si="3"/>
        <v>9561</v>
      </c>
      <c r="AX23" s="662">
        <f t="shared" si="3"/>
        <v>10878</v>
      </c>
      <c r="AY23" s="663">
        <f t="shared" si="3"/>
        <v>12205</v>
      </c>
    </row>
    <row r="24" spans="1:52" ht="15" customHeight="1" thickBot="1">
      <c r="A24" s="1138" t="s">
        <v>133</v>
      </c>
      <c r="B24" s="1139"/>
      <c r="C24" s="1140" t="s">
        <v>2104</v>
      </c>
      <c r="D24" s="1141"/>
      <c r="E24" s="1142"/>
      <c r="F24" s="1143" t="s">
        <v>134</v>
      </c>
      <c r="G24" s="1144"/>
      <c r="H24" s="1145"/>
      <c r="I24" s="1140" t="s">
        <v>2105</v>
      </c>
      <c r="J24" s="1141"/>
      <c r="K24" s="1142"/>
      <c r="L24" s="613"/>
      <c r="M24" s="613"/>
      <c r="N24" s="615"/>
      <c r="O24" s="622">
        <v>0</v>
      </c>
      <c r="P24" s="622" t="str">
        <v>要介護5</v>
      </c>
      <c r="Q24" s="622" t="str">
        <v>１，００８</v>
      </c>
      <c r="R24" s="622" t="str">
        <v>１０，２２１</v>
      </c>
      <c r="T24" s="659" t="s">
        <v>135</v>
      </c>
      <c r="U24" s="660">
        <v>10.27</v>
      </c>
      <c r="V24" s="661">
        <f t="shared" si="4"/>
        <v>3799</v>
      </c>
      <c r="W24" s="662">
        <f t="shared" si="0"/>
        <v>4344</v>
      </c>
      <c r="X24" s="662">
        <f t="shared" si="0"/>
        <v>4919</v>
      </c>
      <c r="Y24" s="662">
        <f t="shared" si="0"/>
        <v>5473</v>
      </c>
      <c r="Z24" s="663">
        <f t="shared" si="0"/>
        <v>6038</v>
      </c>
      <c r="AA24" s="773">
        <f t="shared" si="0"/>
        <v>3984</v>
      </c>
      <c r="AB24" s="662">
        <f t="shared" si="0"/>
        <v>4559</v>
      </c>
      <c r="AC24" s="662">
        <f t="shared" si="0"/>
        <v>5155</v>
      </c>
      <c r="AD24" s="662">
        <f t="shared" si="0"/>
        <v>5751</v>
      </c>
      <c r="AE24" s="663">
        <f t="shared" si="0"/>
        <v>6336</v>
      </c>
      <c r="AF24" s="767">
        <f t="shared" si="0"/>
        <v>5853</v>
      </c>
      <c r="AG24" s="662">
        <f t="shared" si="0"/>
        <v>6911</v>
      </c>
      <c r="AH24" s="662">
        <f t="shared" si="0"/>
        <v>7979</v>
      </c>
      <c r="AI24" s="662">
        <f t="shared" si="0"/>
        <v>9037</v>
      </c>
      <c r="AJ24" s="761">
        <f t="shared" si="0"/>
        <v>10105</v>
      </c>
      <c r="AK24" s="661">
        <f t="shared" si="0"/>
        <v>5997</v>
      </c>
      <c r="AL24" s="662">
        <f t="shared" si="1"/>
        <v>7076</v>
      </c>
      <c r="AM24" s="662">
        <f t="shared" si="1"/>
        <v>8174</v>
      </c>
      <c r="AN24" s="662">
        <f t="shared" si="1"/>
        <v>9253</v>
      </c>
      <c r="AO24" s="663">
        <f t="shared" si="1"/>
        <v>10352</v>
      </c>
      <c r="AP24" s="767">
        <f t="shared" si="1"/>
        <v>6757</v>
      </c>
      <c r="AQ24" s="662">
        <f t="shared" si="2"/>
        <v>7979</v>
      </c>
      <c r="AR24" s="662">
        <f t="shared" si="2"/>
        <v>9243</v>
      </c>
      <c r="AS24" s="662">
        <f t="shared" si="2"/>
        <v>10506</v>
      </c>
      <c r="AT24" s="761">
        <f t="shared" si="2"/>
        <v>11789</v>
      </c>
      <c r="AU24" s="661">
        <f t="shared" si="2"/>
        <v>6870</v>
      </c>
      <c r="AV24" s="662">
        <f t="shared" si="3"/>
        <v>8123</v>
      </c>
      <c r="AW24" s="662">
        <f t="shared" si="3"/>
        <v>9397</v>
      </c>
      <c r="AX24" s="662">
        <f t="shared" si="3"/>
        <v>10691</v>
      </c>
      <c r="AY24" s="663">
        <f t="shared" si="3"/>
        <v>11995</v>
      </c>
    </row>
    <row r="25" spans="1:52" ht="15" customHeight="1" thickBot="1">
      <c r="A25" s="1146" t="s">
        <v>136</v>
      </c>
      <c r="B25" s="1147"/>
      <c r="C25" s="1148" t="s">
        <v>2106</v>
      </c>
      <c r="D25" s="1149"/>
      <c r="E25" s="1149"/>
      <c r="F25" s="1150"/>
      <c r="G25" s="1151"/>
      <c r="H25" s="990" t="s">
        <v>137</v>
      </c>
      <c r="I25" s="1152" t="s">
        <v>2107</v>
      </c>
      <c r="J25" s="1153"/>
      <c r="K25" s="1154"/>
      <c r="L25" s="613"/>
      <c r="M25" s="613"/>
      <c r="N25" s="615"/>
      <c r="O25" s="622" t="str">
        <v>7時間以上8時間未満</v>
      </c>
      <c r="P25" s="622" t="str">
        <v>要介護1</v>
      </c>
      <c r="Q25" s="622" t="str">
        <v>６５８</v>
      </c>
      <c r="R25" s="622" t="str">
        <f t="array" ref="R25:R29">TRANSPOSE(B45:F45)</f>
        <v>６，６７２</v>
      </c>
      <c r="T25" s="659" t="s">
        <v>138</v>
      </c>
      <c r="U25" s="660">
        <v>10.14</v>
      </c>
      <c r="V25" s="661">
        <f t="shared" si="4"/>
        <v>3751</v>
      </c>
      <c r="W25" s="662">
        <f t="shared" si="0"/>
        <v>4289</v>
      </c>
      <c r="X25" s="662">
        <f t="shared" si="0"/>
        <v>4857</v>
      </c>
      <c r="Y25" s="662">
        <f t="shared" si="0"/>
        <v>5404</v>
      </c>
      <c r="Z25" s="663">
        <f t="shared" si="0"/>
        <v>5962</v>
      </c>
      <c r="AA25" s="773">
        <f t="shared" si="0"/>
        <v>3934</v>
      </c>
      <c r="AB25" s="662">
        <f t="shared" si="0"/>
        <v>4502</v>
      </c>
      <c r="AC25" s="662">
        <f t="shared" si="0"/>
        <v>5090</v>
      </c>
      <c r="AD25" s="662">
        <f t="shared" si="0"/>
        <v>5678</v>
      </c>
      <c r="AE25" s="663">
        <f t="shared" si="0"/>
        <v>6256</v>
      </c>
      <c r="AF25" s="767">
        <f t="shared" si="0"/>
        <v>5779</v>
      </c>
      <c r="AG25" s="662">
        <f t="shared" si="0"/>
        <v>6824</v>
      </c>
      <c r="AH25" s="662">
        <f t="shared" si="0"/>
        <v>7878</v>
      </c>
      <c r="AI25" s="662">
        <f t="shared" si="0"/>
        <v>8923</v>
      </c>
      <c r="AJ25" s="761">
        <f t="shared" si="0"/>
        <v>9977</v>
      </c>
      <c r="AK25" s="661">
        <f t="shared" si="0"/>
        <v>5921</v>
      </c>
      <c r="AL25" s="662">
        <f t="shared" si="1"/>
        <v>6986</v>
      </c>
      <c r="AM25" s="662">
        <f t="shared" si="1"/>
        <v>8071</v>
      </c>
      <c r="AN25" s="662">
        <f t="shared" si="1"/>
        <v>9136</v>
      </c>
      <c r="AO25" s="663">
        <f t="shared" si="1"/>
        <v>10221</v>
      </c>
      <c r="AP25" s="767">
        <f t="shared" si="1"/>
        <v>6672</v>
      </c>
      <c r="AQ25" s="662">
        <f t="shared" si="2"/>
        <v>7878</v>
      </c>
      <c r="AR25" s="662">
        <f t="shared" si="2"/>
        <v>9126</v>
      </c>
      <c r="AS25" s="662">
        <f t="shared" si="2"/>
        <v>10373</v>
      </c>
      <c r="AT25" s="761">
        <f t="shared" si="2"/>
        <v>11640</v>
      </c>
      <c r="AU25" s="661">
        <f t="shared" si="2"/>
        <v>6783</v>
      </c>
      <c r="AV25" s="662">
        <f t="shared" si="3"/>
        <v>8020</v>
      </c>
      <c r="AW25" s="662">
        <f t="shared" si="3"/>
        <v>9278</v>
      </c>
      <c r="AX25" s="662">
        <f t="shared" si="3"/>
        <v>10555</v>
      </c>
      <c r="AY25" s="663">
        <f t="shared" si="3"/>
        <v>11843</v>
      </c>
    </row>
    <row r="26" spans="1:52" ht="15" customHeight="1" thickBot="1">
      <c r="A26" s="1159" t="s">
        <v>139</v>
      </c>
      <c r="B26" s="1160"/>
      <c r="C26" s="863"/>
      <c r="D26" s="1161" t="s">
        <v>140</v>
      </c>
      <c r="E26" s="1161"/>
      <c r="F26" s="1162"/>
      <c r="G26" s="1162"/>
      <c r="H26" s="1162"/>
      <c r="I26" s="1162"/>
      <c r="J26" s="615"/>
      <c r="K26" s="615"/>
      <c r="L26" s="615"/>
      <c r="M26" s="613"/>
      <c r="N26" s="615"/>
      <c r="O26" s="622">
        <v>0</v>
      </c>
      <c r="P26" s="622" t="str">
        <v>要介護2</v>
      </c>
      <c r="Q26" s="622" t="str">
        <v>７７７</v>
      </c>
      <c r="R26" s="622" t="str">
        <v>７，８７８</v>
      </c>
      <c r="T26" s="659" t="s">
        <v>141</v>
      </c>
      <c r="U26" s="660">
        <v>10</v>
      </c>
      <c r="V26" s="664">
        <f t="shared" si="4"/>
        <v>3700</v>
      </c>
      <c r="W26" s="665">
        <f t="shared" si="0"/>
        <v>4230</v>
      </c>
      <c r="X26" s="665">
        <f t="shared" si="0"/>
        <v>4790</v>
      </c>
      <c r="Y26" s="665">
        <f t="shared" si="0"/>
        <v>5330</v>
      </c>
      <c r="Z26" s="666">
        <f t="shared" si="0"/>
        <v>5880</v>
      </c>
      <c r="AA26" s="774">
        <f t="shared" si="0"/>
        <v>3880</v>
      </c>
      <c r="AB26" s="665">
        <f t="shared" si="0"/>
        <v>4440</v>
      </c>
      <c r="AC26" s="665">
        <f t="shared" si="0"/>
        <v>5020</v>
      </c>
      <c r="AD26" s="665">
        <f t="shared" si="0"/>
        <v>5600</v>
      </c>
      <c r="AE26" s="666">
        <f t="shared" si="0"/>
        <v>6170</v>
      </c>
      <c r="AF26" s="768">
        <f t="shared" si="0"/>
        <v>5700</v>
      </c>
      <c r="AG26" s="665">
        <f t="shared" si="0"/>
        <v>6730</v>
      </c>
      <c r="AH26" s="665">
        <f t="shared" si="0"/>
        <v>7770</v>
      </c>
      <c r="AI26" s="665">
        <f t="shared" si="0"/>
        <v>8800</v>
      </c>
      <c r="AJ26" s="762">
        <f t="shared" si="0"/>
        <v>9840</v>
      </c>
      <c r="AK26" s="664">
        <f t="shared" si="0"/>
        <v>5840</v>
      </c>
      <c r="AL26" s="665">
        <f t="shared" si="1"/>
        <v>6890</v>
      </c>
      <c r="AM26" s="665">
        <f t="shared" si="1"/>
        <v>7960</v>
      </c>
      <c r="AN26" s="665">
        <f t="shared" si="1"/>
        <v>9010</v>
      </c>
      <c r="AO26" s="666">
        <f t="shared" si="1"/>
        <v>10080</v>
      </c>
      <c r="AP26" s="768">
        <f t="shared" si="1"/>
        <v>6580</v>
      </c>
      <c r="AQ26" s="665">
        <f t="shared" si="2"/>
        <v>7770</v>
      </c>
      <c r="AR26" s="665">
        <f t="shared" si="2"/>
        <v>9000</v>
      </c>
      <c r="AS26" s="665">
        <f t="shared" si="2"/>
        <v>10230</v>
      </c>
      <c r="AT26" s="762">
        <f t="shared" si="2"/>
        <v>11480</v>
      </c>
      <c r="AU26" s="664">
        <f t="shared" si="2"/>
        <v>6690</v>
      </c>
      <c r="AV26" s="665">
        <f t="shared" si="3"/>
        <v>7910</v>
      </c>
      <c r="AW26" s="665">
        <f t="shared" si="3"/>
        <v>9150</v>
      </c>
      <c r="AX26" s="665">
        <f t="shared" si="3"/>
        <v>10410</v>
      </c>
      <c r="AY26" s="666">
        <f t="shared" si="3"/>
        <v>11680</v>
      </c>
    </row>
    <row r="27" spans="1:52" ht="15" customHeight="1">
      <c r="A27" s="1163" t="s">
        <v>142</v>
      </c>
      <c r="B27" s="1164"/>
      <c r="C27" s="632"/>
      <c r="D27" s="633"/>
      <c r="E27" s="667" t="s">
        <v>67</v>
      </c>
      <c r="F27" s="668"/>
      <c r="G27" s="667" t="s">
        <v>68</v>
      </c>
      <c r="H27" s="668"/>
      <c r="I27" s="669" t="s">
        <v>92</v>
      </c>
      <c r="J27" s="615"/>
      <c r="K27" s="615"/>
      <c r="L27" s="615"/>
      <c r="M27" s="613"/>
      <c r="N27" s="615"/>
      <c r="O27" s="622">
        <v>0</v>
      </c>
      <c r="P27" s="622" t="str">
        <v>要介護3</v>
      </c>
      <c r="Q27" s="622" t="str">
        <v>９００</v>
      </c>
      <c r="R27" s="622" t="str">
        <v>９，１２６</v>
      </c>
      <c r="AY27" s="670"/>
      <c r="AZ27" s="670"/>
    </row>
    <row r="28" spans="1:52" ht="15" customHeight="1" thickBot="1">
      <c r="A28" s="1159" t="s">
        <v>143</v>
      </c>
      <c r="B28" s="1160"/>
      <c r="C28" s="863"/>
      <c r="D28" s="1161" t="s">
        <v>144</v>
      </c>
      <c r="E28" s="1161"/>
      <c r="F28" s="1162"/>
      <c r="G28" s="1162"/>
      <c r="H28" s="1162"/>
      <c r="I28" s="1162"/>
      <c r="J28" s="615"/>
      <c r="K28" s="615"/>
      <c r="L28" s="615"/>
      <c r="M28" s="613"/>
      <c r="N28" s="615"/>
      <c r="O28" s="622">
        <v>0</v>
      </c>
      <c r="P28" s="622" t="str">
        <v>要介護4</v>
      </c>
      <c r="Q28" s="622" t="str">
        <v>１，０２３</v>
      </c>
      <c r="R28" s="622" t="str">
        <v>１０，３７３</v>
      </c>
      <c r="T28" s="612"/>
      <c r="V28" s="754" t="s">
        <v>110</v>
      </c>
      <c r="AA28" s="611" t="s">
        <v>111</v>
      </c>
      <c r="AF28" s="611" t="s">
        <v>112</v>
      </c>
      <c r="AK28" s="611" t="s">
        <v>113</v>
      </c>
      <c r="AP28" s="611" t="s">
        <v>114</v>
      </c>
      <c r="AU28" s="611" t="s">
        <v>115</v>
      </c>
    </row>
    <row r="29" spans="1:52" ht="15" customHeight="1">
      <c r="A29" s="1155" t="s">
        <v>145</v>
      </c>
      <c r="B29" s="1156"/>
      <c r="C29" s="671" t="s">
        <v>146</v>
      </c>
      <c r="D29" s="1157" t="s">
        <v>147</v>
      </c>
      <c r="E29" s="1157"/>
      <c r="F29" s="1157"/>
      <c r="G29" s="1157"/>
      <c r="H29" s="1157"/>
      <c r="I29" s="1157"/>
      <c r="J29" s="1158"/>
      <c r="K29" s="1158"/>
      <c r="L29" s="613"/>
      <c r="M29" s="613"/>
      <c r="N29" s="615"/>
      <c r="O29" s="622">
        <v>0</v>
      </c>
      <c r="P29" s="622" t="str">
        <v>要介護5</v>
      </c>
      <c r="Q29" s="622" t="str">
        <v>１，１４８</v>
      </c>
      <c r="R29" s="622" t="str">
        <v>１１，６４０</v>
      </c>
      <c r="T29" s="612"/>
      <c r="V29" s="746" t="s">
        <v>119</v>
      </c>
      <c r="W29" s="740" t="s">
        <v>120</v>
      </c>
      <c r="X29" s="740" t="s">
        <v>121</v>
      </c>
      <c r="Y29" s="740" t="s">
        <v>122</v>
      </c>
      <c r="Z29" s="747" t="s">
        <v>123</v>
      </c>
      <c r="AA29" s="750" t="s">
        <v>119</v>
      </c>
      <c r="AB29" s="740" t="s">
        <v>120</v>
      </c>
      <c r="AC29" s="740" t="s">
        <v>121</v>
      </c>
      <c r="AD29" s="740" t="s">
        <v>122</v>
      </c>
      <c r="AE29" s="742" t="s">
        <v>123</v>
      </c>
      <c r="AF29" s="746" t="s">
        <v>119</v>
      </c>
      <c r="AG29" s="740" t="s">
        <v>120</v>
      </c>
      <c r="AH29" s="740" t="s">
        <v>121</v>
      </c>
      <c r="AI29" s="740" t="s">
        <v>122</v>
      </c>
      <c r="AJ29" s="747" t="s">
        <v>123</v>
      </c>
      <c r="AK29" s="750" t="s">
        <v>119</v>
      </c>
      <c r="AL29" s="740" t="s">
        <v>120</v>
      </c>
      <c r="AM29" s="740" t="s">
        <v>121</v>
      </c>
      <c r="AN29" s="740" t="s">
        <v>122</v>
      </c>
      <c r="AO29" s="742" t="s">
        <v>123</v>
      </c>
      <c r="AP29" s="746" t="s">
        <v>119</v>
      </c>
      <c r="AQ29" s="740" t="s">
        <v>120</v>
      </c>
      <c r="AR29" s="740" t="s">
        <v>121</v>
      </c>
      <c r="AS29" s="740" t="s">
        <v>122</v>
      </c>
      <c r="AT29" s="747" t="s">
        <v>123</v>
      </c>
      <c r="AU29" s="746" t="s">
        <v>119</v>
      </c>
      <c r="AV29" s="740" t="s">
        <v>120</v>
      </c>
      <c r="AW29" s="740" t="s">
        <v>121</v>
      </c>
      <c r="AX29" s="740" t="s">
        <v>122</v>
      </c>
      <c r="AY29" s="747" t="s">
        <v>123</v>
      </c>
      <c r="AZ29" s="670"/>
    </row>
    <row r="30" spans="1:52" ht="15" customHeight="1" thickBot="1">
      <c r="A30" s="1117"/>
      <c r="B30" s="1118"/>
      <c r="C30" s="672" t="s">
        <v>148</v>
      </c>
      <c r="D30" s="1129" t="s">
        <v>149</v>
      </c>
      <c r="E30" s="1130"/>
      <c r="F30" s="1129" t="s">
        <v>150</v>
      </c>
      <c r="G30" s="1130"/>
      <c r="H30" s="1131" t="s">
        <v>151</v>
      </c>
      <c r="I30" s="1131"/>
      <c r="J30" s="1131" t="s">
        <v>152</v>
      </c>
      <c r="K30" s="1131"/>
      <c r="L30" s="613"/>
      <c r="M30" s="613"/>
      <c r="N30" s="615"/>
      <c r="O30" s="622" t="str">
        <v>8時間以上9時間未満</v>
      </c>
      <c r="P30" s="622" t="str">
        <v>要介護1</v>
      </c>
      <c r="Q30" s="622" t="str">
        <v>６６９</v>
      </c>
      <c r="R30" s="622" t="str">
        <f t="array" ref="R30:R34">TRANSPOSE(B46:F46)</f>
        <v>６，７８３</v>
      </c>
      <c r="T30" s="612"/>
      <c r="V30" s="748" t="str">
        <f>DBCS(TEXT(V18,"###,##0"))</f>
        <v>３７０</v>
      </c>
      <c r="W30" s="741" t="str">
        <f t="shared" ref="V30:AY38" si="5">DBCS(TEXT(W18,"###,##0"))</f>
        <v>４２３</v>
      </c>
      <c r="X30" s="741" t="str">
        <f t="shared" si="5"/>
        <v>４７９</v>
      </c>
      <c r="Y30" s="741" t="str">
        <f t="shared" si="5"/>
        <v>５３３</v>
      </c>
      <c r="Z30" s="749" t="str">
        <f t="shared" si="5"/>
        <v>５８８</v>
      </c>
      <c r="AA30" s="751" t="str">
        <f>DBCS(TEXT(AA18,"###,##0"))</f>
        <v>３８８</v>
      </c>
      <c r="AB30" s="741" t="str">
        <f t="shared" si="5"/>
        <v>４４４</v>
      </c>
      <c r="AC30" s="741" t="str">
        <f t="shared" si="5"/>
        <v>５０２</v>
      </c>
      <c r="AD30" s="741" t="str">
        <f t="shared" si="5"/>
        <v>５６０</v>
      </c>
      <c r="AE30" s="743" t="str">
        <f t="shared" si="5"/>
        <v>６１７</v>
      </c>
      <c r="AF30" s="748" t="str">
        <f>DBCS(TEXT(AF18,"###,##0"))</f>
        <v>５７０</v>
      </c>
      <c r="AG30" s="741" t="str">
        <f t="shared" si="5"/>
        <v>６７３</v>
      </c>
      <c r="AH30" s="741" t="str">
        <f t="shared" si="5"/>
        <v>７７７</v>
      </c>
      <c r="AI30" s="741" t="str">
        <f t="shared" si="5"/>
        <v>８８０</v>
      </c>
      <c r="AJ30" s="749" t="str">
        <f t="shared" si="5"/>
        <v>９８４</v>
      </c>
      <c r="AK30" s="751" t="str">
        <f>DBCS(TEXT(AK18,"###,##0"))</f>
        <v>５８４</v>
      </c>
      <c r="AL30" s="741" t="str">
        <f t="shared" si="5"/>
        <v>６８９</v>
      </c>
      <c r="AM30" s="741" t="str">
        <f t="shared" si="5"/>
        <v>７９６</v>
      </c>
      <c r="AN30" s="741" t="str">
        <f t="shared" si="5"/>
        <v>９０１</v>
      </c>
      <c r="AO30" s="743" t="str">
        <f t="shared" si="5"/>
        <v>１，００８</v>
      </c>
      <c r="AP30" s="748" t="str">
        <f>DBCS(TEXT(AP18,"###,##0"))</f>
        <v>６５８</v>
      </c>
      <c r="AQ30" s="741" t="str">
        <f t="shared" si="5"/>
        <v>７７７</v>
      </c>
      <c r="AR30" s="741" t="str">
        <f t="shared" si="5"/>
        <v>９００</v>
      </c>
      <c r="AS30" s="741" t="str">
        <f t="shared" si="5"/>
        <v>１，０２３</v>
      </c>
      <c r="AT30" s="749" t="str">
        <f t="shared" si="5"/>
        <v>１，１４８</v>
      </c>
      <c r="AU30" s="748" t="str">
        <f>DBCS(TEXT(AU18,"###,##0"))</f>
        <v>６６９</v>
      </c>
      <c r="AV30" s="741" t="str">
        <f t="shared" si="5"/>
        <v>７９１</v>
      </c>
      <c r="AW30" s="741" t="str">
        <f t="shared" si="5"/>
        <v>９１５</v>
      </c>
      <c r="AX30" s="741" t="str">
        <f t="shared" si="5"/>
        <v>１，０４１</v>
      </c>
      <c r="AY30" s="749" t="str">
        <f t="shared" si="5"/>
        <v>１，１６８</v>
      </c>
      <c r="AZ30" s="674"/>
    </row>
    <row r="31" spans="1:52" ht="15" customHeight="1" thickBot="1">
      <c r="A31" s="1117" t="s">
        <v>153</v>
      </c>
      <c r="B31" s="1118"/>
      <c r="C31" s="675">
        <f>SUM(D31:G31)</f>
        <v>0</v>
      </c>
      <c r="D31" s="1132"/>
      <c r="E31" s="1133"/>
      <c r="F31" s="1134"/>
      <c r="G31" s="1135"/>
      <c r="H31" s="1136"/>
      <c r="I31" s="1137"/>
      <c r="J31" s="1137"/>
      <c r="K31" s="1137"/>
      <c r="L31" s="613"/>
      <c r="M31" s="613"/>
      <c r="N31" s="615"/>
      <c r="O31" s="622">
        <v>0</v>
      </c>
      <c r="P31" s="622" t="str">
        <v>要介護2</v>
      </c>
      <c r="Q31" s="622" t="str">
        <v>７９１</v>
      </c>
      <c r="R31" s="622" t="str">
        <v>８，０２０</v>
      </c>
      <c r="T31" s="622" t="s">
        <v>126</v>
      </c>
      <c r="U31" s="705">
        <v>10.9</v>
      </c>
      <c r="V31" s="673" t="str">
        <f>DBCS(TEXT(V19,"###,##0"))</f>
        <v>４，０３３</v>
      </c>
      <c r="W31" s="676" t="str">
        <f t="shared" si="5"/>
        <v>４，６１０</v>
      </c>
      <c r="X31" s="676" t="str">
        <f t="shared" si="5"/>
        <v>５，２２１</v>
      </c>
      <c r="Y31" s="676" t="str">
        <f t="shared" si="5"/>
        <v>５，８０９</v>
      </c>
      <c r="Z31" s="677" t="str">
        <f t="shared" si="5"/>
        <v>６，４０９</v>
      </c>
      <c r="AA31" s="752" t="str">
        <f>DBCS(TEXT(AA19,"###,##0"))</f>
        <v>４，２２９</v>
      </c>
      <c r="AB31" s="676" t="str">
        <f>DBCS(TEXT(AB19,"###,##0"))</f>
        <v>４，８３９</v>
      </c>
      <c r="AC31" s="676" t="str">
        <f>DBCS(TEXT(AC19,"###,##0"))</f>
        <v>５，４７１</v>
      </c>
      <c r="AD31" s="676" t="str">
        <f>DBCS(TEXT(AD19,"###,##0"))</f>
        <v>６，１０４</v>
      </c>
      <c r="AE31" s="744" t="str">
        <f>DBCS(TEXT(AE19,"###,##0"))</f>
        <v>６，７２５</v>
      </c>
      <c r="AF31" s="673" t="str">
        <f>DBCS(TEXT(AF19,"###,##0"))</f>
        <v>６，２１３</v>
      </c>
      <c r="AG31" s="676" t="str">
        <f>DBCS(TEXT(AG19,"###,##0"))</f>
        <v>７，３３５</v>
      </c>
      <c r="AH31" s="676" t="str">
        <f>DBCS(TEXT(AH19,"###,##0"))</f>
        <v>８，４６９</v>
      </c>
      <c r="AI31" s="676" t="str">
        <f>DBCS(TEXT(AI19,"###,##0"))</f>
        <v>９，５９２</v>
      </c>
      <c r="AJ31" s="677" t="str">
        <f>DBCS(TEXT(AJ19,"###,##0"))</f>
        <v>１０，７２５</v>
      </c>
      <c r="AK31" s="752" t="str">
        <f>DBCS(TEXT(AK19,"###,##0"))</f>
        <v>６，３６５</v>
      </c>
      <c r="AL31" s="676" t="str">
        <f>DBCS(TEXT(AL19,"###,##0"))</f>
        <v>７，５１０</v>
      </c>
      <c r="AM31" s="676" t="str">
        <f>DBCS(TEXT(AM19,"###,##0"))</f>
        <v>８，６７６</v>
      </c>
      <c r="AN31" s="676" t="str">
        <f>DBCS(TEXT(AN19,"###,##0"))</f>
        <v>９，８２０</v>
      </c>
      <c r="AO31" s="744" t="str">
        <f>DBCS(TEXT(AO19,"###,##0"))</f>
        <v>１０，９８７</v>
      </c>
      <c r="AP31" s="673" t="str">
        <f>DBCS(TEXT(AP19,"###,##0"))</f>
        <v>７，１７２</v>
      </c>
      <c r="AQ31" s="676" t="str">
        <f>DBCS(TEXT(AQ19,"###,##0"))</f>
        <v>８，４６９</v>
      </c>
      <c r="AR31" s="676" t="str">
        <f>DBCS(TEXT(AR19,"###,##0"))</f>
        <v>９，８１０</v>
      </c>
      <c r="AS31" s="676" t="str">
        <f>DBCS(TEXT(AS19,"###,##0"))</f>
        <v>１１，１５０</v>
      </c>
      <c r="AT31" s="677" t="str">
        <f>DBCS(TEXT(AT19,"###,##0"))</f>
        <v>１２，５１３</v>
      </c>
      <c r="AU31" s="673" t="str">
        <f>DBCS(TEXT(AU19,"###,##0"))</f>
        <v>７，２９２</v>
      </c>
      <c r="AV31" s="676" t="str">
        <f>DBCS(TEXT(AV19,"###,##0"))</f>
        <v>８，６２１</v>
      </c>
      <c r="AW31" s="676" t="str">
        <f>DBCS(TEXT(AW19,"###,##0"))</f>
        <v>９，９７３</v>
      </c>
      <c r="AX31" s="676" t="str">
        <f>DBCS(TEXT(AX19,"###,##0"))</f>
        <v>１１，３４６</v>
      </c>
      <c r="AY31" s="677" t="str">
        <f>DBCS(TEXT(AY19,"###,##0"))</f>
        <v>１２，７３１</v>
      </c>
      <c r="AZ31" s="678"/>
    </row>
    <row r="32" spans="1:52" ht="15" customHeight="1">
      <c r="A32" s="1117" t="s">
        <v>154</v>
      </c>
      <c r="B32" s="1118"/>
      <c r="C32" s="675">
        <f>SUM(D32:K32)</f>
        <v>0</v>
      </c>
      <c r="D32" s="1119"/>
      <c r="E32" s="1120"/>
      <c r="F32" s="1112"/>
      <c r="G32" s="1113"/>
      <c r="H32" s="1114"/>
      <c r="I32" s="1115"/>
      <c r="J32" s="1114"/>
      <c r="K32" s="1116"/>
      <c r="L32" s="613"/>
      <c r="M32" s="613"/>
      <c r="N32" s="615"/>
      <c r="O32" s="622">
        <v>0</v>
      </c>
      <c r="P32" s="622" t="str">
        <v>要介護3</v>
      </c>
      <c r="Q32" s="622" t="str">
        <v>９１５</v>
      </c>
      <c r="R32" s="622" t="str">
        <v>９，２７８</v>
      </c>
      <c r="T32" s="622" t="s">
        <v>128</v>
      </c>
      <c r="U32" s="705">
        <v>10.72</v>
      </c>
      <c r="V32" s="673" t="str">
        <f>DBCS(TEXT(V20,"###,##0"))</f>
        <v>３，９６６</v>
      </c>
      <c r="W32" s="676" t="str">
        <f t="shared" si="5"/>
        <v>４，５３４</v>
      </c>
      <c r="X32" s="676" t="str">
        <f t="shared" si="5"/>
        <v>５，１３４</v>
      </c>
      <c r="Y32" s="676" t="str">
        <f t="shared" si="5"/>
        <v>５，７１３</v>
      </c>
      <c r="Z32" s="677" t="str">
        <f t="shared" si="5"/>
        <v>６，３０３</v>
      </c>
      <c r="AA32" s="752" t="str">
        <f t="shared" si="5"/>
        <v>４，１５９</v>
      </c>
      <c r="AB32" s="676" t="str">
        <f t="shared" si="5"/>
        <v>４，７５９</v>
      </c>
      <c r="AC32" s="676" t="str">
        <f t="shared" si="5"/>
        <v>５，３８１</v>
      </c>
      <c r="AD32" s="676" t="str">
        <f t="shared" si="5"/>
        <v>６，００３</v>
      </c>
      <c r="AE32" s="744" t="str">
        <f t="shared" si="5"/>
        <v>６，６１４</v>
      </c>
      <c r="AF32" s="673" t="str">
        <f t="shared" si="5"/>
        <v>６，１１０</v>
      </c>
      <c r="AG32" s="676" t="str">
        <f t="shared" si="5"/>
        <v>７，２１４</v>
      </c>
      <c r="AH32" s="676" t="str">
        <f t="shared" si="5"/>
        <v>８，３２９</v>
      </c>
      <c r="AI32" s="676" t="str">
        <f t="shared" si="5"/>
        <v>９，４３３</v>
      </c>
      <c r="AJ32" s="677" t="str">
        <f t="shared" si="5"/>
        <v>１０，５４８</v>
      </c>
      <c r="AK32" s="752" t="str">
        <f t="shared" si="5"/>
        <v>６，２６０</v>
      </c>
      <c r="AL32" s="676" t="str">
        <f t="shared" si="5"/>
        <v>７，３８６</v>
      </c>
      <c r="AM32" s="676" t="str">
        <f t="shared" si="5"/>
        <v>８，５３３</v>
      </c>
      <c r="AN32" s="676" t="str">
        <f t="shared" si="5"/>
        <v>９，６５８</v>
      </c>
      <c r="AO32" s="744" t="str">
        <f t="shared" si="5"/>
        <v>１０，８０５</v>
      </c>
      <c r="AP32" s="673" t="str">
        <f t="shared" si="5"/>
        <v>７，０５３</v>
      </c>
      <c r="AQ32" s="676" t="str">
        <f t="shared" si="5"/>
        <v>８，３２９</v>
      </c>
      <c r="AR32" s="676" t="str">
        <f t="shared" si="5"/>
        <v>９，６４８</v>
      </c>
      <c r="AS32" s="676" t="str">
        <f t="shared" si="5"/>
        <v>１０，９６６</v>
      </c>
      <c r="AT32" s="677" t="str">
        <f t="shared" si="5"/>
        <v>１２，３０６</v>
      </c>
      <c r="AU32" s="673" t="str">
        <f t="shared" si="5"/>
        <v>７，１７１</v>
      </c>
      <c r="AV32" s="676" t="str">
        <f t="shared" si="5"/>
        <v>８，４７９</v>
      </c>
      <c r="AW32" s="676" t="str">
        <f t="shared" si="5"/>
        <v>９，８０８</v>
      </c>
      <c r="AX32" s="676" t="str">
        <f t="shared" si="5"/>
        <v>１１，１５９</v>
      </c>
      <c r="AY32" s="677" t="str">
        <f t="shared" si="5"/>
        <v>１２，５２０</v>
      </c>
      <c r="AZ32" s="678"/>
    </row>
    <row r="33" spans="1:52" ht="15" customHeight="1">
      <c r="A33" s="1117" t="s">
        <v>155</v>
      </c>
      <c r="B33" s="1118"/>
      <c r="C33" s="675">
        <f>SUM(D33:K33)</f>
        <v>0</v>
      </c>
      <c r="D33" s="1119"/>
      <c r="E33" s="1120"/>
      <c r="F33" s="1112"/>
      <c r="G33" s="1113"/>
      <c r="H33" s="1112"/>
      <c r="I33" s="1113"/>
      <c r="J33" s="1112"/>
      <c r="K33" s="1121"/>
      <c r="L33" s="613"/>
      <c r="M33" s="613"/>
      <c r="N33" s="615"/>
      <c r="O33" s="622">
        <v>0</v>
      </c>
      <c r="P33" s="622" t="str">
        <v>要介護4</v>
      </c>
      <c r="Q33" s="622" t="str">
        <v>１，０４１</v>
      </c>
      <c r="R33" s="622" t="str">
        <v>１０，５５５</v>
      </c>
      <c r="T33" s="622" t="s">
        <v>130</v>
      </c>
      <c r="U33" s="705">
        <v>10.68</v>
      </c>
      <c r="V33" s="673" t="str">
        <f t="shared" si="5"/>
        <v>３，９５１</v>
      </c>
      <c r="W33" s="676" t="str">
        <f t="shared" si="5"/>
        <v>４，５１７</v>
      </c>
      <c r="X33" s="676" t="str">
        <f t="shared" si="5"/>
        <v>５，１１５</v>
      </c>
      <c r="Y33" s="676" t="str">
        <f t="shared" si="5"/>
        <v>５，６９２</v>
      </c>
      <c r="Z33" s="677" t="str">
        <f t="shared" si="5"/>
        <v>６，２７９</v>
      </c>
      <c r="AA33" s="752" t="str">
        <f t="shared" si="5"/>
        <v>４，１４３</v>
      </c>
      <c r="AB33" s="676" t="str">
        <f t="shared" si="5"/>
        <v>４，７４１</v>
      </c>
      <c r="AC33" s="676" t="str">
        <f t="shared" si="5"/>
        <v>５，３６１</v>
      </c>
      <c r="AD33" s="676" t="str">
        <f t="shared" si="5"/>
        <v>５，９８０</v>
      </c>
      <c r="AE33" s="744" t="str">
        <f t="shared" si="5"/>
        <v>６，５８９</v>
      </c>
      <c r="AF33" s="673" t="str">
        <f t="shared" si="5"/>
        <v>６，０８７</v>
      </c>
      <c r="AG33" s="676" t="str">
        <f t="shared" si="5"/>
        <v>７，１８７</v>
      </c>
      <c r="AH33" s="676" t="str">
        <f t="shared" si="5"/>
        <v>８，２９８</v>
      </c>
      <c r="AI33" s="676" t="str">
        <f t="shared" si="5"/>
        <v>９，３９８</v>
      </c>
      <c r="AJ33" s="677" t="str">
        <f t="shared" si="5"/>
        <v>１０，５０９</v>
      </c>
      <c r="AK33" s="752" t="str">
        <f t="shared" si="5"/>
        <v>６，２３７</v>
      </c>
      <c r="AL33" s="676" t="str">
        <f t="shared" si="5"/>
        <v>７，３５８</v>
      </c>
      <c r="AM33" s="676" t="str">
        <f t="shared" si="5"/>
        <v>８，５０１</v>
      </c>
      <c r="AN33" s="676" t="str">
        <f t="shared" si="5"/>
        <v>９，６２２</v>
      </c>
      <c r="AO33" s="744" t="str">
        <f t="shared" si="5"/>
        <v>１０，７６５</v>
      </c>
      <c r="AP33" s="673" t="str">
        <f t="shared" si="5"/>
        <v>７，０２７</v>
      </c>
      <c r="AQ33" s="676" t="str">
        <f t="shared" si="5"/>
        <v>８，２９８</v>
      </c>
      <c r="AR33" s="676" t="str">
        <f t="shared" si="5"/>
        <v>９，６１２</v>
      </c>
      <c r="AS33" s="676" t="str">
        <f t="shared" si="5"/>
        <v>１０，９２５</v>
      </c>
      <c r="AT33" s="677" t="str">
        <f t="shared" si="5"/>
        <v>１２，２６０</v>
      </c>
      <c r="AU33" s="673" t="str">
        <f t="shared" si="5"/>
        <v>７，１４４</v>
      </c>
      <c r="AV33" s="676" t="str">
        <f t="shared" si="5"/>
        <v>８，４４７</v>
      </c>
      <c r="AW33" s="676" t="str">
        <f t="shared" si="5"/>
        <v>９，７７２</v>
      </c>
      <c r="AX33" s="676" t="str">
        <f t="shared" si="5"/>
        <v>１１，１１７</v>
      </c>
      <c r="AY33" s="677" t="str">
        <f t="shared" si="5"/>
        <v>１２，４７４</v>
      </c>
      <c r="AZ33" s="678"/>
    </row>
    <row r="34" spans="1:52" ht="15" customHeight="1">
      <c r="A34" s="1117" t="s">
        <v>156</v>
      </c>
      <c r="B34" s="1118"/>
      <c r="C34" s="679">
        <f>SUM(D34:K34)</f>
        <v>0</v>
      </c>
      <c r="D34" s="1241"/>
      <c r="E34" s="1242"/>
      <c r="F34" s="1112"/>
      <c r="G34" s="1113"/>
      <c r="H34" s="1112"/>
      <c r="I34" s="1113"/>
      <c r="J34" s="1112"/>
      <c r="K34" s="1121"/>
      <c r="L34" s="613"/>
      <c r="M34" s="613"/>
      <c r="N34" s="615"/>
      <c r="O34" s="622">
        <v>0</v>
      </c>
      <c r="P34" s="622" t="str">
        <v>要介護5</v>
      </c>
      <c r="Q34" s="622" t="str">
        <v>１，１６８</v>
      </c>
      <c r="R34" s="622" t="str">
        <v>１１，８４３</v>
      </c>
      <c r="T34" s="622" t="s">
        <v>131</v>
      </c>
      <c r="U34" s="705">
        <v>10.54</v>
      </c>
      <c r="V34" s="673" t="str">
        <f t="shared" si="5"/>
        <v>３，８９９</v>
      </c>
      <c r="W34" s="676" t="str">
        <f t="shared" si="5"/>
        <v>４，４５８</v>
      </c>
      <c r="X34" s="676" t="str">
        <f t="shared" si="5"/>
        <v>５，０４８</v>
      </c>
      <c r="Y34" s="676" t="str">
        <f t="shared" si="5"/>
        <v>５，６１７</v>
      </c>
      <c r="Z34" s="677" t="str">
        <f t="shared" si="5"/>
        <v>６，１９７</v>
      </c>
      <c r="AA34" s="752" t="str">
        <f t="shared" si="5"/>
        <v>４，０８９</v>
      </c>
      <c r="AB34" s="676" t="str">
        <f t="shared" si="5"/>
        <v>４，６７９</v>
      </c>
      <c r="AC34" s="676" t="str">
        <f t="shared" si="5"/>
        <v>５，２９１</v>
      </c>
      <c r="AD34" s="676" t="str">
        <f t="shared" si="5"/>
        <v>５，９０２</v>
      </c>
      <c r="AE34" s="744" t="str">
        <f t="shared" si="5"/>
        <v>６，５０３</v>
      </c>
      <c r="AF34" s="673" t="str">
        <f t="shared" si="5"/>
        <v>６，００７</v>
      </c>
      <c r="AG34" s="676" t="str">
        <f t="shared" si="5"/>
        <v>７，０９３</v>
      </c>
      <c r="AH34" s="676" t="str">
        <f t="shared" si="5"/>
        <v>８，１８９</v>
      </c>
      <c r="AI34" s="676" t="str">
        <f t="shared" si="5"/>
        <v>９，２７５</v>
      </c>
      <c r="AJ34" s="677" t="str">
        <f t="shared" si="5"/>
        <v>１０，３７１</v>
      </c>
      <c r="AK34" s="752" t="str">
        <f t="shared" si="5"/>
        <v>６，１５５</v>
      </c>
      <c r="AL34" s="676" t="str">
        <f t="shared" si="5"/>
        <v>７，２６２</v>
      </c>
      <c r="AM34" s="676" t="str">
        <f t="shared" si="5"/>
        <v>８，３８９</v>
      </c>
      <c r="AN34" s="676" t="str">
        <f t="shared" si="5"/>
        <v>９，４９６</v>
      </c>
      <c r="AO34" s="744" t="str">
        <f t="shared" si="5"/>
        <v>１０，６２４</v>
      </c>
      <c r="AP34" s="673" t="str">
        <f t="shared" si="5"/>
        <v>６，９３５</v>
      </c>
      <c r="AQ34" s="676" t="str">
        <f t="shared" si="5"/>
        <v>８，１８９</v>
      </c>
      <c r="AR34" s="676" t="str">
        <f t="shared" si="5"/>
        <v>９，４８６</v>
      </c>
      <c r="AS34" s="676" t="str">
        <f t="shared" si="5"/>
        <v>１０，７８２</v>
      </c>
      <c r="AT34" s="677" t="str">
        <f t="shared" si="5"/>
        <v>１２，０９９</v>
      </c>
      <c r="AU34" s="673" t="str">
        <f t="shared" si="5"/>
        <v>７，０５１</v>
      </c>
      <c r="AV34" s="676" t="str">
        <f t="shared" si="5"/>
        <v>８，３３７</v>
      </c>
      <c r="AW34" s="676" t="str">
        <f t="shared" si="5"/>
        <v>９，６４４</v>
      </c>
      <c r="AX34" s="676" t="str">
        <f t="shared" si="5"/>
        <v>１０，９７２</v>
      </c>
      <c r="AY34" s="677" t="str">
        <f t="shared" si="5"/>
        <v>１２，３１０</v>
      </c>
      <c r="AZ34" s="678"/>
    </row>
    <row r="35" spans="1:52" ht="15" customHeight="1" thickBot="1">
      <c r="A35" s="1117" t="s">
        <v>157</v>
      </c>
      <c r="B35" s="1118"/>
      <c r="C35" s="679">
        <f>SUM(D35:K35)</f>
        <v>0</v>
      </c>
      <c r="D35" s="1241"/>
      <c r="E35" s="1242"/>
      <c r="F35" s="1252"/>
      <c r="G35" s="1253"/>
      <c r="H35" s="1252"/>
      <c r="I35" s="1253"/>
      <c r="J35" s="1252"/>
      <c r="K35" s="1254"/>
      <c r="L35" s="613"/>
      <c r="M35" s="613"/>
      <c r="T35" s="622" t="s">
        <v>132</v>
      </c>
      <c r="U35" s="705">
        <v>10.45</v>
      </c>
      <c r="V35" s="673" t="str">
        <f t="shared" si="5"/>
        <v>３，８６６</v>
      </c>
      <c r="W35" s="676" t="str">
        <f t="shared" si="5"/>
        <v>４，４２０</v>
      </c>
      <c r="X35" s="676" t="str">
        <f t="shared" si="5"/>
        <v>５，００５</v>
      </c>
      <c r="Y35" s="676" t="str">
        <f t="shared" si="5"/>
        <v>５，５６９</v>
      </c>
      <c r="Z35" s="677" t="str">
        <f t="shared" si="5"/>
        <v>６，１４４</v>
      </c>
      <c r="AA35" s="752" t="str">
        <f t="shared" si="5"/>
        <v>４，０５４</v>
      </c>
      <c r="AB35" s="676" t="str">
        <f t="shared" si="5"/>
        <v>４，６３９</v>
      </c>
      <c r="AC35" s="676" t="str">
        <f t="shared" si="5"/>
        <v>５，２４５</v>
      </c>
      <c r="AD35" s="676" t="str">
        <f t="shared" si="5"/>
        <v>５，８５２</v>
      </c>
      <c r="AE35" s="744" t="str">
        <f t="shared" si="5"/>
        <v>６，４４７</v>
      </c>
      <c r="AF35" s="673" t="str">
        <f t="shared" si="5"/>
        <v>５，９５６</v>
      </c>
      <c r="AG35" s="676" t="str">
        <f t="shared" si="5"/>
        <v>７，０３２</v>
      </c>
      <c r="AH35" s="676" t="str">
        <f t="shared" si="5"/>
        <v>８，１１９</v>
      </c>
      <c r="AI35" s="676" t="str">
        <f t="shared" si="5"/>
        <v>９，１９６</v>
      </c>
      <c r="AJ35" s="677" t="str">
        <f t="shared" si="5"/>
        <v>１０，２８２</v>
      </c>
      <c r="AK35" s="752" t="str">
        <f t="shared" si="5"/>
        <v>６，１０２</v>
      </c>
      <c r="AL35" s="676" t="str">
        <f t="shared" si="5"/>
        <v>７，２００</v>
      </c>
      <c r="AM35" s="676" t="str">
        <f t="shared" si="5"/>
        <v>８，３１８</v>
      </c>
      <c r="AN35" s="676" t="str">
        <f t="shared" si="5"/>
        <v>９，４１５</v>
      </c>
      <c r="AO35" s="744" t="str">
        <f t="shared" si="5"/>
        <v>１０，５３３</v>
      </c>
      <c r="AP35" s="673" t="str">
        <f t="shared" si="5"/>
        <v>６，８７６</v>
      </c>
      <c r="AQ35" s="676" t="str">
        <f t="shared" si="5"/>
        <v>８，１１９</v>
      </c>
      <c r="AR35" s="676" t="str">
        <f t="shared" si="5"/>
        <v>９，４０５</v>
      </c>
      <c r="AS35" s="676" t="str">
        <f t="shared" si="5"/>
        <v>１０，６９０</v>
      </c>
      <c r="AT35" s="677" t="str">
        <f t="shared" si="5"/>
        <v>１１，９９６</v>
      </c>
      <c r="AU35" s="673" t="str">
        <f t="shared" si="5"/>
        <v>６，９９１</v>
      </c>
      <c r="AV35" s="676" t="str">
        <f t="shared" si="5"/>
        <v>８，２６５</v>
      </c>
      <c r="AW35" s="676" t="str">
        <f t="shared" si="5"/>
        <v>９，５６１</v>
      </c>
      <c r="AX35" s="676" t="str">
        <f t="shared" si="5"/>
        <v>１０，８７８</v>
      </c>
      <c r="AY35" s="677" t="str">
        <f t="shared" si="5"/>
        <v>１２，２０５</v>
      </c>
      <c r="AZ35" s="678"/>
    </row>
    <row r="36" spans="1:52" ht="15" customHeight="1" thickBot="1">
      <c r="A36" s="1236" t="s">
        <v>158</v>
      </c>
      <c r="B36" s="1237"/>
      <c r="C36" s="1238" t="s">
        <v>164</v>
      </c>
      <c r="D36" s="1239"/>
      <c r="E36" s="1240"/>
      <c r="F36" s="613"/>
      <c r="G36" s="613"/>
      <c r="H36" s="613"/>
      <c r="I36" s="613"/>
      <c r="J36" s="613"/>
      <c r="K36" s="613"/>
      <c r="L36" s="613"/>
      <c r="M36" s="613"/>
      <c r="N36" s="621" t="s">
        <v>159</v>
      </c>
      <c r="P36" s="621" t="s">
        <v>2086</v>
      </c>
      <c r="T36" s="622" t="s">
        <v>135</v>
      </c>
      <c r="U36" s="705">
        <v>10.27</v>
      </c>
      <c r="V36" s="673" t="str">
        <f t="shared" si="5"/>
        <v>３，７９９</v>
      </c>
      <c r="W36" s="676" t="str">
        <f t="shared" si="5"/>
        <v>４，３４４</v>
      </c>
      <c r="X36" s="676" t="str">
        <f t="shared" si="5"/>
        <v>４，９１９</v>
      </c>
      <c r="Y36" s="676" t="str">
        <f t="shared" si="5"/>
        <v>５，４７３</v>
      </c>
      <c r="Z36" s="677" t="str">
        <f t="shared" si="5"/>
        <v>６，０３８</v>
      </c>
      <c r="AA36" s="752" t="str">
        <f t="shared" si="5"/>
        <v>３，９８４</v>
      </c>
      <c r="AB36" s="676" t="str">
        <f t="shared" si="5"/>
        <v>４，５５９</v>
      </c>
      <c r="AC36" s="676" t="str">
        <f t="shared" si="5"/>
        <v>５，１５５</v>
      </c>
      <c r="AD36" s="676" t="str">
        <f t="shared" si="5"/>
        <v>５，７５１</v>
      </c>
      <c r="AE36" s="744" t="str">
        <f t="shared" si="5"/>
        <v>６，３３６</v>
      </c>
      <c r="AF36" s="673" t="str">
        <f t="shared" si="5"/>
        <v>５，８５３</v>
      </c>
      <c r="AG36" s="676" t="str">
        <f t="shared" si="5"/>
        <v>６，９１１</v>
      </c>
      <c r="AH36" s="676" t="str">
        <f t="shared" si="5"/>
        <v>７，９７９</v>
      </c>
      <c r="AI36" s="676" t="str">
        <f t="shared" si="5"/>
        <v>９，０３７</v>
      </c>
      <c r="AJ36" s="677" t="str">
        <f t="shared" si="5"/>
        <v>１０，１０５</v>
      </c>
      <c r="AK36" s="752" t="str">
        <f t="shared" si="5"/>
        <v>５，９９７</v>
      </c>
      <c r="AL36" s="676" t="str">
        <f t="shared" si="5"/>
        <v>７，０７６</v>
      </c>
      <c r="AM36" s="676" t="str">
        <f t="shared" si="5"/>
        <v>８，１７４</v>
      </c>
      <c r="AN36" s="676" t="str">
        <f t="shared" si="5"/>
        <v>９，２５３</v>
      </c>
      <c r="AO36" s="744" t="str">
        <f t="shared" si="5"/>
        <v>１０，３５２</v>
      </c>
      <c r="AP36" s="673" t="str">
        <f t="shared" si="5"/>
        <v>６，７５７</v>
      </c>
      <c r="AQ36" s="676" t="str">
        <f t="shared" si="5"/>
        <v>７，９７９</v>
      </c>
      <c r="AR36" s="676" t="str">
        <f t="shared" si="5"/>
        <v>９，２４３</v>
      </c>
      <c r="AS36" s="676" t="str">
        <f t="shared" si="5"/>
        <v>１０，５０６</v>
      </c>
      <c r="AT36" s="677" t="str">
        <f t="shared" si="5"/>
        <v>１１，７８９</v>
      </c>
      <c r="AU36" s="673" t="str">
        <f t="shared" si="5"/>
        <v>６，８７０</v>
      </c>
      <c r="AV36" s="676" t="str">
        <f t="shared" si="5"/>
        <v>８，１２３</v>
      </c>
      <c r="AW36" s="676" t="str">
        <f t="shared" si="5"/>
        <v>９，３９７</v>
      </c>
      <c r="AX36" s="676" t="str">
        <f t="shared" si="5"/>
        <v>１０，６９１</v>
      </c>
      <c r="AY36" s="677" t="str">
        <f t="shared" si="5"/>
        <v>１１，９９５</v>
      </c>
      <c r="AZ36" s="678"/>
    </row>
    <row r="37" spans="1:52" ht="15" customHeight="1">
      <c r="A37" s="867"/>
      <c r="B37" s="867"/>
      <c r="C37" s="613"/>
      <c r="D37" s="613"/>
      <c r="E37" s="613"/>
      <c r="F37" s="613"/>
      <c r="G37" s="613"/>
      <c r="H37" s="1122" t="s">
        <v>2058</v>
      </c>
      <c r="I37" s="1122"/>
      <c r="J37" s="1128" t="s">
        <v>2073</v>
      </c>
      <c r="K37" s="1128"/>
      <c r="L37" s="613"/>
      <c r="M37" s="613"/>
      <c r="N37" s="622" t="s">
        <v>160</v>
      </c>
      <c r="P37" s="892" t="s">
        <v>770</v>
      </c>
      <c r="Q37" s="911">
        <v>16765</v>
      </c>
      <c r="T37" s="622" t="s">
        <v>138</v>
      </c>
      <c r="U37" s="705">
        <v>10.14</v>
      </c>
      <c r="V37" s="673" t="str">
        <f t="shared" si="5"/>
        <v>３，７５１</v>
      </c>
      <c r="W37" s="676" t="str">
        <f t="shared" si="5"/>
        <v>４，２８９</v>
      </c>
      <c r="X37" s="676" t="str">
        <f t="shared" si="5"/>
        <v>４，８５７</v>
      </c>
      <c r="Y37" s="676" t="str">
        <f t="shared" si="5"/>
        <v>５，４０４</v>
      </c>
      <c r="Z37" s="677" t="str">
        <f t="shared" si="5"/>
        <v>５，９６２</v>
      </c>
      <c r="AA37" s="752" t="str">
        <f t="shared" si="5"/>
        <v>３，９３４</v>
      </c>
      <c r="AB37" s="676" t="str">
        <f t="shared" si="5"/>
        <v>４，５０２</v>
      </c>
      <c r="AC37" s="676" t="str">
        <f t="shared" si="5"/>
        <v>５，０９０</v>
      </c>
      <c r="AD37" s="676" t="str">
        <f t="shared" si="5"/>
        <v>５，６７８</v>
      </c>
      <c r="AE37" s="744" t="str">
        <f t="shared" si="5"/>
        <v>６，２５６</v>
      </c>
      <c r="AF37" s="673" t="str">
        <f t="shared" si="5"/>
        <v>５，７７９</v>
      </c>
      <c r="AG37" s="676" t="str">
        <f t="shared" si="5"/>
        <v>６，８２４</v>
      </c>
      <c r="AH37" s="676" t="str">
        <f t="shared" si="5"/>
        <v>７，８７８</v>
      </c>
      <c r="AI37" s="676" t="str">
        <f t="shared" si="5"/>
        <v>８，９２３</v>
      </c>
      <c r="AJ37" s="677" t="str">
        <f t="shared" si="5"/>
        <v>９，９７７</v>
      </c>
      <c r="AK37" s="752" t="str">
        <f t="shared" si="5"/>
        <v>５，９２１</v>
      </c>
      <c r="AL37" s="676" t="str">
        <f t="shared" si="5"/>
        <v>６，９８６</v>
      </c>
      <c r="AM37" s="676" t="str">
        <f t="shared" si="5"/>
        <v>８，０７１</v>
      </c>
      <c r="AN37" s="676" t="str">
        <f t="shared" si="5"/>
        <v>９，１３６</v>
      </c>
      <c r="AO37" s="744" t="str">
        <f t="shared" si="5"/>
        <v>１０，２２１</v>
      </c>
      <c r="AP37" s="673" t="str">
        <f t="shared" si="5"/>
        <v>６，６７２</v>
      </c>
      <c r="AQ37" s="676" t="str">
        <f t="shared" si="5"/>
        <v>７，８７８</v>
      </c>
      <c r="AR37" s="676" t="str">
        <f t="shared" si="5"/>
        <v>９，１２６</v>
      </c>
      <c r="AS37" s="676" t="str">
        <f t="shared" si="5"/>
        <v>１０，３７３</v>
      </c>
      <c r="AT37" s="677" t="str">
        <f t="shared" si="5"/>
        <v>１１，６４０</v>
      </c>
      <c r="AU37" s="673" t="str">
        <f t="shared" si="5"/>
        <v>６，７８３</v>
      </c>
      <c r="AV37" s="676" t="str">
        <f t="shared" si="5"/>
        <v>８，０２０</v>
      </c>
      <c r="AW37" s="676" t="str">
        <f t="shared" si="5"/>
        <v>９，２７８</v>
      </c>
      <c r="AX37" s="676" t="str">
        <f t="shared" si="5"/>
        <v>１０，５５５</v>
      </c>
      <c r="AY37" s="677" t="str">
        <f t="shared" si="5"/>
        <v>１１，８４３</v>
      </c>
      <c r="AZ37" s="678"/>
    </row>
    <row r="38" spans="1:52" ht="15" customHeight="1" thickBot="1">
      <c r="A38" s="680" t="s">
        <v>2027</v>
      </c>
      <c r="B38" s="681"/>
      <c r="C38" s="613"/>
      <c r="D38" s="613"/>
      <c r="E38" s="613"/>
      <c r="F38" s="613"/>
      <c r="G38" s="613"/>
      <c r="H38" s="1122"/>
      <c r="I38" s="1122"/>
      <c r="J38" s="1128"/>
      <c r="K38" s="1128"/>
      <c r="L38" s="613"/>
      <c r="M38" s="613"/>
      <c r="N38" s="622" t="s">
        <v>161</v>
      </c>
      <c r="P38" s="892" t="s">
        <v>780</v>
      </c>
      <c r="Q38" s="911">
        <v>19705</v>
      </c>
      <c r="T38" s="622" t="s">
        <v>141</v>
      </c>
      <c r="U38" s="705">
        <v>10</v>
      </c>
      <c r="V38" s="682" t="str">
        <f t="shared" si="5"/>
        <v>３，７００</v>
      </c>
      <c r="W38" s="683" t="str">
        <f t="shared" si="5"/>
        <v>４，２３０</v>
      </c>
      <c r="X38" s="683" t="str">
        <f t="shared" si="5"/>
        <v>４，７９０</v>
      </c>
      <c r="Y38" s="683" t="str">
        <f t="shared" si="5"/>
        <v>５，３３０</v>
      </c>
      <c r="Z38" s="684" t="str">
        <f t="shared" si="5"/>
        <v>５，８８０</v>
      </c>
      <c r="AA38" s="753" t="str">
        <f t="shared" si="5"/>
        <v>３，８８０</v>
      </c>
      <c r="AB38" s="683" t="str">
        <f t="shared" si="5"/>
        <v>４，４４０</v>
      </c>
      <c r="AC38" s="683" t="str">
        <f t="shared" si="5"/>
        <v>５，０２０</v>
      </c>
      <c r="AD38" s="683" t="str">
        <f t="shared" si="5"/>
        <v>５，６００</v>
      </c>
      <c r="AE38" s="745" t="str">
        <f t="shared" si="5"/>
        <v>６，１７０</v>
      </c>
      <c r="AF38" s="682" t="str">
        <f t="shared" si="5"/>
        <v>５，７００</v>
      </c>
      <c r="AG38" s="683" t="str">
        <f t="shared" si="5"/>
        <v>６，７３０</v>
      </c>
      <c r="AH38" s="683" t="str">
        <f t="shared" si="5"/>
        <v>７，７７０</v>
      </c>
      <c r="AI38" s="683" t="str">
        <f t="shared" si="5"/>
        <v>８，８００</v>
      </c>
      <c r="AJ38" s="684" t="str">
        <f t="shared" si="5"/>
        <v>９，８４０</v>
      </c>
      <c r="AK38" s="753" t="str">
        <f t="shared" si="5"/>
        <v>５，８４０</v>
      </c>
      <c r="AL38" s="683" t="str">
        <f t="shared" si="5"/>
        <v>６，８９０</v>
      </c>
      <c r="AM38" s="683" t="str">
        <f t="shared" si="5"/>
        <v>７，９６０</v>
      </c>
      <c r="AN38" s="683" t="str">
        <f t="shared" si="5"/>
        <v>９，０１０</v>
      </c>
      <c r="AO38" s="745" t="str">
        <f t="shared" si="5"/>
        <v>１０，０８０</v>
      </c>
      <c r="AP38" s="682" t="str">
        <f t="shared" si="5"/>
        <v>６，５８０</v>
      </c>
      <c r="AQ38" s="683" t="str">
        <f t="shared" si="5"/>
        <v>７，７７０</v>
      </c>
      <c r="AR38" s="683" t="str">
        <f t="shared" si="5"/>
        <v>９，０００</v>
      </c>
      <c r="AS38" s="683" t="str">
        <f t="shared" si="5"/>
        <v>１０，２３０</v>
      </c>
      <c r="AT38" s="684" t="str">
        <f t="shared" si="5"/>
        <v>１１，４８０</v>
      </c>
      <c r="AU38" s="682" t="str">
        <f t="shared" si="5"/>
        <v>６，６９０</v>
      </c>
      <c r="AV38" s="683" t="str">
        <f t="shared" si="5"/>
        <v>７，９１０</v>
      </c>
      <c r="AW38" s="683" t="str">
        <f t="shared" si="5"/>
        <v>９，１５０</v>
      </c>
      <c r="AX38" s="683" t="str">
        <f t="shared" si="5"/>
        <v>１０，４１０</v>
      </c>
      <c r="AY38" s="684" t="str">
        <f t="shared" si="5"/>
        <v>１１，６８０</v>
      </c>
      <c r="AZ38" s="678"/>
    </row>
    <row r="39" spans="1:52" ht="15" customHeight="1">
      <c r="A39" s="680"/>
      <c r="B39" s="681"/>
      <c r="C39" s="685" t="s">
        <v>162</v>
      </c>
      <c r="D39" s="686" t="s">
        <v>138</v>
      </c>
      <c r="E39" s="687" t="s">
        <v>163</v>
      </c>
      <c r="F39" s="688">
        <f>VLOOKUP(D39,T19:U26,2,FALSE)</f>
        <v>10.14</v>
      </c>
      <c r="G39" s="613"/>
      <c r="H39" s="1123" t="s">
        <v>2059</v>
      </c>
      <c r="I39" s="1124"/>
      <c r="J39" s="947">
        <v>3500</v>
      </c>
      <c r="K39" s="940"/>
      <c r="L39" s="613"/>
      <c r="M39" s="613"/>
      <c r="N39" s="622" t="s">
        <v>164</v>
      </c>
      <c r="P39" s="892" t="s">
        <v>758</v>
      </c>
      <c r="Q39" s="914">
        <v>27048</v>
      </c>
      <c r="S39" s="689" t="s">
        <v>165</v>
      </c>
      <c r="T39" s="611">
        <v>1</v>
      </c>
      <c r="U39" s="611">
        <v>2</v>
      </c>
      <c r="V39" s="611">
        <v>3</v>
      </c>
      <c r="W39" s="611">
        <v>4</v>
      </c>
      <c r="X39" s="611">
        <v>5</v>
      </c>
      <c r="Y39" s="611">
        <v>6</v>
      </c>
      <c r="Z39" s="611">
        <v>7</v>
      </c>
      <c r="AA39" s="611">
        <v>8</v>
      </c>
      <c r="AB39" s="611">
        <v>9</v>
      </c>
      <c r="AC39" s="611">
        <v>10</v>
      </c>
      <c r="AD39" s="611">
        <v>11</v>
      </c>
      <c r="AE39" s="611">
        <v>12</v>
      </c>
      <c r="AF39" s="611">
        <v>13</v>
      </c>
      <c r="AG39" s="611">
        <v>14</v>
      </c>
      <c r="AH39" s="611">
        <v>15</v>
      </c>
      <c r="AI39" s="611">
        <v>16</v>
      </c>
      <c r="AJ39" s="611">
        <v>17</v>
      </c>
      <c r="AK39" s="611">
        <v>18</v>
      </c>
      <c r="AL39" s="611">
        <v>19</v>
      </c>
      <c r="AM39" s="611">
        <v>20</v>
      </c>
      <c r="AN39" s="611">
        <v>21</v>
      </c>
      <c r="AO39" s="611">
        <v>22</v>
      </c>
      <c r="AP39" s="611">
        <v>23</v>
      </c>
      <c r="AQ39" s="611">
        <v>24</v>
      </c>
      <c r="AR39" s="611">
        <v>25</v>
      </c>
      <c r="AS39" s="611">
        <v>26</v>
      </c>
      <c r="AT39" s="611">
        <v>27</v>
      </c>
      <c r="AU39" s="611">
        <v>28</v>
      </c>
      <c r="AV39" s="611">
        <v>29</v>
      </c>
      <c r="AW39" s="611">
        <v>30</v>
      </c>
      <c r="AX39" s="611">
        <v>31</v>
      </c>
      <c r="AY39" s="611">
        <v>32</v>
      </c>
    </row>
    <row r="40" spans="1:52" ht="15" customHeight="1">
      <c r="A40" s="862" t="s">
        <v>166</v>
      </c>
      <c r="B40" s="862" t="s">
        <v>119</v>
      </c>
      <c r="C40" s="690" t="s">
        <v>120</v>
      </c>
      <c r="D40" s="690" t="s">
        <v>121</v>
      </c>
      <c r="E40" s="690" t="s">
        <v>122</v>
      </c>
      <c r="F40" s="690" t="s">
        <v>123</v>
      </c>
      <c r="G40" s="613"/>
      <c r="H40" s="1123" t="s">
        <v>2060</v>
      </c>
      <c r="I40" s="1124"/>
      <c r="J40" s="947">
        <v>3500</v>
      </c>
      <c r="K40" s="940"/>
      <c r="L40" s="613"/>
      <c r="M40" s="613"/>
      <c r="N40" s="622" t="s">
        <v>167</v>
      </c>
      <c r="P40" s="892" t="s">
        <v>785</v>
      </c>
      <c r="Q40" s="915">
        <v>30938</v>
      </c>
    </row>
    <row r="41" spans="1:52" ht="15" customHeight="1">
      <c r="A41" s="862" t="s">
        <v>168</v>
      </c>
      <c r="B41" s="691" t="str">
        <f>VLOOKUP($D$39,$T$31:$Z$38,3,FALSE)</f>
        <v>３，７５１</v>
      </c>
      <c r="C41" s="691" t="str">
        <f>VLOOKUP($D$39,$T$31:$Z$38,4,FALSE)</f>
        <v>４，２８９</v>
      </c>
      <c r="D41" s="691" t="str">
        <f>VLOOKUP($D$39,$T$31:$Z$38,5,FALSE)</f>
        <v>４，８５７</v>
      </c>
      <c r="E41" s="691" t="str">
        <f>VLOOKUP($D$39,$T$31:$Z$38,6,FALSE)</f>
        <v>５，４０４</v>
      </c>
      <c r="F41" s="691" t="str">
        <f>VLOOKUP($D$39,$T$31:$Z$38,7,FALSE)</f>
        <v>５，９６２</v>
      </c>
      <c r="G41" s="613"/>
      <c r="H41" s="1123" t="s">
        <v>2061</v>
      </c>
      <c r="I41" s="1124"/>
      <c r="J41" s="947"/>
      <c r="K41" s="940"/>
      <c r="L41" s="613"/>
      <c r="M41" s="613"/>
      <c r="N41" s="622" t="s">
        <v>157</v>
      </c>
      <c r="P41" s="892" t="s">
        <v>790</v>
      </c>
      <c r="Q41" s="915">
        <v>36217</v>
      </c>
      <c r="T41" s="646"/>
      <c r="U41" s="659" t="s">
        <v>170</v>
      </c>
      <c r="V41" s="659" t="s">
        <v>171</v>
      </c>
      <c r="W41" s="692" t="s">
        <v>1836</v>
      </c>
      <c r="X41" s="692" t="s">
        <v>1825</v>
      </c>
      <c r="Y41" s="659" t="s">
        <v>172</v>
      </c>
      <c r="Z41" s="693" t="s">
        <v>173</v>
      </c>
      <c r="AA41" s="693" t="s">
        <v>174</v>
      </c>
      <c r="AB41" s="694" t="s">
        <v>1826</v>
      </c>
      <c r="AC41" s="694" t="s">
        <v>1827</v>
      </c>
      <c r="AD41" s="694" t="s">
        <v>176</v>
      </c>
      <c r="AE41" s="693" t="s">
        <v>177</v>
      </c>
      <c r="AF41" s="693" t="s">
        <v>178</v>
      </c>
      <c r="AG41" s="693" t="s">
        <v>179</v>
      </c>
      <c r="AH41" s="694" t="s">
        <v>180</v>
      </c>
      <c r="AI41" s="694" t="s">
        <v>1837</v>
      </c>
      <c r="AJ41" s="694" t="s">
        <v>1830</v>
      </c>
      <c r="AK41" s="694" t="s">
        <v>1831</v>
      </c>
      <c r="AL41" s="694" t="s">
        <v>1832</v>
      </c>
      <c r="AM41" s="694" t="s">
        <v>1833</v>
      </c>
      <c r="AN41" s="694" t="s">
        <v>181</v>
      </c>
      <c r="AO41" s="694" t="s">
        <v>182</v>
      </c>
      <c r="AP41" s="694" t="s">
        <v>1851</v>
      </c>
      <c r="AQ41" s="694" t="s">
        <v>1838</v>
      </c>
      <c r="AR41" s="659" t="s">
        <v>1839</v>
      </c>
      <c r="AS41" s="693" t="s">
        <v>184</v>
      </c>
      <c r="AT41" s="694" t="s">
        <v>1853</v>
      </c>
      <c r="AU41" s="942" t="s">
        <v>2071</v>
      </c>
    </row>
    <row r="42" spans="1:52" ht="15" customHeight="1">
      <c r="A42" s="862" t="s">
        <v>185</v>
      </c>
      <c r="B42" s="695" t="str">
        <f>VLOOKUP($D$39,$T$31:$AE$38,8,FALSE)</f>
        <v>３，９３４</v>
      </c>
      <c r="C42" s="695" t="str">
        <f>VLOOKUP($D$39,$T$31:$AE$38,9,FALSE)</f>
        <v>４，５０２</v>
      </c>
      <c r="D42" s="695" t="str">
        <f>VLOOKUP($D$39,$T$31:$AE$38,10,FALSE)</f>
        <v>５，０９０</v>
      </c>
      <c r="E42" s="695" t="str">
        <f>VLOOKUP($D$39,$T$31:$AE$38,11,FALSE)</f>
        <v>５，６７８</v>
      </c>
      <c r="F42" s="695" t="str">
        <f>VLOOKUP($D$39,$T$31:$AE$38,12,FALSE)</f>
        <v>６，２５６</v>
      </c>
      <c r="G42" s="613"/>
      <c r="H42" s="1123" t="s">
        <v>186</v>
      </c>
      <c r="I42" s="1124"/>
      <c r="J42" s="947">
        <v>300</v>
      </c>
      <c r="K42" s="940"/>
      <c r="L42" s="613"/>
      <c r="M42" s="613"/>
      <c r="T42" s="646"/>
      <c r="U42" s="659"/>
      <c r="V42" s="696">
        <v>47</v>
      </c>
      <c r="W42" s="694">
        <v>40</v>
      </c>
      <c r="X42" s="694">
        <v>55</v>
      </c>
      <c r="Y42" s="659">
        <v>60</v>
      </c>
      <c r="Z42" s="659">
        <v>60</v>
      </c>
      <c r="AA42" s="659">
        <v>45</v>
      </c>
      <c r="AB42" s="694">
        <v>56</v>
      </c>
      <c r="AC42" s="694">
        <v>85</v>
      </c>
      <c r="AD42" s="694">
        <v>20</v>
      </c>
      <c r="AE42" s="659">
        <v>22</v>
      </c>
      <c r="AF42" s="659">
        <v>18</v>
      </c>
      <c r="AG42" s="659">
        <v>6</v>
      </c>
      <c r="AH42" s="694">
        <v>200</v>
      </c>
      <c r="AI42" s="694">
        <v>50</v>
      </c>
      <c r="AJ42" s="694">
        <v>20</v>
      </c>
      <c r="AK42" s="694">
        <v>5</v>
      </c>
      <c r="AL42" s="694">
        <v>150</v>
      </c>
      <c r="AM42" s="694">
        <v>160</v>
      </c>
      <c r="AN42" s="694">
        <v>30</v>
      </c>
      <c r="AO42" s="694">
        <v>60</v>
      </c>
      <c r="AP42" s="694">
        <v>3</v>
      </c>
      <c r="AQ42" s="694">
        <v>100</v>
      </c>
      <c r="AR42" s="659">
        <f>IF(N57=0,200,100)</f>
        <v>100</v>
      </c>
      <c r="AS42" s="659">
        <v>50</v>
      </c>
      <c r="AT42" s="694">
        <v>40</v>
      </c>
      <c r="AU42" s="942">
        <v>94</v>
      </c>
    </row>
    <row r="43" spans="1:52" ht="15" customHeight="1">
      <c r="A43" s="862" t="s">
        <v>187</v>
      </c>
      <c r="B43" s="695" t="str">
        <f>VLOOKUP($D$39,$T$31:$AJ$38,13,FALSE)</f>
        <v>５，７７９</v>
      </c>
      <c r="C43" s="695" t="str">
        <f>VLOOKUP($D$39,$T$31:$AJ$38,14,FALSE)</f>
        <v>６，８２４</v>
      </c>
      <c r="D43" s="695" t="str">
        <f>VLOOKUP($D$39,$T$31:$AJ$38,15,FALSE)</f>
        <v>７，８７８</v>
      </c>
      <c r="E43" s="695" t="str">
        <f>VLOOKUP($D$39,$T$31:$AJ$38,16,FALSE)</f>
        <v>８，９２３</v>
      </c>
      <c r="F43" s="695" t="str">
        <f>VLOOKUP($D$39,$T$31:$AJ$38,17,FALSE)</f>
        <v>９，９７７</v>
      </c>
      <c r="G43" s="613"/>
      <c r="H43" s="1123" t="s">
        <v>188</v>
      </c>
      <c r="I43" s="1124"/>
      <c r="J43" s="947"/>
      <c r="K43" s="940"/>
      <c r="L43" s="613"/>
      <c r="M43" s="613"/>
      <c r="T43" s="659" t="s">
        <v>126</v>
      </c>
      <c r="U43" s="697">
        <v>10.9</v>
      </c>
      <c r="V43" s="698">
        <f>ROUNDDOWN($U43*V$42,0)</f>
        <v>512</v>
      </c>
      <c r="W43" s="699">
        <f t="shared" ref="W43:AP50" si="6">ROUNDDOWN($U43*W$42,0)</f>
        <v>436</v>
      </c>
      <c r="X43" s="699">
        <f t="shared" si="6"/>
        <v>599</v>
      </c>
      <c r="Y43" s="698">
        <f t="shared" si="6"/>
        <v>654</v>
      </c>
      <c r="Z43" s="698">
        <f t="shared" si="6"/>
        <v>654</v>
      </c>
      <c r="AA43" s="698">
        <f t="shared" si="6"/>
        <v>490</v>
      </c>
      <c r="AB43" s="699">
        <f t="shared" si="6"/>
        <v>610</v>
      </c>
      <c r="AC43" s="699">
        <f t="shared" si="6"/>
        <v>926</v>
      </c>
      <c r="AD43" s="699">
        <f t="shared" si="6"/>
        <v>218</v>
      </c>
      <c r="AE43" s="698">
        <f t="shared" si="6"/>
        <v>239</v>
      </c>
      <c r="AF43" s="698">
        <f t="shared" si="6"/>
        <v>196</v>
      </c>
      <c r="AG43" s="698">
        <f t="shared" si="6"/>
        <v>65</v>
      </c>
      <c r="AH43" s="699">
        <f t="shared" si="6"/>
        <v>2180</v>
      </c>
      <c r="AI43" s="699">
        <f t="shared" si="6"/>
        <v>545</v>
      </c>
      <c r="AJ43" s="699">
        <f t="shared" si="6"/>
        <v>218</v>
      </c>
      <c r="AK43" s="699">
        <f t="shared" si="6"/>
        <v>54</v>
      </c>
      <c r="AL43" s="699">
        <f t="shared" si="6"/>
        <v>1635</v>
      </c>
      <c r="AM43" s="699">
        <f t="shared" si="6"/>
        <v>1744</v>
      </c>
      <c r="AN43" s="699">
        <f t="shared" si="6"/>
        <v>327</v>
      </c>
      <c r="AO43" s="699">
        <f t="shared" si="6"/>
        <v>654</v>
      </c>
      <c r="AP43" s="699">
        <f t="shared" si="6"/>
        <v>32</v>
      </c>
      <c r="AQ43" s="699">
        <f t="shared" ref="AQ43:AU50" si="7">ROUNDDOWN($U43*AQ$42,0)</f>
        <v>1090</v>
      </c>
      <c r="AR43" s="698">
        <f t="shared" si="7"/>
        <v>1090</v>
      </c>
      <c r="AS43" s="698">
        <f t="shared" si="7"/>
        <v>545</v>
      </c>
      <c r="AT43" s="699">
        <f t="shared" si="7"/>
        <v>436</v>
      </c>
      <c r="AU43" s="943">
        <f t="shared" si="7"/>
        <v>1024</v>
      </c>
    </row>
    <row r="44" spans="1:52" ht="15" customHeight="1">
      <c r="A44" s="862" t="s">
        <v>189</v>
      </c>
      <c r="B44" s="695" t="str">
        <f>VLOOKUP($D$39,$T$31:$AO$38,18,FALSE)</f>
        <v>５，９２１</v>
      </c>
      <c r="C44" s="695" t="str">
        <f>VLOOKUP($D$39,$T$31:$AO$38,19,FALSE)</f>
        <v>６，９８６</v>
      </c>
      <c r="D44" s="695" t="str">
        <f>VLOOKUP($D$39,$T$31:$AO$38,20,FALSE)</f>
        <v>８，０７１</v>
      </c>
      <c r="E44" s="695" t="str">
        <f>VLOOKUP($D$39,$T$31:$AO$38,21,FALSE)</f>
        <v>９，１３６</v>
      </c>
      <c r="F44" s="695" t="str">
        <f>VLOOKUP($D$39,$T$31:$AO$38,22,FALSE)</f>
        <v>１０，２２１</v>
      </c>
      <c r="G44" s="613"/>
      <c r="H44" s="1123" t="s">
        <v>221</v>
      </c>
      <c r="I44" s="1124"/>
      <c r="J44" s="947">
        <v>570</v>
      </c>
      <c r="K44" s="940"/>
      <c r="L44" s="613"/>
      <c r="M44" s="613"/>
      <c r="T44" s="659" t="s">
        <v>128</v>
      </c>
      <c r="U44" s="697">
        <v>10.72</v>
      </c>
      <c r="V44" s="698">
        <f>ROUNDDOWN($U44*V$42,0)</f>
        <v>503</v>
      </c>
      <c r="W44" s="699">
        <f t="shared" si="6"/>
        <v>428</v>
      </c>
      <c r="X44" s="699">
        <f t="shared" si="6"/>
        <v>589</v>
      </c>
      <c r="Y44" s="698">
        <f t="shared" si="6"/>
        <v>643</v>
      </c>
      <c r="Z44" s="698">
        <f t="shared" si="6"/>
        <v>643</v>
      </c>
      <c r="AA44" s="698">
        <f t="shared" si="6"/>
        <v>482</v>
      </c>
      <c r="AB44" s="699">
        <f t="shared" si="6"/>
        <v>600</v>
      </c>
      <c r="AC44" s="699">
        <f t="shared" si="6"/>
        <v>911</v>
      </c>
      <c r="AD44" s="699">
        <f t="shared" si="6"/>
        <v>214</v>
      </c>
      <c r="AE44" s="698">
        <f t="shared" si="6"/>
        <v>235</v>
      </c>
      <c r="AF44" s="698">
        <f t="shared" si="6"/>
        <v>192</v>
      </c>
      <c r="AG44" s="698">
        <f t="shared" si="6"/>
        <v>64</v>
      </c>
      <c r="AH44" s="699">
        <f t="shared" si="6"/>
        <v>2144</v>
      </c>
      <c r="AI44" s="699">
        <f t="shared" si="6"/>
        <v>536</v>
      </c>
      <c r="AJ44" s="699">
        <f t="shared" si="6"/>
        <v>214</v>
      </c>
      <c r="AK44" s="699">
        <f t="shared" si="6"/>
        <v>53</v>
      </c>
      <c r="AL44" s="699">
        <f t="shared" si="6"/>
        <v>1608</v>
      </c>
      <c r="AM44" s="699">
        <f t="shared" si="6"/>
        <v>1715</v>
      </c>
      <c r="AN44" s="699">
        <f t="shared" si="6"/>
        <v>321</v>
      </c>
      <c r="AO44" s="699">
        <f t="shared" si="6"/>
        <v>643</v>
      </c>
      <c r="AP44" s="699">
        <f t="shared" si="6"/>
        <v>32</v>
      </c>
      <c r="AQ44" s="699">
        <f t="shared" si="7"/>
        <v>1072</v>
      </c>
      <c r="AR44" s="698">
        <f t="shared" si="7"/>
        <v>1072</v>
      </c>
      <c r="AS44" s="698">
        <f t="shared" si="7"/>
        <v>536</v>
      </c>
      <c r="AT44" s="699">
        <f t="shared" si="7"/>
        <v>428</v>
      </c>
      <c r="AU44" s="943">
        <f t="shared" si="7"/>
        <v>1007</v>
      </c>
    </row>
    <row r="45" spans="1:52" ht="15" customHeight="1">
      <c r="A45" s="862" t="s">
        <v>191</v>
      </c>
      <c r="B45" s="695" t="str">
        <f>VLOOKUP($D$39,$T$31:$AY$38,23,FALSE)</f>
        <v>６，６７２</v>
      </c>
      <c r="C45" s="695" t="str">
        <f>VLOOKUP($D$39,$T$31:$AY$38,24,FALSE)</f>
        <v>７，８７８</v>
      </c>
      <c r="D45" s="695" t="str">
        <f>VLOOKUP($D$39,$T$31:$AY$38,25,FALSE)</f>
        <v>９，１２６</v>
      </c>
      <c r="E45" s="695" t="str">
        <f>VLOOKUP($D$39,$T$31:$AY$38,26,FALSE)</f>
        <v>１０，３７３</v>
      </c>
      <c r="F45" s="695" t="str">
        <f>VLOOKUP($D$39,$T$31:$AY$38,27,FALSE)</f>
        <v>１１，６４０</v>
      </c>
      <c r="G45" s="613"/>
      <c r="H45" s="1123" t="s">
        <v>192</v>
      </c>
      <c r="I45" s="1124"/>
      <c r="J45" s="947">
        <v>630</v>
      </c>
      <c r="K45" s="940"/>
      <c r="L45" s="613"/>
      <c r="M45" s="613"/>
      <c r="T45" s="659" t="s">
        <v>130</v>
      </c>
      <c r="U45" s="697">
        <v>10.68</v>
      </c>
      <c r="V45" s="698">
        <f t="shared" ref="V45:V50" si="8">ROUNDDOWN($U45*V$42,0)</f>
        <v>501</v>
      </c>
      <c r="W45" s="699">
        <f t="shared" si="6"/>
        <v>427</v>
      </c>
      <c r="X45" s="699">
        <f t="shared" si="6"/>
        <v>587</v>
      </c>
      <c r="Y45" s="698">
        <f t="shared" si="6"/>
        <v>640</v>
      </c>
      <c r="Z45" s="698">
        <f t="shared" si="6"/>
        <v>640</v>
      </c>
      <c r="AA45" s="698">
        <f t="shared" si="6"/>
        <v>480</v>
      </c>
      <c r="AB45" s="699">
        <f t="shared" si="6"/>
        <v>598</v>
      </c>
      <c r="AC45" s="699">
        <f t="shared" si="6"/>
        <v>907</v>
      </c>
      <c r="AD45" s="699">
        <f t="shared" si="6"/>
        <v>213</v>
      </c>
      <c r="AE45" s="698">
        <f t="shared" si="6"/>
        <v>234</v>
      </c>
      <c r="AF45" s="698">
        <f t="shared" si="6"/>
        <v>192</v>
      </c>
      <c r="AG45" s="698">
        <f t="shared" si="6"/>
        <v>64</v>
      </c>
      <c r="AH45" s="699">
        <f t="shared" si="6"/>
        <v>2136</v>
      </c>
      <c r="AI45" s="699">
        <f t="shared" si="6"/>
        <v>534</v>
      </c>
      <c r="AJ45" s="699">
        <f t="shared" si="6"/>
        <v>213</v>
      </c>
      <c r="AK45" s="699">
        <f t="shared" si="6"/>
        <v>53</v>
      </c>
      <c r="AL45" s="699">
        <f t="shared" si="6"/>
        <v>1602</v>
      </c>
      <c r="AM45" s="699">
        <f t="shared" si="6"/>
        <v>1708</v>
      </c>
      <c r="AN45" s="699">
        <f t="shared" si="6"/>
        <v>320</v>
      </c>
      <c r="AO45" s="699">
        <f t="shared" si="6"/>
        <v>640</v>
      </c>
      <c r="AP45" s="699">
        <f t="shared" si="6"/>
        <v>32</v>
      </c>
      <c r="AQ45" s="699">
        <f t="shared" si="7"/>
        <v>1068</v>
      </c>
      <c r="AR45" s="698">
        <f t="shared" si="7"/>
        <v>1068</v>
      </c>
      <c r="AS45" s="698">
        <f t="shared" si="7"/>
        <v>534</v>
      </c>
      <c r="AT45" s="699">
        <f t="shared" si="7"/>
        <v>427</v>
      </c>
      <c r="AU45" s="943">
        <f t="shared" si="7"/>
        <v>1003</v>
      </c>
    </row>
    <row r="46" spans="1:52" ht="15" customHeight="1">
      <c r="A46" s="862" t="s">
        <v>193</v>
      </c>
      <c r="B46" s="695" t="str">
        <f>VLOOKUP($D$39,$T$31:$AY$38,28,FALSE)</f>
        <v>６，７８３</v>
      </c>
      <c r="C46" s="695" t="str">
        <f>VLOOKUP($D$39,$T$31:$AY$38,29,FALSE)</f>
        <v>８，０２０</v>
      </c>
      <c r="D46" s="695" t="str">
        <f>VLOOKUP($D$39,$T$31:$AY$38,30,FALSE)</f>
        <v>９，２７８</v>
      </c>
      <c r="E46" s="695" t="str">
        <f>VLOOKUP($D$39,$T$31:$AY$38,31,FALSE)</f>
        <v>１０，５５５</v>
      </c>
      <c r="F46" s="695" t="str">
        <f>VLOOKUP($D$39,$T$31:$AY$38,32,FALSE)</f>
        <v>１１，８４３</v>
      </c>
      <c r="G46" s="613"/>
      <c r="H46" s="1123" t="s">
        <v>2062</v>
      </c>
      <c r="I46" s="1124"/>
      <c r="J46" s="947">
        <v>100</v>
      </c>
      <c r="K46" s="940"/>
      <c r="L46" s="613"/>
      <c r="M46" s="613"/>
      <c r="T46" s="659" t="s">
        <v>131</v>
      </c>
      <c r="U46" s="697">
        <v>10.54</v>
      </c>
      <c r="V46" s="698">
        <f t="shared" si="8"/>
        <v>495</v>
      </c>
      <c r="W46" s="699">
        <f t="shared" si="6"/>
        <v>421</v>
      </c>
      <c r="X46" s="699">
        <f t="shared" si="6"/>
        <v>579</v>
      </c>
      <c r="Y46" s="698">
        <f t="shared" si="6"/>
        <v>632</v>
      </c>
      <c r="Z46" s="698">
        <f t="shared" si="6"/>
        <v>632</v>
      </c>
      <c r="AA46" s="698">
        <f t="shared" si="6"/>
        <v>474</v>
      </c>
      <c r="AB46" s="699">
        <f t="shared" si="6"/>
        <v>590</v>
      </c>
      <c r="AC46" s="699">
        <f t="shared" si="6"/>
        <v>895</v>
      </c>
      <c r="AD46" s="699">
        <f t="shared" si="6"/>
        <v>210</v>
      </c>
      <c r="AE46" s="698">
        <f t="shared" si="6"/>
        <v>231</v>
      </c>
      <c r="AF46" s="698">
        <f t="shared" si="6"/>
        <v>189</v>
      </c>
      <c r="AG46" s="698">
        <f t="shared" si="6"/>
        <v>63</v>
      </c>
      <c r="AH46" s="699">
        <f>ROUNDDOWN($U46*AH$42,0)</f>
        <v>2108</v>
      </c>
      <c r="AI46" s="699">
        <f t="shared" si="6"/>
        <v>527</v>
      </c>
      <c r="AJ46" s="699">
        <f t="shared" si="6"/>
        <v>210</v>
      </c>
      <c r="AK46" s="699">
        <f t="shared" si="6"/>
        <v>52</v>
      </c>
      <c r="AL46" s="699">
        <f t="shared" si="6"/>
        <v>1581</v>
      </c>
      <c r="AM46" s="699">
        <f t="shared" si="6"/>
        <v>1686</v>
      </c>
      <c r="AN46" s="699">
        <f t="shared" si="6"/>
        <v>316</v>
      </c>
      <c r="AO46" s="699">
        <f t="shared" si="6"/>
        <v>632</v>
      </c>
      <c r="AP46" s="699">
        <f t="shared" si="6"/>
        <v>31</v>
      </c>
      <c r="AQ46" s="699">
        <f t="shared" si="7"/>
        <v>1054</v>
      </c>
      <c r="AR46" s="698">
        <f t="shared" si="7"/>
        <v>1054</v>
      </c>
      <c r="AS46" s="698">
        <f t="shared" si="7"/>
        <v>527</v>
      </c>
      <c r="AT46" s="699">
        <f t="shared" si="7"/>
        <v>421</v>
      </c>
      <c r="AU46" s="943">
        <f t="shared" si="7"/>
        <v>990</v>
      </c>
    </row>
    <row r="47" spans="1:52" ht="15" customHeight="1">
      <c r="A47" s="867"/>
      <c r="B47" s="867"/>
      <c r="C47" s="613"/>
      <c r="D47" s="613"/>
      <c r="E47" s="613"/>
      <c r="F47" s="613"/>
      <c r="G47" s="613"/>
      <c r="H47" s="1123" t="s">
        <v>2063</v>
      </c>
      <c r="I47" s="1124"/>
      <c r="J47" s="947">
        <v>50</v>
      </c>
      <c r="K47" s="940"/>
      <c r="L47" s="613"/>
      <c r="M47" s="613"/>
      <c r="T47" s="659" t="s">
        <v>132</v>
      </c>
      <c r="U47" s="697">
        <v>10.45</v>
      </c>
      <c r="V47" s="698">
        <f t="shared" si="8"/>
        <v>491</v>
      </c>
      <c r="W47" s="699">
        <f t="shared" si="6"/>
        <v>418</v>
      </c>
      <c r="X47" s="699">
        <f t="shared" si="6"/>
        <v>574</v>
      </c>
      <c r="Y47" s="698">
        <f t="shared" si="6"/>
        <v>627</v>
      </c>
      <c r="Z47" s="698">
        <f t="shared" si="6"/>
        <v>627</v>
      </c>
      <c r="AA47" s="698">
        <f t="shared" si="6"/>
        <v>470</v>
      </c>
      <c r="AB47" s="699">
        <f t="shared" si="6"/>
        <v>585</v>
      </c>
      <c r="AC47" s="699">
        <f t="shared" si="6"/>
        <v>888</v>
      </c>
      <c r="AD47" s="699">
        <f t="shared" si="6"/>
        <v>209</v>
      </c>
      <c r="AE47" s="698">
        <f t="shared" si="6"/>
        <v>229</v>
      </c>
      <c r="AF47" s="698">
        <f t="shared" si="6"/>
        <v>188</v>
      </c>
      <c r="AG47" s="698">
        <f t="shared" si="6"/>
        <v>62</v>
      </c>
      <c r="AH47" s="699">
        <f t="shared" si="6"/>
        <v>2090</v>
      </c>
      <c r="AI47" s="699">
        <f t="shared" si="6"/>
        <v>522</v>
      </c>
      <c r="AJ47" s="699">
        <f t="shared" si="6"/>
        <v>209</v>
      </c>
      <c r="AK47" s="699">
        <f t="shared" si="6"/>
        <v>52</v>
      </c>
      <c r="AL47" s="699">
        <f t="shared" si="6"/>
        <v>1567</v>
      </c>
      <c r="AM47" s="699">
        <f t="shared" si="6"/>
        <v>1672</v>
      </c>
      <c r="AN47" s="699">
        <f t="shared" si="6"/>
        <v>313</v>
      </c>
      <c r="AO47" s="699">
        <f t="shared" si="6"/>
        <v>627</v>
      </c>
      <c r="AP47" s="699">
        <f t="shared" si="6"/>
        <v>31</v>
      </c>
      <c r="AQ47" s="699">
        <f t="shared" si="7"/>
        <v>1045</v>
      </c>
      <c r="AR47" s="698">
        <f t="shared" si="7"/>
        <v>1045</v>
      </c>
      <c r="AS47" s="698">
        <f t="shared" si="7"/>
        <v>522</v>
      </c>
      <c r="AT47" s="699">
        <f t="shared" si="7"/>
        <v>418</v>
      </c>
      <c r="AU47" s="943">
        <f t="shared" si="7"/>
        <v>982</v>
      </c>
    </row>
    <row r="48" spans="1:52" ht="15" customHeight="1">
      <c r="A48" s="1108" t="s">
        <v>170</v>
      </c>
      <c r="B48" s="1108"/>
      <c r="C48" s="700" t="s">
        <v>194</v>
      </c>
      <c r="D48" s="701" t="s">
        <v>195</v>
      </c>
      <c r="E48" s="701" t="s">
        <v>196</v>
      </c>
      <c r="F48" s="613"/>
      <c r="G48" s="613"/>
      <c r="H48" s="1123" t="s">
        <v>197</v>
      </c>
      <c r="I48" s="1124"/>
      <c r="J48" s="947">
        <v>2000</v>
      </c>
      <c r="K48" s="940"/>
      <c r="L48" s="613"/>
      <c r="M48" s="613"/>
      <c r="T48" s="659" t="s">
        <v>135</v>
      </c>
      <c r="U48" s="697">
        <v>10.27</v>
      </c>
      <c r="V48" s="698">
        <f t="shared" si="8"/>
        <v>482</v>
      </c>
      <c r="W48" s="699">
        <f t="shared" si="6"/>
        <v>410</v>
      </c>
      <c r="X48" s="699">
        <f t="shared" si="6"/>
        <v>564</v>
      </c>
      <c r="Y48" s="698">
        <f t="shared" si="6"/>
        <v>616</v>
      </c>
      <c r="Z48" s="698">
        <f t="shared" si="6"/>
        <v>616</v>
      </c>
      <c r="AA48" s="698">
        <f t="shared" si="6"/>
        <v>462</v>
      </c>
      <c r="AB48" s="699">
        <f t="shared" si="6"/>
        <v>575</v>
      </c>
      <c r="AC48" s="699">
        <f t="shared" si="6"/>
        <v>872</v>
      </c>
      <c r="AD48" s="699">
        <f t="shared" si="6"/>
        <v>205</v>
      </c>
      <c r="AE48" s="698">
        <f t="shared" si="6"/>
        <v>225</v>
      </c>
      <c r="AF48" s="698">
        <f t="shared" si="6"/>
        <v>184</v>
      </c>
      <c r="AG48" s="698">
        <f t="shared" si="6"/>
        <v>61</v>
      </c>
      <c r="AH48" s="699">
        <f t="shared" si="6"/>
        <v>2054</v>
      </c>
      <c r="AI48" s="699">
        <f t="shared" si="6"/>
        <v>513</v>
      </c>
      <c r="AJ48" s="699">
        <f t="shared" si="6"/>
        <v>205</v>
      </c>
      <c r="AK48" s="699">
        <f t="shared" si="6"/>
        <v>51</v>
      </c>
      <c r="AL48" s="699">
        <f t="shared" si="6"/>
        <v>1540</v>
      </c>
      <c r="AM48" s="699">
        <f t="shared" si="6"/>
        <v>1643</v>
      </c>
      <c r="AN48" s="699">
        <f t="shared" si="6"/>
        <v>308</v>
      </c>
      <c r="AO48" s="699">
        <f t="shared" si="6"/>
        <v>616</v>
      </c>
      <c r="AP48" s="699">
        <f t="shared" si="6"/>
        <v>30</v>
      </c>
      <c r="AQ48" s="699">
        <f t="shared" si="7"/>
        <v>1027</v>
      </c>
      <c r="AR48" s="698">
        <f t="shared" si="7"/>
        <v>1027</v>
      </c>
      <c r="AS48" s="698">
        <f t="shared" si="7"/>
        <v>513</v>
      </c>
      <c r="AT48" s="699">
        <f t="shared" si="7"/>
        <v>410</v>
      </c>
      <c r="AU48" s="943">
        <f t="shared" si="7"/>
        <v>965</v>
      </c>
    </row>
    <row r="49" spans="1:47" ht="15" customHeight="1">
      <c r="A49" s="1084" t="s">
        <v>1925</v>
      </c>
      <c r="B49" s="1085"/>
      <c r="C49" s="979" t="s">
        <v>76</v>
      </c>
      <c r="D49" s="695" t="str">
        <f>DBCS(W42)</f>
        <v>４０</v>
      </c>
      <c r="E49" s="695" t="str">
        <f>VLOOKUP($D$39,$T$54:$AS$61,4,FALSE)</f>
        <v>４０５</v>
      </c>
      <c r="F49" s="613"/>
      <c r="G49" s="613"/>
      <c r="H49" s="613"/>
      <c r="I49" s="613"/>
      <c r="J49" s="613"/>
      <c r="K49" s="613"/>
      <c r="L49" s="613"/>
      <c r="M49" s="613"/>
      <c r="T49" s="659" t="s">
        <v>138</v>
      </c>
      <c r="U49" s="697">
        <v>10.14</v>
      </c>
      <c r="V49" s="698">
        <f t="shared" si="8"/>
        <v>476</v>
      </c>
      <c r="W49" s="699">
        <f t="shared" si="6"/>
        <v>405</v>
      </c>
      <c r="X49" s="699">
        <f t="shared" si="6"/>
        <v>557</v>
      </c>
      <c r="Y49" s="698">
        <f t="shared" si="6"/>
        <v>608</v>
      </c>
      <c r="Z49" s="698">
        <f t="shared" si="6"/>
        <v>608</v>
      </c>
      <c r="AA49" s="698">
        <f t="shared" si="6"/>
        <v>456</v>
      </c>
      <c r="AB49" s="699">
        <f t="shared" si="6"/>
        <v>567</v>
      </c>
      <c r="AC49" s="699">
        <f t="shared" si="6"/>
        <v>861</v>
      </c>
      <c r="AD49" s="699">
        <f t="shared" si="6"/>
        <v>202</v>
      </c>
      <c r="AE49" s="698">
        <f t="shared" si="6"/>
        <v>223</v>
      </c>
      <c r="AF49" s="698">
        <f t="shared" si="6"/>
        <v>182</v>
      </c>
      <c r="AG49" s="698">
        <f t="shared" si="6"/>
        <v>60</v>
      </c>
      <c r="AH49" s="699">
        <f t="shared" si="6"/>
        <v>2028</v>
      </c>
      <c r="AI49" s="699">
        <f t="shared" si="6"/>
        <v>507</v>
      </c>
      <c r="AJ49" s="699">
        <f t="shared" si="6"/>
        <v>202</v>
      </c>
      <c r="AK49" s="699">
        <f t="shared" si="6"/>
        <v>50</v>
      </c>
      <c r="AL49" s="699">
        <f t="shared" si="6"/>
        <v>1521</v>
      </c>
      <c r="AM49" s="699">
        <f t="shared" si="6"/>
        <v>1622</v>
      </c>
      <c r="AN49" s="699">
        <f t="shared" si="6"/>
        <v>304</v>
      </c>
      <c r="AO49" s="699">
        <f t="shared" si="6"/>
        <v>608</v>
      </c>
      <c r="AP49" s="699">
        <f t="shared" si="6"/>
        <v>30</v>
      </c>
      <c r="AQ49" s="699">
        <f t="shared" si="7"/>
        <v>1014</v>
      </c>
      <c r="AR49" s="698">
        <f t="shared" si="7"/>
        <v>1014</v>
      </c>
      <c r="AS49" s="698">
        <f t="shared" si="7"/>
        <v>507</v>
      </c>
      <c r="AT49" s="699">
        <f t="shared" si="7"/>
        <v>405</v>
      </c>
      <c r="AU49" s="943">
        <f t="shared" si="7"/>
        <v>953</v>
      </c>
    </row>
    <row r="50" spans="1:47" ht="15" customHeight="1">
      <c r="A50" s="1084" t="s">
        <v>1926</v>
      </c>
      <c r="B50" s="1085"/>
      <c r="C50" s="979" t="s">
        <v>76</v>
      </c>
      <c r="D50" s="695" t="str">
        <f>DBCS(X42)</f>
        <v>５５</v>
      </c>
      <c r="E50" s="695" t="str">
        <f>VLOOKUP($D$39,$T$54:$AS$61,5,FALSE)</f>
        <v>５５７</v>
      </c>
      <c r="F50" s="613"/>
      <c r="G50" s="613"/>
      <c r="H50" s="1108" t="s">
        <v>170</v>
      </c>
      <c r="I50" s="1108"/>
      <c r="J50" s="1108"/>
      <c r="K50" s="701" t="s">
        <v>195</v>
      </c>
      <c r="L50" s="701" t="s">
        <v>196</v>
      </c>
      <c r="M50" s="613"/>
      <c r="R50" s="611"/>
      <c r="S50" s="611"/>
      <c r="T50" s="659" t="s">
        <v>141</v>
      </c>
      <c r="U50" s="697">
        <v>10</v>
      </c>
      <c r="V50" s="698">
        <f t="shared" si="8"/>
        <v>470</v>
      </c>
      <c r="W50" s="699">
        <f t="shared" si="6"/>
        <v>400</v>
      </c>
      <c r="X50" s="699">
        <f t="shared" si="6"/>
        <v>550</v>
      </c>
      <c r="Y50" s="698">
        <f t="shared" si="6"/>
        <v>600</v>
      </c>
      <c r="Z50" s="698">
        <f t="shared" si="6"/>
        <v>600</v>
      </c>
      <c r="AA50" s="698">
        <f t="shared" si="6"/>
        <v>450</v>
      </c>
      <c r="AB50" s="699">
        <f t="shared" si="6"/>
        <v>560</v>
      </c>
      <c r="AC50" s="699">
        <f t="shared" si="6"/>
        <v>850</v>
      </c>
      <c r="AD50" s="699">
        <f t="shared" si="6"/>
        <v>200</v>
      </c>
      <c r="AE50" s="698">
        <f t="shared" si="6"/>
        <v>220</v>
      </c>
      <c r="AF50" s="698">
        <f t="shared" si="6"/>
        <v>180</v>
      </c>
      <c r="AG50" s="698">
        <f t="shared" si="6"/>
        <v>60</v>
      </c>
      <c r="AH50" s="699">
        <f t="shared" si="6"/>
        <v>2000</v>
      </c>
      <c r="AI50" s="699">
        <f t="shared" si="6"/>
        <v>500</v>
      </c>
      <c r="AJ50" s="699">
        <f t="shared" si="6"/>
        <v>200</v>
      </c>
      <c r="AK50" s="699">
        <f t="shared" si="6"/>
        <v>50</v>
      </c>
      <c r="AL50" s="699">
        <f t="shared" si="6"/>
        <v>1500</v>
      </c>
      <c r="AM50" s="699">
        <f t="shared" si="6"/>
        <v>1600</v>
      </c>
      <c r="AN50" s="699">
        <f t="shared" si="6"/>
        <v>300</v>
      </c>
      <c r="AO50" s="699">
        <f t="shared" si="6"/>
        <v>600</v>
      </c>
      <c r="AP50" s="699">
        <f t="shared" si="6"/>
        <v>30</v>
      </c>
      <c r="AQ50" s="699">
        <f t="shared" si="7"/>
        <v>1000</v>
      </c>
      <c r="AR50" s="698">
        <f t="shared" si="7"/>
        <v>1000</v>
      </c>
      <c r="AS50" s="698">
        <f t="shared" si="7"/>
        <v>500</v>
      </c>
      <c r="AT50" s="699">
        <f t="shared" si="7"/>
        <v>400</v>
      </c>
      <c r="AU50" s="943">
        <f t="shared" si="7"/>
        <v>940</v>
      </c>
    </row>
    <row r="51" spans="1:47" ht="15" customHeight="1">
      <c r="A51" s="1084" t="s">
        <v>1927</v>
      </c>
      <c r="B51" s="1085"/>
      <c r="C51" s="979"/>
      <c r="D51" s="695" t="str">
        <f>DBCS(Y42)</f>
        <v>６０</v>
      </c>
      <c r="E51" s="695" t="str">
        <f>VLOOKUP($D$39,$T$54:$AS$61,6,FALSE)</f>
        <v>６０８</v>
      </c>
      <c r="F51" s="613"/>
      <c r="G51" s="613"/>
      <c r="H51" s="1084" t="s">
        <v>200</v>
      </c>
      <c r="I51" s="1109"/>
      <c r="J51" s="1085"/>
      <c r="K51" s="695" t="str">
        <f>DBCS(V42)</f>
        <v>４７</v>
      </c>
      <c r="L51" s="695" t="str">
        <f>VLOOKUP($D$39,$T$54:$AK$61,3,FALSE)</f>
        <v>４７６</v>
      </c>
      <c r="M51" s="613"/>
      <c r="N51" s="621" t="s">
        <v>201</v>
      </c>
      <c r="AU51" s="1"/>
    </row>
    <row r="52" spans="1:47" ht="15" customHeight="1">
      <c r="A52" s="1084" t="s">
        <v>1928</v>
      </c>
      <c r="B52" s="1085"/>
      <c r="C52" s="979" t="s">
        <v>76</v>
      </c>
      <c r="D52" s="695" t="str">
        <f>DBCS(Z42)</f>
        <v>６０</v>
      </c>
      <c r="E52" s="695" t="str">
        <f>VLOOKUP($D$39,$T$54:$AS$61,7,FALSE)</f>
        <v>６０８</v>
      </c>
      <c r="F52" s="613"/>
      <c r="G52" s="613"/>
      <c r="H52" s="1125" t="s">
        <v>2070</v>
      </c>
      <c r="I52" s="1126"/>
      <c r="J52" s="1127"/>
      <c r="K52" s="945" t="str">
        <f>DBCS(AU42)</f>
        <v>９４</v>
      </c>
      <c r="L52" s="945" t="str">
        <f>VLOOKUP($D$39,$T$54:$AU$61,28,FALSE)</f>
        <v>９５３</v>
      </c>
      <c r="M52" s="613"/>
      <c r="N52" s="611" t="s">
        <v>202</v>
      </c>
      <c r="O52" s="621" t="s">
        <v>71</v>
      </c>
      <c r="S52" s="611"/>
      <c r="AU52" s="1"/>
    </row>
    <row r="53" spans="1:47" ht="15" customHeight="1">
      <c r="A53" s="1084" t="s">
        <v>1929</v>
      </c>
      <c r="B53" s="1085"/>
      <c r="C53" s="979"/>
      <c r="D53" s="695" t="str">
        <f>DBCS(AA42)</f>
        <v>４５</v>
      </c>
      <c r="E53" s="695" t="str">
        <f>VLOOKUP($D$39,$T$54:$AS$61,8,FALSE)</f>
        <v>４５６</v>
      </c>
      <c r="F53" s="613"/>
      <c r="G53" s="613"/>
      <c r="H53" s="613"/>
      <c r="I53" s="613"/>
      <c r="J53" s="613"/>
      <c r="K53" s="613"/>
      <c r="L53" s="613"/>
      <c r="M53" s="613"/>
      <c r="N53" s="702">
        <f>IF(C54="有",1,0)</f>
        <v>1</v>
      </c>
      <c r="O53" s="622" t="s">
        <v>212</v>
      </c>
      <c r="P53" s="702">
        <v>56</v>
      </c>
      <c r="Q53" s="1110" t="s">
        <v>204</v>
      </c>
      <c r="R53" s="1110"/>
      <c r="S53" s="1110"/>
      <c r="T53" s="612"/>
      <c r="U53" s="622" t="s">
        <v>170</v>
      </c>
      <c r="V53" s="622" t="s">
        <v>171</v>
      </c>
      <c r="W53" s="692" t="s">
        <v>1836</v>
      </c>
      <c r="X53" s="692" t="s">
        <v>1825</v>
      </c>
      <c r="Y53" s="622" t="s">
        <v>172</v>
      </c>
      <c r="Z53" s="703" t="s">
        <v>199</v>
      </c>
      <c r="AA53" s="703" t="s">
        <v>174</v>
      </c>
      <c r="AB53" s="692" t="s">
        <v>175</v>
      </c>
      <c r="AC53" s="694" t="s">
        <v>1827</v>
      </c>
      <c r="AD53" s="692" t="s">
        <v>176</v>
      </c>
      <c r="AE53" s="703" t="s">
        <v>205</v>
      </c>
      <c r="AF53" s="703" t="s">
        <v>206</v>
      </c>
      <c r="AG53" s="703" t="s">
        <v>207</v>
      </c>
      <c r="AH53" s="692" t="s">
        <v>180</v>
      </c>
      <c r="AI53" s="694" t="s">
        <v>1837</v>
      </c>
      <c r="AJ53" s="692" t="s">
        <v>1830</v>
      </c>
      <c r="AK53" s="692" t="s">
        <v>1831</v>
      </c>
      <c r="AL53" s="692" t="s">
        <v>1832</v>
      </c>
      <c r="AM53" s="692" t="s">
        <v>1833</v>
      </c>
      <c r="AN53" s="692" t="s">
        <v>208</v>
      </c>
      <c r="AO53" s="692" t="s">
        <v>209</v>
      </c>
      <c r="AP53" s="692" t="s">
        <v>209</v>
      </c>
      <c r="AQ53" s="694" t="s">
        <v>1838</v>
      </c>
      <c r="AR53" s="703" t="s">
        <v>183</v>
      </c>
      <c r="AS53" s="703" t="s">
        <v>184</v>
      </c>
      <c r="AT53" s="692" t="s">
        <v>1854</v>
      </c>
      <c r="AU53" s="942" t="s">
        <v>2071</v>
      </c>
    </row>
    <row r="54" spans="1:47" ht="15" customHeight="1">
      <c r="A54" s="1084" t="s">
        <v>1930</v>
      </c>
      <c r="B54" s="1085"/>
      <c r="C54" s="979" t="s">
        <v>76</v>
      </c>
      <c r="D54" s="695" t="str">
        <f>DBCS(AB42)</f>
        <v>５６</v>
      </c>
      <c r="E54" s="695" t="str">
        <f>VLOOKUP($D$39,$T$54:$AS$61,9,FALSE)</f>
        <v>５６７</v>
      </c>
      <c r="F54" s="613"/>
      <c r="G54" s="613"/>
      <c r="H54" s="613"/>
      <c r="I54" s="613"/>
      <c r="J54" s="613"/>
      <c r="K54" s="613"/>
      <c r="L54" s="613"/>
      <c r="M54" s="613"/>
      <c r="N54" s="702">
        <f>IF(C55="有",1,0)</f>
        <v>0</v>
      </c>
      <c r="O54" s="622" t="s">
        <v>214</v>
      </c>
      <c r="P54" s="702">
        <v>85</v>
      </c>
      <c r="Q54" s="1110" t="s">
        <v>211</v>
      </c>
      <c r="R54" s="1110"/>
      <c r="S54" s="1110"/>
      <c r="T54" s="704" t="s">
        <v>126</v>
      </c>
      <c r="U54" s="705">
        <v>10.9</v>
      </c>
      <c r="V54" s="706" t="str">
        <f>DBCS(TEXT(V43,"###,##0"))</f>
        <v>５１２</v>
      </c>
      <c r="W54" s="707" t="str">
        <f>DBCS(TEXT(W43,"###,##0"))</f>
        <v>４３６</v>
      </c>
      <c r="X54" s="707" t="str">
        <f>DBCS(TEXT(X43,"###,##0"))</f>
        <v>５９９</v>
      </c>
      <c r="Y54" s="708" t="str">
        <f>DBCS(TEXT(Y43,"###,##0"))</f>
        <v>６５４</v>
      </c>
      <c r="Z54" s="708" t="str">
        <f t="shared" ref="Y54:AO61" si="9">DBCS(TEXT(Z43,"###,##0"))</f>
        <v>６５４</v>
      </c>
      <c r="AA54" s="708" t="str">
        <f t="shared" si="9"/>
        <v>４９０</v>
      </c>
      <c r="AB54" s="707" t="str">
        <f t="shared" si="9"/>
        <v>６１０</v>
      </c>
      <c r="AC54" s="707" t="str">
        <f t="shared" si="9"/>
        <v>９２６</v>
      </c>
      <c r="AD54" s="707" t="str">
        <f t="shared" si="9"/>
        <v>２１８</v>
      </c>
      <c r="AE54" s="708" t="str">
        <f t="shared" si="9"/>
        <v>２３９</v>
      </c>
      <c r="AF54" s="708" t="str">
        <f t="shared" si="9"/>
        <v>１９６</v>
      </c>
      <c r="AG54" s="708" t="str">
        <f t="shared" si="9"/>
        <v>６５</v>
      </c>
      <c r="AH54" s="707" t="str">
        <f t="shared" si="9"/>
        <v>２，１８０</v>
      </c>
      <c r="AI54" s="707" t="str">
        <f t="shared" si="9"/>
        <v>５４５</v>
      </c>
      <c r="AJ54" s="707" t="str">
        <f t="shared" si="9"/>
        <v>２１８</v>
      </c>
      <c r="AK54" s="707" t="str">
        <f t="shared" si="9"/>
        <v>５４</v>
      </c>
      <c r="AL54" s="707" t="str">
        <f t="shared" si="9"/>
        <v>１，６３５</v>
      </c>
      <c r="AM54" s="707" t="str">
        <f t="shared" si="9"/>
        <v>１，７４４</v>
      </c>
      <c r="AN54" s="707" t="str">
        <f t="shared" si="9"/>
        <v>３２７</v>
      </c>
      <c r="AO54" s="707" t="str">
        <f t="shared" si="9"/>
        <v>６５４</v>
      </c>
      <c r="AP54" s="707" t="str">
        <f t="shared" ref="AP54" si="10">DBCS(TEXT(AP43,"###,##0"))</f>
        <v>３２</v>
      </c>
      <c r="AQ54" s="707" t="str">
        <f t="shared" ref="AQ54:AU61" si="11">DBCS(TEXT(AQ43,"###,##0"))</f>
        <v>１，０９０</v>
      </c>
      <c r="AR54" s="708" t="str">
        <f t="shared" si="11"/>
        <v>１，０９０</v>
      </c>
      <c r="AS54" s="708" t="str">
        <f t="shared" si="11"/>
        <v>５４５</v>
      </c>
      <c r="AT54" s="707" t="str">
        <f t="shared" si="11"/>
        <v>４３６</v>
      </c>
      <c r="AU54" s="944" t="str">
        <f t="shared" si="11"/>
        <v>１，０２４</v>
      </c>
    </row>
    <row r="55" spans="1:47" ht="15" customHeight="1">
      <c r="A55" s="1084" t="s">
        <v>1931</v>
      </c>
      <c r="B55" s="1085"/>
      <c r="C55" s="979"/>
      <c r="D55" s="695" t="str">
        <f>DBCS(AC42)</f>
        <v>８５</v>
      </c>
      <c r="E55" s="695" t="str">
        <f>VLOOKUP($D$39,$T$54:$AS$61,10,FALSE)</f>
        <v>８６１</v>
      </c>
      <c r="F55" s="613"/>
      <c r="G55" s="613"/>
      <c r="H55" s="613"/>
      <c r="I55" s="613"/>
      <c r="J55" s="613"/>
      <c r="K55" s="613"/>
      <c r="L55" s="613"/>
      <c r="M55" s="613"/>
      <c r="N55" s="702">
        <f>IF(C56="有",1,0)</f>
        <v>0</v>
      </c>
      <c r="O55" s="622" t="s">
        <v>210</v>
      </c>
      <c r="P55" s="702">
        <v>20</v>
      </c>
      <c r="Q55" s="1110" t="s">
        <v>204</v>
      </c>
      <c r="R55" s="1110"/>
      <c r="S55" s="1110"/>
      <c r="T55" s="704" t="s">
        <v>128</v>
      </c>
      <c r="U55" s="705">
        <v>10.72</v>
      </c>
      <c r="V55" s="706" t="str">
        <f>DBCS(TEXT(V44,"###,##0"))</f>
        <v>５０３</v>
      </c>
      <c r="W55" s="707" t="str">
        <f>DBCS(TEXT(W44,"###,##0"))</f>
        <v>４２８</v>
      </c>
      <c r="X55" s="707" t="str">
        <f t="shared" ref="X55:X61" si="12">DBCS(TEXT(X44,"###,##0"))</f>
        <v>５８９</v>
      </c>
      <c r="Y55" s="708" t="str">
        <f t="shared" si="9"/>
        <v>６４３</v>
      </c>
      <c r="Z55" s="708" t="str">
        <f t="shared" si="9"/>
        <v>６４３</v>
      </c>
      <c r="AA55" s="708" t="str">
        <f t="shared" si="9"/>
        <v>４８２</v>
      </c>
      <c r="AB55" s="707" t="str">
        <f t="shared" si="9"/>
        <v>６００</v>
      </c>
      <c r="AC55" s="707" t="str">
        <f t="shared" si="9"/>
        <v>９１１</v>
      </c>
      <c r="AD55" s="707" t="str">
        <f t="shared" si="9"/>
        <v>２１４</v>
      </c>
      <c r="AE55" s="708" t="str">
        <f t="shared" si="9"/>
        <v>２３５</v>
      </c>
      <c r="AF55" s="708" t="str">
        <f t="shared" si="9"/>
        <v>１９２</v>
      </c>
      <c r="AG55" s="708" t="str">
        <f t="shared" si="9"/>
        <v>６４</v>
      </c>
      <c r="AH55" s="707" t="str">
        <f t="shared" si="9"/>
        <v>２，１４４</v>
      </c>
      <c r="AI55" s="707" t="str">
        <f t="shared" si="9"/>
        <v>５３６</v>
      </c>
      <c r="AJ55" s="707" t="str">
        <f t="shared" si="9"/>
        <v>２１４</v>
      </c>
      <c r="AK55" s="707" t="str">
        <f t="shared" si="9"/>
        <v>５３</v>
      </c>
      <c r="AL55" s="707" t="str">
        <f t="shared" si="9"/>
        <v>１，６０８</v>
      </c>
      <c r="AM55" s="707" t="str">
        <f t="shared" si="9"/>
        <v>１，７１５</v>
      </c>
      <c r="AN55" s="707" t="str">
        <f t="shared" si="9"/>
        <v>３２１</v>
      </c>
      <c r="AO55" s="707" t="str">
        <f t="shared" si="9"/>
        <v>６４３</v>
      </c>
      <c r="AP55" s="707" t="str">
        <f t="shared" ref="AP55" si="13">DBCS(TEXT(AP44,"###,##0"))</f>
        <v>３２</v>
      </c>
      <c r="AQ55" s="707" t="str">
        <f t="shared" si="11"/>
        <v>１，０７２</v>
      </c>
      <c r="AR55" s="708" t="str">
        <f t="shared" si="11"/>
        <v>１，０７２</v>
      </c>
      <c r="AS55" s="708" t="str">
        <f t="shared" si="11"/>
        <v>５３６</v>
      </c>
      <c r="AT55" s="707" t="str">
        <f t="shared" si="11"/>
        <v>４２８</v>
      </c>
      <c r="AU55" s="944" t="str">
        <f t="shared" si="11"/>
        <v>１，００７</v>
      </c>
    </row>
    <row r="56" spans="1:47" ht="15" customHeight="1">
      <c r="A56" s="1084" t="s">
        <v>1828</v>
      </c>
      <c r="B56" s="1085"/>
      <c r="C56" s="979"/>
      <c r="D56" s="695" t="str">
        <f>DBCS(AD42)</f>
        <v>２０</v>
      </c>
      <c r="E56" s="695" t="str">
        <f>VLOOKUP($D$39,$T$54:$AS$61,11,FALSE)</f>
        <v>２０２</v>
      </c>
      <c r="F56" s="613"/>
      <c r="G56" s="613"/>
      <c r="H56" s="613"/>
      <c r="I56" s="613"/>
      <c r="J56" s="613"/>
      <c r="K56" s="613"/>
      <c r="L56" s="613"/>
      <c r="M56" s="613"/>
      <c r="N56" s="702">
        <f>IF(C57="有",1,0)</f>
        <v>0</v>
      </c>
      <c r="O56" s="622" t="s">
        <v>83</v>
      </c>
      <c r="P56" s="702" t="s">
        <v>1893</v>
      </c>
      <c r="Q56" s="709" t="s">
        <v>83</v>
      </c>
      <c r="R56" s="710"/>
      <c r="S56" s="710"/>
      <c r="T56" s="622" t="s">
        <v>130</v>
      </c>
      <c r="U56" s="705">
        <v>10.68</v>
      </c>
      <c r="V56" s="706" t="str">
        <f>DBCS(TEXT(V45,"###,##0"))</f>
        <v>５０１</v>
      </c>
      <c r="W56" s="707" t="str">
        <f t="shared" ref="W56:W61" si="14">DBCS(TEXT(W45,"###,##0"))</f>
        <v>４２７</v>
      </c>
      <c r="X56" s="707" t="str">
        <f t="shared" si="12"/>
        <v>５８７</v>
      </c>
      <c r="Y56" s="708" t="str">
        <f t="shared" si="9"/>
        <v>６４０</v>
      </c>
      <c r="Z56" s="708" t="str">
        <f t="shared" si="9"/>
        <v>６４０</v>
      </c>
      <c r="AA56" s="708" t="str">
        <f t="shared" si="9"/>
        <v>４８０</v>
      </c>
      <c r="AB56" s="707" t="str">
        <f t="shared" si="9"/>
        <v>５９８</v>
      </c>
      <c r="AC56" s="707" t="str">
        <f t="shared" si="9"/>
        <v>９０７</v>
      </c>
      <c r="AD56" s="707" t="str">
        <f t="shared" si="9"/>
        <v>２１３</v>
      </c>
      <c r="AE56" s="708" t="str">
        <f t="shared" si="9"/>
        <v>２３４</v>
      </c>
      <c r="AF56" s="708" t="str">
        <f t="shared" si="9"/>
        <v>１９２</v>
      </c>
      <c r="AG56" s="708" t="str">
        <f t="shared" si="9"/>
        <v>６４</v>
      </c>
      <c r="AH56" s="707" t="str">
        <f t="shared" si="9"/>
        <v>２，１３６</v>
      </c>
      <c r="AI56" s="707" t="str">
        <f t="shared" si="9"/>
        <v>５３４</v>
      </c>
      <c r="AJ56" s="707" t="str">
        <f t="shared" si="9"/>
        <v>２１３</v>
      </c>
      <c r="AK56" s="707" t="str">
        <f t="shared" si="9"/>
        <v>５３</v>
      </c>
      <c r="AL56" s="707" t="str">
        <f t="shared" si="9"/>
        <v>１，６０２</v>
      </c>
      <c r="AM56" s="707" t="str">
        <f t="shared" si="9"/>
        <v>１，７０８</v>
      </c>
      <c r="AN56" s="707" t="str">
        <f t="shared" si="9"/>
        <v>３２０</v>
      </c>
      <c r="AO56" s="707" t="str">
        <f t="shared" si="9"/>
        <v>６４０</v>
      </c>
      <c r="AP56" s="707" t="str">
        <f t="shared" ref="AP56" si="15">DBCS(TEXT(AP45,"###,##0"))</f>
        <v>３２</v>
      </c>
      <c r="AQ56" s="707" t="str">
        <f t="shared" si="11"/>
        <v>１，０６８</v>
      </c>
      <c r="AR56" s="708" t="str">
        <f t="shared" si="11"/>
        <v>１，０６８</v>
      </c>
      <c r="AS56" s="708" t="str">
        <f t="shared" si="11"/>
        <v>５３４</v>
      </c>
      <c r="AT56" s="707" t="str">
        <f t="shared" si="11"/>
        <v>４２７</v>
      </c>
      <c r="AU56" s="944" t="str">
        <f t="shared" si="11"/>
        <v>１，００３</v>
      </c>
    </row>
    <row r="57" spans="1:47" ht="15" customHeight="1">
      <c r="A57" s="1084" t="s">
        <v>1932</v>
      </c>
      <c r="B57" s="1085"/>
      <c r="C57" s="979"/>
      <c r="D57" s="695" t="str">
        <f>DBCS(AE42)</f>
        <v>２２</v>
      </c>
      <c r="E57" s="695" t="str">
        <f>VLOOKUP($D$39,$T$54:$AS$61,12,FALSE)</f>
        <v>２２３</v>
      </c>
      <c r="F57" s="613"/>
      <c r="G57" s="613"/>
      <c r="H57" s="613"/>
      <c r="I57" s="613"/>
      <c r="J57" s="613"/>
      <c r="K57" s="613"/>
      <c r="L57" s="613"/>
      <c r="M57" s="613"/>
      <c r="N57" s="611">
        <f>SUM(N53:N54)</f>
        <v>1</v>
      </c>
      <c r="O57" s="711" t="s">
        <v>203</v>
      </c>
      <c r="P57" s="702">
        <v>22</v>
      </c>
      <c r="Q57" s="1110" t="s">
        <v>213</v>
      </c>
      <c r="R57" s="1110"/>
      <c r="S57" s="1110"/>
      <c r="T57" s="622" t="s">
        <v>131</v>
      </c>
      <c r="U57" s="705">
        <v>10.54</v>
      </c>
      <c r="V57" s="706" t="str">
        <f t="shared" ref="V57:V60" si="16">DBCS(TEXT(V46,"###,##0"))</f>
        <v>４９５</v>
      </c>
      <c r="W57" s="707" t="str">
        <f t="shared" si="14"/>
        <v>４２１</v>
      </c>
      <c r="X57" s="707" t="str">
        <f t="shared" si="12"/>
        <v>５７９</v>
      </c>
      <c r="Y57" s="708" t="str">
        <f t="shared" si="9"/>
        <v>６３２</v>
      </c>
      <c r="Z57" s="708" t="str">
        <f t="shared" si="9"/>
        <v>６３２</v>
      </c>
      <c r="AA57" s="708" t="str">
        <f t="shared" si="9"/>
        <v>４７４</v>
      </c>
      <c r="AB57" s="707" t="str">
        <f t="shared" si="9"/>
        <v>５９０</v>
      </c>
      <c r="AC57" s="707" t="str">
        <f t="shared" si="9"/>
        <v>８９５</v>
      </c>
      <c r="AD57" s="707" t="str">
        <f t="shared" si="9"/>
        <v>２１０</v>
      </c>
      <c r="AE57" s="708" t="str">
        <f t="shared" si="9"/>
        <v>２３１</v>
      </c>
      <c r="AF57" s="708" t="str">
        <f t="shared" si="9"/>
        <v>１８９</v>
      </c>
      <c r="AG57" s="708" t="str">
        <f t="shared" si="9"/>
        <v>６３</v>
      </c>
      <c r="AH57" s="707" t="str">
        <f t="shared" si="9"/>
        <v>２，１０８</v>
      </c>
      <c r="AI57" s="707" t="str">
        <f t="shared" si="9"/>
        <v>５２７</v>
      </c>
      <c r="AJ57" s="707" t="str">
        <f t="shared" si="9"/>
        <v>２１０</v>
      </c>
      <c r="AK57" s="707" t="str">
        <f t="shared" si="9"/>
        <v>５２</v>
      </c>
      <c r="AL57" s="707" t="str">
        <f t="shared" si="9"/>
        <v>１，５８１</v>
      </c>
      <c r="AM57" s="707" t="str">
        <f t="shared" si="9"/>
        <v>１，６８６</v>
      </c>
      <c r="AN57" s="707" t="str">
        <f t="shared" si="9"/>
        <v>３１６</v>
      </c>
      <c r="AO57" s="707" t="str">
        <f t="shared" si="9"/>
        <v>６３２</v>
      </c>
      <c r="AP57" s="707" t="str">
        <f t="shared" ref="AP57" si="17">DBCS(TEXT(AP46,"###,##0"))</f>
        <v>３１</v>
      </c>
      <c r="AQ57" s="707" t="str">
        <f t="shared" si="11"/>
        <v>１，０５４</v>
      </c>
      <c r="AR57" s="708" t="str">
        <f t="shared" si="11"/>
        <v>１，０５４</v>
      </c>
      <c r="AS57" s="708" t="str">
        <f t="shared" si="11"/>
        <v>５２７</v>
      </c>
      <c r="AT57" s="707" t="str">
        <f t="shared" si="11"/>
        <v>４２１</v>
      </c>
      <c r="AU57" s="944" t="str">
        <f t="shared" si="11"/>
        <v>９９０</v>
      </c>
    </row>
    <row r="58" spans="1:47" ht="15" customHeight="1">
      <c r="A58" s="1084" t="s">
        <v>1933</v>
      </c>
      <c r="B58" s="1085"/>
      <c r="C58" s="979"/>
      <c r="D58" s="695" t="str">
        <f>DBCS(AF42)</f>
        <v>１８</v>
      </c>
      <c r="E58" s="695" t="str">
        <f>VLOOKUP($D$39,$T$54:$AS$61,13,FALSE)</f>
        <v>１８２</v>
      </c>
      <c r="F58" s="613"/>
      <c r="G58" s="613"/>
      <c r="H58" s="613"/>
      <c r="I58" s="613"/>
      <c r="J58" s="613"/>
      <c r="K58" s="613"/>
      <c r="L58" s="613"/>
      <c r="M58" s="613"/>
      <c r="O58" s="711" t="s">
        <v>210</v>
      </c>
      <c r="P58" s="702">
        <v>18</v>
      </c>
      <c r="Q58" s="1110" t="s">
        <v>215</v>
      </c>
      <c r="R58" s="1110"/>
      <c r="S58" s="1110"/>
      <c r="T58" s="622" t="s">
        <v>132</v>
      </c>
      <c r="U58" s="705">
        <v>10.45</v>
      </c>
      <c r="V58" s="706" t="str">
        <f t="shared" si="16"/>
        <v>４９１</v>
      </c>
      <c r="W58" s="707" t="str">
        <f t="shared" si="14"/>
        <v>４１８</v>
      </c>
      <c r="X58" s="707" t="str">
        <f t="shared" si="12"/>
        <v>５７４</v>
      </c>
      <c r="Y58" s="708" t="str">
        <f t="shared" si="9"/>
        <v>６２７</v>
      </c>
      <c r="Z58" s="708" t="str">
        <f t="shared" si="9"/>
        <v>６２７</v>
      </c>
      <c r="AA58" s="708" t="str">
        <f t="shared" si="9"/>
        <v>４７０</v>
      </c>
      <c r="AB58" s="707" t="str">
        <f t="shared" si="9"/>
        <v>５８５</v>
      </c>
      <c r="AC58" s="707" t="str">
        <f t="shared" si="9"/>
        <v>８８８</v>
      </c>
      <c r="AD58" s="707" t="str">
        <f t="shared" si="9"/>
        <v>２０９</v>
      </c>
      <c r="AE58" s="708" t="str">
        <f t="shared" si="9"/>
        <v>２２９</v>
      </c>
      <c r="AF58" s="708" t="str">
        <f t="shared" si="9"/>
        <v>１８８</v>
      </c>
      <c r="AG58" s="708" t="str">
        <f t="shared" si="9"/>
        <v>６２</v>
      </c>
      <c r="AH58" s="707" t="str">
        <f t="shared" si="9"/>
        <v>２，０９０</v>
      </c>
      <c r="AI58" s="707" t="str">
        <f t="shared" si="9"/>
        <v>５２２</v>
      </c>
      <c r="AJ58" s="707" t="str">
        <f t="shared" si="9"/>
        <v>２０９</v>
      </c>
      <c r="AK58" s="707" t="str">
        <f t="shared" si="9"/>
        <v>５２</v>
      </c>
      <c r="AL58" s="707" t="str">
        <f t="shared" si="9"/>
        <v>１，５６７</v>
      </c>
      <c r="AM58" s="707" t="str">
        <f t="shared" si="9"/>
        <v>１，６７２</v>
      </c>
      <c r="AN58" s="707" t="str">
        <f t="shared" si="9"/>
        <v>３１３</v>
      </c>
      <c r="AO58" s="707" t="str">
        <f t="shared" si="9"/>
        <v>６２７</v>
      </c>
      <c r="AP58" s="707" t="str">
        <f t="shared" ref="AP58" si="18">DBCS(TEXT(AP47,"###,##0"))</f>
        <v>３１</v>
      </c>
      <c r="AQ58" s="707" t="str">
        <f t="shared" si="11"/>
        <v>１，０４５</v>
      </c>
      <c r="AR58" s="708" t="str">
        <f t="shared" si="11"/>
        <v>１，０４５</v>
      </c>
      <c r="AS58" s="708" t="str">
        <f t="shared" si="11"/>
        <v>５２２</v>
      </c>
      <c r="AT58" s="707" t="str">
        <f t="shared" si="11"/>
        <v>４１８</v>
      </c>
      <c r="AU58" s="944" t="str">
        <f t="shared" si="11"/>
        <v>９８２</v>
      </c>
    </row>
    <row r="59" spans="1:47" ht="15" customHeight="1">
      <c r="A59" s="1084" t="s">
        <v>1934</v>
      </c>
      <c r="B59" s="1085"/>
      <c r="C59" s="979"/>
      <c r="D59" s="695" t="str">
        <f>DBCS(AG42)</f>
        <v>６</v>
      </c>
      <c r="E59" s="695" t="str">
        <f>VLOOKUP($D$39,$T$54:$AS$61,14,FALSE)</f>
        <v>６０</v>
      </c>
      <c r="F59" s="613"/>
      <c r="G59" s="613"/>
      <c r="H59" s="613"/>
      <c r="I59" s="613"/>
      <c r="J59" s="613"/>
      <c r="K59" s="613"/>
      <c r="L59" s="613"/>
      <c r="M59" s="613"/>
      <c r="O59" s="711" t="s">
        <v>1130</v>
      </c>
      <c r="P59" s="702">
        <v>6</v>
      </c>
      <c r="Q59" s="1110" t="s">
        <v>216</v>
      </c>
      <c r="R59" s="1110"/>
      <c r="S59" s="1110"/>
      <c r="T59" s="622" t="s">
        <v>135</v>
      </c>
      <c r="U59" s="705">
        <v>10.27</v>
      </c>
      <c r="V59" s="706" t="str">
        <f t="shared" si="16"/>
        <v>４８２</v>
      </c>
      <c r="W59" s="707" t="str">
        <f t="shared" si="14"/>
        <v>４１０</v>
      </c>
      <c r="X59" s="707" t="str">
        <f t="shared" si="12"/>
        <v>５６４</v>
      </c>
      <c r="Y59" s="708" t="str">
        <f t="shared" si="9"/>
        <v>６１６</v>
      </c>
      <c r="Z59" s="708" t="str">
        <f t="shared" si="9"/>
        <v>６１６</v>
      </c>
      <c r="AA59" s="708" t="str">
        <f t="shared" si="9"/>
        <v>４６２</v>
      </c>
      <c r="AB59" s="707" t="str">
        <f t="shared" si="9"/>
        <v>５７５</v>
      </c>
      <c r="AC59" s="707" t="str">
        <f t="shared" si="9"/>
        <v>８７２</v>
      </c>
      <c r="AD59" s="707" t="str">
        <f t="shared" si="9"/>
        <v>２０５</v>
      </c>
      <c r="AE59" s="708" t="str">
        <f t="shared" si="9"/>
        <v>２２５</v>
      </c>
      <c r="AF59" s="708" t="str">
        <f t="shared" si="9"/>
        <v>１８４</v>
      </c>
      <c r="AG59" s="708" t="str">
        <f t="shared" si="9"/>
        <v>６１</v>
      </c>
      <c r="AH59" s="707" t="str">
        <f t="shared" si="9"/>
        <v>２，０５４</v>
      </c>
      <c r="AI59" s="707" t="str">
        <f t="shared" si="9"/>
        <v>５１３</v>
      </c>
      <c r="AJ59" s="707" t="str">
        <f t="shared" si="9"/>
        <v>２０５</v>
      </c>
      <c r="AK59" s="707" t="str">
        <f t="shared" si="9"/>
        <v>５１</v>
      </c>
      <c r="AL59" s="707" t="str">
        <f t="shared" si="9"/>
        <v>１，５４０</v>
      </c>
      <c r="AM59" s="707" t="str">
        <f t="shared" si="9"/>
        <v>１，６４３</v>
      </c>
      <c r="AN59" s="707" t="str">
        <f t="shared" si="9"/>
        <v>３０８</v>
      </c>
      <c r="AO59" s="707" t="str">
        <f t="shared" si="9"/>
        <v>６１６</v>
      </c>
      <c r="AP59" s="707" t="str">
        <f t="shared" ref="AP59" si="19">DBCS(TEXT(AP48,"###,##0"))</f>
        <v>３０</v>
      </c>
      <c r="AQ59" s="707" t="str">
        <f t="shared" si="11"/>
        <v>１，０２７</v>
      </c>
      <c r="AR59" s="708" t="str">
        <f t="shared" si="11"/>
        <v>１，０２７</v>
      </c>
      <c r="AS59" s="708" t="str">
        <f t="shared" si="11"/>
        <v>５１３</v>
      </c>
      <c r="AT59" s="707" t="str">
        <f t="shared" si="11"/>
        <v>４１０</v>
      </c>
      <c r="AU59" s="944" t="str">
        <f t="shared" si="11"/>
        <v>９６５</v>
      </c>
    </row>
    <row r="60" spans="1:47" ht="15" customHeight="1">
      <c r="A60" s="1084" t="s">
        <v>1935</v>
      </c>
      <c r="B60" s="1085"/>
      <c r="C60" s="979"/>
      <c r="D60" s="695" t="str">
        <f>DBCS(AH42)</f>
        <v>２００</v>
      </c>
      <c r="E60" s="695" t="str">
        <f>VLOOKUP($D$39,$T$54:$AS$61,15,FALSE)</f>
        <v>２，０２８</v>
      </c>
      <c r="F60" s="613"/>
      <c r="G60" s="613"/>
      <c r="H60" s="613"/>
      <c r="I60" s="613"/>
      <c r="J60" s="613"/>
      <c r="K60" s="613"/>
      <c r="L60" s="613"/>
      <c r="M60" s="613"/>
      <c r="O60" s="622" t="s">
        <v>83</v>
      </c>
      <c r="P60" s="702" t="s">
        <v>83</v>
      </c>
      <c r="Q60" s="712" t="s">
        <v>83</v>
      </c>
      <c r="S60" s="611"/>
      <c r="T60" s="622" t="s">
        <v>138</v>
      </c>
      <c r="U60" s="705">
        <v>10.14</v>
      </c>
      <c r="V60" s="706" t="str">
        <f t="shared" si="16"/>
        <v>４７６</v>
      </c>
      <c r="W60" s="707" t="str">
        <f>DBCS(TEXT(W49,"###,##0"))</f>
        <v>４０５</v>
      </c>
      <c r="X60" s="707" t="str">
        <f t="shared" si="12"/>
        <v>５５７</v>
      </c>
      <c r="Y60" s="708" t="str">
        <f t="shared" si="9"/>
        <v>６０８</v>
      </c>
      <c r="Z60" s="708" t="str">
        <f t="shared" si="9"/>
        <v>６０８</v>
      </c>
      <c r="AA60" s="708" t="str">
        <f t="shared" si="9"/>
        <v>４５６</v>
      </c>
      <c r="AB60" s="707" t="str">
        <f t="shared" si="9"/>
        <v>５６７</v>
      </c>
      <c r="AC60" s="707" t="str">
        <f t="shared" si="9"/>
        <v>８６１</v>
      </c>
      <c r="AD60" s="707" t="str">
        <f t="shared" si="9"/>
        <v>２０２</v>
      </c>
      <c r="AE60" s="708" t="str">
        <f t="shared" si="9"/>
        <v>２２３</v>
      </c>
      <c r="AF60" s="708" t="str">
        <f t="shared" si="9"/>
        <v>１８２</v>
      </c>
      <c r="AG60" s="708" t="str">
        <f t="shared" si="9"/>
        <v>６０</v>
      </c>
      <c r="AH60" s="707" t="str">
        <f t="shared" si="9"/>
        <v>２，０２８</v>
      </c>
      <c r="AI60" s="707" t="str">
        <f t="shared" si="9"/>
        <v>５０７</v>
      </c>
      <c r="AJ60" s="707" t="str">
        <f t="shared" si="9"/>
        <v>２０２</v>
      </c>
      <c r="AK60" s="707" t="str">
        <f t="shared" si="9"/>
        <v>５０</v>
      </c>
      <c r="AL60" s="707" t="str">
        <f t="shared" si="9"/>
        <v>１，５２１</v>
      </c>
      <c r="AM60" s="707" t="str">
        <f t="shared" si="9"/>
        <v>１，６２２</v>
      </c>
      <c r="AN60" s="707" t="str">
        <f t="shared" si="9"/>
        <v>３０４</v>
      </c>
      <c r="AO60" s="707" t="str">
        <f t="shared" si="9"/>
        <v>６０８</v>
      </c>
      <c r="AP60" s="707" t="str">
        <f t="shared" ref="AP60" si="20">DBCS(TEXT(AP49,"###,##0"))</f>
        <v>３０</v>
      </c>
      <c r="AQ60" s="707" t="str">
        <f t="shared" si="11"/>
        <v>１，０１４</v>
      </c>
      <c r="AR60" s="708" t="str">
        <f t="shared" si="11"/>
        <v>１，０１４</v>
      </c>
      <c r="AS60" s="708" t="str">
        <f t="shared" si="11"/>
        <v>５０７</v>
      </c>
      <c r="AT60" s="707" t="str">
        <f t="shared" si="11"/>
        <v>４０５</v>
      </c>
      <c r="AU60" s="944" t="str">
        <f t="shared" si="11"/>
        <v>９５３</v>
      </c>
    </row>
    <row r="61" spans="1:47" ht="15" customHeight="1">
      <c r="A61" s="1084" t="s">
        <v>1829</v>
      </c>
      <c r="B61" s="1085"/>
      <c r="C61" s="979"/>
      <c r="D61" s="695" t="str">
        <f>DBCS(AI42)</f>
        <v>５０</v>
      </c>
      <c r="E61" s="695" t="str">
        <f>VLOOKUP($D$39,$T$54:$AS$61,16,FALSE)</f>
        <v>５０７</v>
      </c>
      <c r="F61" s="613"/>
      <c r="G61" s="613"/>
      <c r="H61" s="613"/>
      <c r="I61" s="613"/>
      <c r="J61" s="613"/>
      <c r="K61" s="613"/>
      <c r="L61" s="613"/>
      <c r="M61" s="613"/>
      <c r="S61" s="611"/>
      <c r="T61" s="622" t="s">
        <v>141</v>
      </c>
      <c r="U61" s="705">
        <v>10</v>
      </c>
      <c r="V61" s="706" t="str">
        <f t="shared" ref="V61" si="21">DBCS(TEXT(V50,"###,##0"))</f>
        <v>４７０</v>
      </c>
      <c r="W61" s="707" t="str">
        <f t="shared" si="14"/>
        <v>４００</v>
      </c>
      <c r="X61" s="707" t="str">
        <f t="shared" si="12"/>
        <v>５５０</v>
      </c>
      <c r="Y61" s="708" t="str">
        <f t="shared" si="9"/>
        <v>６００</v>
      </c>
      <c r="Z61" s="708" t="str">
        <f t="shared" si="9"/>
        <v>６００</v>
      </c>
      <c r="AA61" s="708" t="str">
        <f t="shared" si="9"/>
        <v>４５０</v>
      </c>
      <c r="AB61" s="707" t="str">
        <f t="shared" si="9"/>
        <v>５６０</v>
      </c>
      <c r="AC61" s="707" t="str">
        <f t="shared" si="9"/>
        <v>８５０</v>
      </c>
      <c r="AD61" s="707" t="str">
        <f t="shared" si="9"/>
        <v>２００</v>
      </c>
      <c r="AE61" s="708" t="str">
        <f t="shared" si="9"/>
        <v>２２０</v>
      </c>
      <c r="AF61" s="708" t="str">
        <f t="shared" si="9"/>
        <v>１８０</v>
      </c>
      <c r="AG61" s="708" t="str">
        <f t="shared" si="9"/>
        <v>６０</v>
      </c>
      <c r="AH61" s="707" t="str">
        <f t="shared" si="9"/>
        <v>２，０００</v>
      </c>
      <c r="AI61" s="707" t="str">
        <f t="shared" si="9"/>
        <v>５００</v>
      </c>
      <c r="AJ61" s="707" t="str">
        <f t="shared" si="9"/>
        <v>２００</v>
      </c>
      <c r="AK61" s="707" t="str">
        <f t="shared" si="9"/>
        <v>５０</v>
      </c>
      <c r="AL61" s="707" t="str">
        <f t="shared" si="9"/>
        <v>１，５００</v>
      </c>
      <c r="AM61" s="707" t="str">
        <f t="shared" si="9"/>
        <v>１，６００</v>
      </c>
      <c r="AN61" s="707" t="str">
        <f t="shared" si="9"/>
        <v>３００</v>
      </c>
      <c r="AO61" s="707" t="str">
        <f t="shared" si="9"/>
        <v>６００</v>
      </c>
      <c r="AP61" s="707" t="str">
        <f t="shared" ref="AP61" si="22">DBCS(TEXT(AP50,"###,##0"))</f>
        <v>３０</v>
      </c>
      <c r="AQ61" s="707" t="str">
        <f t="shared" si="11"/>
        <v>１，０００</v>
      </c>
      <c r="AR61" s="708" t="str">
        <f t="shared" si="11"/>
        <v>１，０００</v>
      </c>
      <c r="AS61" s="708" t="str">
        <f t="shared" si="11"/>
        <v>５００</v>
      </c>
      <c r="AT61" s="707" t="str">
        <f t="shared" si="11"/>
        <v>４００</v>
      </c>
      <c r="AU61" s="944" t="str">
        <f t="shared" si="11"/>
        <v>９４０</v>
      </c>
    </row>
    <row r="62" spans="1:47" ht="15" customHeight="1">
      <c r="A62" s="1084" t="s">
        <v>1936</v>
      </c>
      <c r="B62" s="1085"/>
      <c r="C62" s="979"/>
      <c r="D62" s="695" t="str">
        <f>DBCS(AJ42)</f>
        <v>２０</v>
      </c>
      <c r="E62" s="695" t="str">
        <f>VLOOKUP($D$39,$T$54:$AS$61,17,FALSE)</f>
        <v>２０２</v>
      </c>
      <c r="F62" s="613"/>
      <c r="G62" s="613"/>
      <c r="H62" s="613"/>
      <c r="I62" s="613"/>
      <c r="J62" s="613"/>
      <c r="K62" s="613"/>
      <c r="L62" s="613"/>
      <c r="M62" s="613"/>
      <c r="S62" s="689" t="s">
        <v>165</v>
      </c>
      <c r="T62" s="611">
        <v>1</v>
      </c>
      <c r="U62" s="611">
        <v>2</v>
      </c>
      <c r="V62" s="611">
        <v>3</v>
      </c>
      <c r="W62" s="611">
        <v>4</v>
      </c>
      <c r="X62" s="611">
        <v>5</v>
      </c>
      <c r="Y62" s="611">
        <v>6</v>
      </c>
      <c r="Z62" s="611">
        <v>7</v>
      </c>
      <c r="AA62" s="611">
        <v>8</v>
      </c>
      <c r="AB62" s="611">
        <v>9</v>
      </c>
      <c r="AC62" s="611">
        <v>10</v>
      </c>
      <c r="AD62" s="611">
        <v>11</v>
      </c>
      <c r="AE62" s="611">
        <v>12</v>
      </c>
      <c r="AF62" s="611">
        <v>13</v>
      </c>
      <c r="AG62" s="611">
        <v>14</v>
      </c>
      <c r="AH62" s="611">
        <v>15</v>
      </c>
      <c r="AI62" s="611">
        <v>16</v>
      </c>
      <c r="AJ62" s="611">
        <v>17</v>
      </c>
      <c r="AK62" s="611">
        <v>18</v>
      </c>
      <c r="AL62" s="611">
        <v>19</v>
      </c>
    </row>
    <row r="63" spans="1:47" ht="15" customHeight="1">
      <c r="A63" s="1084" t="s">
        <v>1937</v>
      </c>
      <c r="B63" s="1085"/>
      <c r="C63" s="979"/>
      <c r="D63" s="695" t="str">
        <f>DBCS(AK42)</f>
        <v>５</v>
      </c>
      <c r="E63" s="695" t="str">
        <f>VLOOKUP($D$39,$T$54:$AS$61,18,FALSE)</f>
        <v>５０</v>
      </c>
      <c r="F63" s="613"/>
      <c r="G63" s="613"/>
      <c r="H63" s="613"/>
      <c r="I63" s="613"/>
      <c r="J63" s="613"/>
      <c r="K63" s="613"/>
      <c r="L63" s="613"/>
      <c r="M63" s="613"/>
    </row>
    <row r="64" spans="1:47" ht="15" customHeight="1">
      <c r="A64" s="1084" t="s">
        <v>1938</v>
      </c>
      <c r="B64" s="1085"/>
      <c r="C64" s="979" t="s">
        <v>76</v>
      </c>
      <c r="D64" s="695" t="str">
        <f>DBCS(AL42)</f>
        <v>１５０</v>
      </c>
      <c r="E64" s="695" t="str">
        <f>VLOOKUP($D$39,$T$54:$AS$61,19,FALSE)</f>
        <v>１，５２１</v>
      </c>
      <c r="F64" s="613"/>
      <c r="G64" s="613"/>
      <c r="H64" s="613"/>
      <c r="I64" s="613"/>
      <c r="J64" s="613"/>
      <c r="K64" s="613"/>
      <c r="L64" s="613"/>
      <c r="M64" s="613"/>
      <c r="S64" s="611"/>
    </row>
    <row r="65" spans="1:46" ht="15" customHeight="1">
      <c r="A65" s="1084" t="s">
        <v>1939</v>
      </c>
      <c r="B65" s="1085"/>
      <c r="C65" s="979"/>
      <c r="D65" s="695" t="str">
        <f>DBCS(AM42)</f>
        <v>１６０</v>
      </c>
      <c r="E65" s="695" t="str">
        <f>VLOOKUP($D$39,$T$54:$AS$61,20,FALSE)</f>
        <v>１，６２２</v>
      </c>
      <c r="F65" s="613"/>
      <c r="G65" s="613"/>
      <c r="H65" s="613"/>
      <c r="I65" s="613"/>
      <c r="J65" s="613"/>
      <c r="K65" s="613"/>
      <c r="L65" s="613"/>
      <c r="M65" s="613"/>
      <c r="N65" s="621" t="s">
        <v>71</v>
      </c>
      <c r="S65" s="611"/>
      <c r="U65" s="1105" t="s">
        <v>217</v>
      </c>
      <c r="V65" s="1106"/>
      <c r="W65" s="1106"/>
      <c r="X65" s="1106"/>
      <c r="Y65" s="1106"/>
      <c r="Z65" s="1106"/>
      <c r="AA65" s="1107"/>
      <c r="AC65" s="1105" t="s">
        <v>218</v>
      </c>
      <c r="AD65" s="1106"/>
      <c r="AE65" s="1106"/>
      <c r="AF65" s="1106"/>
      <c r="AG65" s="1106"/>
      <c r="AH65" s="1106"/>
      <c r="AI65" s="1107"/>
      <c r="AK65" s="1105" t="s">
        <v>219</v>
      </c>
      <c r="AL65" s="1106"/>
      <c r="AM65" s="1106"/>
      <c r="AN65" s="1106"/>
      <c r="AO65" s="1106"/>
      <c r="AP65" s="1106"/>
      <c r="AQ65" s="1107"/>
    </row>
    <row r="66" spans="1:46" ht="15" customHeight="1">
      <c r="A66" s="1084" t="s">
        <v>1940</v>
      </c>
      <c r="B66" s="1085"/>
      <c r="C66" s="979"/>
      <c r="D66" s="695" t="str">
        <f>DBCS(AN42)</f>
        <v>３０</v>
      </c>
      <c r="E66" s="695" t="str">
        <f>VLOOKUP($D$39,$T$54:$AS$61,21,FALSE)</f>
        <v>３０４</v>
      </c>
      <c r="F66" s="613"/>
      <c r="G66" s="613"/>
      <c r="H66" s="613"/>
      <c r="I66" s="613"/>
      <c r="J66" s="613"/>
      <c r="K66" s="613"/>
      <c r="L66" s="613"/>
      <c r="M66" s="613"/>
      <c r="N66" s="713" t="s">
        <v>220</v>
      </c>
      <c r="O66" s="1110" t="str">
        <f>D73</f>
        <v>9.2%（1ヶ月の利用合計単位数に乗じる）</v>
      </c>
      <c r="P66" s="1110"/>
      <c r="Q66" s="1110"/>
      <c r="R66" s="1110"/>
      <c r="S66" s="611"/>
      <c r="T66" s="622" t="s">
        <v>170</v>
      </c>
      <c r="U66" s="702" t="s">
        <v>169</v>
      </c>
      <c r="V66" s="702" t="s">
        <v>188</v>
      </c>
      <c r="W66" s="702" t="s">
        <v>221</v>
      </c>
      <c r="X66" s="702" t="s">
        <v>192</v>
      </c>
      <c r="Y66" s="622" t="s">
        <v>222</v>
      </c>
      <c r="Z66" s="622" t="s">
        <v>223</v>
      </c>
      <c r="AA66" s="702" t="s">
        <v>197</v>
      </c>
      <c r="AB66" s="622" t="s">
        <v>170</v>
      </c>
      <c r="AC66" s="702" t="s">
        <v>169</v>
      </c>
      <c r="AD66" s="702" t="s">
        <v>188</v>
      </c>
      <c r="AE66" s="702" t="s">
        <v>221</v>
      </c>
      <c r="AF66" s="702" t="s">
        <v>192</v>
      </c>
      <c r="AG66" s="622" t="s">
        <v>222</v>
      </c>
      <c r="AH66" s="622" t="s">
        <v>223</v>
      </c>
      <c r="AI66" s="702" t="s">
        <v>197</v>
      </c>
      <c r="AJ66" s="622" t="s">
        <v>170</v>
      </c>
      <c r="AK66" s="702" t="s">
        <v>169</v>
      </c>
      <c r="AL66" s="702" t="s">
        <v>188</v>
      </c>
      <c r="AM66" s="702" t="s">
        <v>221</v>
      </c>
      <c r="AN66" s="702" t="s">
        <v>192</v>
      </c>
      <c r="AO66" s="622" t="s">
        <v>222</v>
      </c>
      <c r="AP66" s="622" t="s">
        <v>223</v>
      </c>
      <c r="AQ66" s="702" t="s">
        <v>197</v>
      </c>
    </row>
    <row r="67" spans="1:46" ht="15" customHeight="1">
      <c r="A67" s="1084" t="s">
        <v>1941</v>
      </c>
      <c r="B67" s="1085"/>
      <c r="C67" s="979"/>
      <c r="D67" s="695" t="str">
        <f>DBCS(AO42)</f>
        <v>６０</v>
      </c>
      <c r="E67" s="695" t="str">
        <f>VLOOKUP($D$39,$T$54:$AS$61,22,FALSE)</f>
        <v>６０８</v>
      </c>
      <c r="F67" s="1086" t="str">
        <f>Q57</f>
        <v>介護職員の総数のうち、介護福祉士の占める割合が１００分の５０以上である場合に加算の対象となります。</v>
      </c>
      <c r="G67" s="1086"/>
      <c r="H67" s="1086"/>
      <c r="I67" s="1086"/>
      <c r="J67" s="1086"/>
      <c r="K67" s="1086"/>
      <c r="L67" s="1086"/>
      <c r="M67" s="613"/>
      <c r="N67" s="713" t="s">
        <v>224</v>
      </c>
      <c r="O67" s="1110" t="str">
        <f>D74</f>
        <v>9.0%（1ヶ月の利用合計単位数に乗じる）</v>
      </c>
      <c r="P67" s="1110"/>
      <c r="Q67" s="1110"/>
      <c r="R67" s="1110"/>
      <c r="S67" s="611"/>
      <c r="T67" s="622" t="s">
        <v>126</v>
      </c>
      <c r="U67" s="714" t="s">
        <v>225</v>
      </c>
      <c r="V67" s="714">
        <v>380</v>
      </c>
      <c r="W67" s="714">
        <v>400</v>
      </c>
      <c r="X67" s="714">
        <v>490</v>
      </c>
      <c r="Y67" s="714" t="s">
        <v>226</v>
      </c>
      <c r="Z67" s="714" t="s">
        <v>227</v>
      </c>
      <c r="AA67" s="714" t="s">
        <v>228</v>
      </c>
      <c r="AB67" s="622" t="s">
        <v>126</v>
      </c>
      <c r="AC67" s="714" t="s">
        <v>229</v>
      </c>
      <c r="AD67" s="714">
        <v>380</v>
      </c>
      <c r="AE67" s="714">
        <v>400</v>
      </c>
      <c r="AF67" s="714">
        <v>490</v>
      </c>
      <c r="AG67" s="714" t="s">
        <v>230</v>
      </c>
      <c r="AH67" s="714" t="s">
        <v>231</v>
      </c>
      <c r="AI67" s="714" t="s">
        <v>232</v>
      </c>
      <c r="AJ67" s="622" t="s">
        <v>126</v>
      </c>
      <c r="AK67" s="714" t="s">
        <v>232</v>
      </c>
      <c r="AL67" s="714">
        <v>380</v>
      </c>
      <c r="AM67" s="714">
        <v>400</v>
      </c>
      <c r="AN67" s="714">
        <v>490</v>
      </c>
      <c r="AO67" s="714" t="s">
        <v>233</v>
      </c>
      <c r="AP67" s="714" t="s">
        <v>234</v>
      </c>
      <c r="AQ67" s="714" t="s">
        <v>235</v>
      </c>
    </row>
    <row r="68" spans="1:46" ht="15" customHeight="1">
      <c r="A68" s="1084" t="s">
        <v>1942</v>
      </c>
      <c r="B68" s="1085"/>
      <c r="C68" s="979"/>
      <c r="D68" s="695" t="str">
        <f>DBCS(AP42)</f>
        <v>３</v>
      </c>
      <c r="E68" s="695" t="str">
        <f>VLOOKUP($D$39,$T$54:$AS$61,23,FALSE)</f>
        <v>３０</v>
      </c>
      <c r="F68" s="866"/>
      <c r="G68" s="866"/>
      <c r="H68" s="866"/>
      <c r="I68" s="866"/>
      <c r="J68" s="866"/>
      <c r="K68" s="866"/>
      <c r="L68" s="866"/>
      <c r="M68" s="613"/>
      <c r="N68" s="713" t="s">
        <v>236</v>
      </c>
      <c r="O68" s="1110" t="str">
        <f>D75</f>
        <v>8.0%（1ヶ月の利用合計単位数に乗じる）</v>
      </c>
      <c r="P68" s="1110"/>
      <c r="Q68" s="1110"/>
      <c r="R68" s="1110"/>
      <c r="S68" s="611"/>
      <c r="T68" s="622" t="s">
        <v>128</v>
      </c>
      <c r="U68" s="714" t="s">
        <v>237</v>
      </c>
      <c r="V68" s="714">
        <v>380</v>
      </c>
      <c r="W68" s="714">
        <v>400</v>
      </c>
      <c r="X68" s="714">
        <v>480</v>
      </c>
      <c r="Y68" s="714" t="s">
        <v>238</v>
      </c>
      <c r="Z68" s="714" t="s">
        <v>239</v>
      </c>
      <c r="AA68" s="714" t="s">
        <v>229</v>
      </c>
      <c r="AB68" s="622" t="s">
        <v>128</v>
      </c>
      <c r="AC68" s="714" t="s">
        <v>225</v>
      </c>
      <c r="AD68" s="714">
        <v>380</v>
      </c>
      <c r="AE68" s="714">
        <v>400</v>
      </c>
      <c r="AF68" s="714">
        <v>480</v>
      </c>
      <c r="AG68" s="714" t="s">
        <v>240</v>
      </c>
      <c r="AH68" s="714" t="s">
        <v>241</v>
      </c>
      <c r="AI68" s="714" t="s">
        <v>228</v>
      </c>
      <c r="AJ68" s="622" t="s">
        <v>128</v>
      </c>
      <c r="AK68" s="714" t="s">
        <v>228</v>
      </c>
      <c r="AL68" s="714">
        <v>380</v>
      </c>
      <c r="AM68" s="714">
        <v>400</v>
      </c>
      <c r="AN68" s="714">
        <v>480</v>
      </c>
      <c r="AO68" s="714" t="s">
        <v>230</v>
      </c>
      <c r="AP68" s="714" t="s">
        <v>231</v>
      </c>
      <c r="AQ68" s="714" t="s">
        <v>232</v>
      </c>
    </row>
    <row r="69" spans="1:46" ht="15" customHeight="1">
      <c r="A69" s="1084" t="s">
        <v>1834</v>
      </c>
      <c r="B69" s="1085"/>
      <c r="C69" s="979"/>
      <c r="D69" s="695" t="str">
        <f>DBCS(AQ42)</f>
        <v>１００</v>
      </c>
      <c r="E69" s="695" t="str">
        <f>VLOOKUP($D$39,$T$54:$AS$61,24,FALSE)</f>
        <v>１，０１４</v>
      </c>
      <c r="F69" s="1086" t="str">
        <f>Q58</f>
        <v>介護職員の総数のうち、介護福祉士の占める割合が１００分の４０以上である場合に加算の対象となります。</v>
      </c>
      <c r="G69" s="1086"/>
      <c r="H69" s="1086"/>
      <c r="I69" s="1086"/>
      <c r="J69" s="1086"/>
      <c r="K69" s="1086"/>
      <c r="L69" s="1086"/>
      <c r="M69" s="613"/>
      <c r="N69" s="935"/>
      <c r="O69" s="1111"/>
      <c r="P69" s="1111"/>
      <c r="Q69" s="1111"/>
      <c r="R69" s="1111"/>
      <c r="T69" s="622" t="s">
        <v>130</v>
      </c>
      <c r="U69" s="714" t="s">
        <v>242</v>
      </c>
      <c r="V69" s="714">
        <v>370</v>
      </c>
      <c r="W69" s="714">
        <v>400</v>
      </c>
      <c r="X69" s="714">
        <v>480</v>
      </c>
      <c r="Y69" s="714" t="s">
        <v>243</v>
      </c>
      <c r="Z69" s="714" t="s">
        <v>244</v>
      </c>
      <c r="AA69" s="714" t="s">
        <v>225</v>
      </c>
      <c r="AB69" s="622" t="s">
        <v>130</v>
      </c>
      <c r="AC69" s="714" t="s">
        <v>237</v>
      </c>
      <c r="AD69" s="714">
        <v>370</v>
      </c>
      <c r="AE69" s="714">
        <v>400</v>
      </c>
      <c r="AF69" s="714">
        <v>480</v>
      </c>
      <c r="AG69" s="714" t="s">
        <v>226</v>
      </c>
      <c r="AH69" s="714" t="s">
        <v>227</v>
      </c>
      <c r="AI69" s="714" t="s">
        <v>229</v>
      </c>
      <c r="AJ69" s="622" t="s">
        <v>130</v>
      </c>
      <c r="AK69" s="714" t="s">
        <v>229</v>
      </c>
      <c r="AL69" s="714">
        <v>370</v>
      </c>
      <c r="AM69" s="714">
        <v>400</v>
      </c>
      <c r="AN69" s="714">
        <v>480</v>
      </c>
      <c r="AO69" s="714" t="s">
        <v>240</v>
      </c>
      <c r="AP69" s="714" t="s">
        <v>241</v>
      </c>
      <c r="AQ69" s="714" t="s">
        <v>228</v>
      </c>
      <c r="AR69" s="715"/>
      <c r="AS69" s="715"/>
      <c r="AT69" s="715"/>
    </row>
    <row r="70" spans="1:46" ht="15" customHeight="1">
      <c r="A70" s="1084" t="s">
        <v>1835</v>
      </c>
      <c r="B70" s="1085"/>
      <c r="C70" s="979"/>
      <c r="D70" s="695" t="str">
        <f>DBCS(AR42)</f>
        <v>１００</v>
      </c>
      <c r="E70" s="695" t="str">
        <f>VLOOKUP($D$39,$T$54:$AS$61,25,FALSE)</f>
        <v>１，０１４</v>
      </c>
      <c r="F70" s="866"/>
      <c r="G70" s="866"/>
      <c r="H70" s="866"/>
      <c r="I70" s="866"/>
      <c r="J70" s="866"/>
      <c r="K70" s="866"/>
      <c r="L70" s="866"/>
      <c r="M70" s="613"/>
      <c r="R70" s="611"/>
      <c r="S70" s="611"/>
      <c r="T70" s="622" t="s">
        <v>131</v>
      </c>
      <c r="U70" s="714" t="s">
        <v>247</v>
      </c>
      <c r="V70" s="714">
        <v>370</v>
      </c>
      <c r="W70" s="714">
        <v>400</v>
      </c>
      <c r="X70" s="714">
        <v>470</v>
      </c>
      <c r="Y70" s="714" t="s">
        <v>248</v>
      </c>
      <c r="Z70" s="714" t="s">
        <v>249</v>
      </c>
      <c r="AA70" s="714" t="s">
        <v>237</v>
      </c>
      <c r="AB70" s="622" t="s">
        <v>131</v>
      </c>
      <c r="AC70" s="714" t="s">
        <v>242</v>
      </c>
      <c r="AD70" s="714">
        <v>370</v>
      </c>
      <c r="AE70" s="714">
        <v>400</v>
      </c>
      <c r="AF70" s="714">
        <v>470</v>
      </c>
      <c r="AG70" s="714" t="s">
        <v>238</v>
      </c>
      <c r="AH70" s="714" t="s">
        <v>239</v>
      </c>
      <c r="AI70" s="714" t="s">
        <v>225</v>
      </c>
      <c r="AJ70" s="622" t="s">
        <v>131</v>
      </c>
      <c r="AK70" s="714" t="s">
        <v>225</v>
      </c>
      <c r="AL70" s="714">
        <v>370</v>
      </c>
      <c r="AM70" s="714">
        <v>400</v>
      </c>
      <c r="AN70" s="714">
        <v>470</v>
      </c>
      <c r="AO70" s="714" t="s">
        <v>226</v>
      </c>
      <c r="AP70" s="714" t="s">
        <v>227</v>
      </c>
      <c r="AQ70" s="714" t="s">
        <v>229</v>
      </c>
    </row>
    <row r="71" spans="1:46" ht="15" customHeight="1">
      <c r="A71" s="1084" t="s">
        <v>1943</v>
      </c>
      <c r="B71" s="1085"/>
      <c r="C71" s="979" t="s">
        <v>76</v>
      </c>
      <c r="D71" s="695" t="str">
        <f>DBCS(AS42)</f>
        <v>５０</v>
      </c>
      <c r="E71" s="695" t="str">
        <f>VLOOKUP($D$39,$T$54:$AS$61,26,FALSE)</f>
        <v>５０７</v>
      </c>
      <c r="F71" s="1086" t="str">
        <f>Q59</f>
        <v>職員の総数のうち、勤続年数３年以上の者の占める割合が１００分の３０以上である場合に加算の対象となります。</v>
      </c>
      <c r="G71" s="1086"/>
      <c r="H71" s="1086"/>
      <c r="I71" s="1086"/>
      <c r="J71" s="1086"/>
      <c r="K71" s="1086"/>
      <c r="L71" s="1086"/>
      <c r="M71" s="613"/>
      <c r="R71" s="611"/>
      <c r="S71" s="611"/>
      <c r="T71" s="622" t="s">
        <v>132</v>
      </c>
      <c r="U71" s="714" t="s">
        <v>250</v>
      </c>
      <c r="V71" s="714">
        <v>370</v>
      </c>
      <c r="W71" s="714">
        <v>400</v>
      </c>
      <c r="X71" s="714">
        <v>470</v>
      </c>
      <c r="Y71" s="714" t="s">
        <v>251</v>
      </c>
      <c r="Z71" s="714" t="s">
        <v>252</v>
      </c>
      <c r="AA71" s="714" t="s">
        <v>242</v>
      </c>
      <c r="AB71" s="622" t="s">
        <v>132</v>
      </c>
      <c r="AC71" s="714" t="s">
        <v>247</v>
      </c>
      <c r="AD71" s="714">
        <v>370</v>
      </c>
      <c r="AE71" s="714">
        <v>400</v>
      </c>
      <c r="AF71" s="714">
        <v>470</v>
      </c>
      <c r="AG71" s="714" t="s">
        <v>243</v>
      </c>
      <c r="AH71" s="714" t="s">
        <v>244</v>
      </c>
      <c r="AI71" s="714" t="s">
        <v>237</v>
      </c>
      <c r="AJ71" s="622" t="s">
        <v>132</v>
      </c>
      <c r="AK71" s="714" t="s">
        <v>237</v>
      </c>
      <c r="AL71" s="714">
        <v>370</v>
      </c>
      <c r="AM71" s="714">
        <v>400</v>
      </c>
      <c r="AN71" s="714">
        <v>470</v>
      </c>
      <c r="AO71" s="714" t="s">
        <v>238</v>
      </c>
      <c r="AP71" s="714" t="s">
        <v>239</v>
      </c>
      <c r="AQ71" s="714" t="s">
        <v>225</v>
      </c>
      <c r="AR71" s="623"/>
      <c r="AS71" s="623"/>
      <c r="AT71" s="623"/>
    </row>
    <row r="72" spans="1:46" ht="15" customHeight="1">
      <c r="A72" s="1084" t="s">
        <v>1944</v>
      </c>
      <c r="B72" s="1085"/>
      <c r="C72" s="979" t="s">
        <v>76</v>
      </c>
      <c r="D72" s="695" t="str">
        <f>DBCS(AT42)</f>
        <v>４０</v>
      </c>
      <c r="E72" s="695" t="str">
        <f>VLOOKUP($D$39,$T$54:$AT$61,27,FALSE)</f>
        <v>４０５</v>
      </c>
      <c r="F72" s="866"/>
      <c r="G72" s="866"/>
      <c r="H72" s="866"/>
      <c r="I72" s="866"/>
      <c r="J72" s="866"/>
      <c r="K72" s="866"/>
      <c r="L72" s="866"/>
      <c r="M72" s="613"/>
      <c r="R72" s="611"/>
      <c r="S72" s="611"/>
      <c r="T72" s="622" t="s">
        <v>135</v>
      </c>
      <c r="U72" s="714">
        <v>950</v>
      </c>
      <c r="V72" s="714">
        <v>360</v>
      </c>
      <c r="W72" s="714">
        <v>400</v>
      </c>
      <c r="X72" s="714">
        <v>460</v>
      </c>
      <c r="Y72" s="714" t="s">
        <v>253</v>
      </c>
      <c r="Z72" s="714" t="s">
        <v>254</v>
      </c>
      <c r="AA72" s="714" t="s">
        <v>247</v>
      </c>
      <c r="AB72" s="622" t="s">
        <v>135</v>
      </c>
      <c r="AC72" s="714" t="s">
        <v>250</v>
      </c>
      <c r="AD72" s="714">
        <v>360</v>
      </c>
      <c r="AE72" s="714">
        <v>400</v>
      </c>
      <c r="AF72" s="714">
        <v>460</v>
      </c>
      <c r="AG72" s="714" t="s">
        <v>248</v>
      </c>
      <c r="AH72" s="714" t="s">
        <v>249</v>
      </c>
      <c r="AI72" s="714" t="s">
        <v>242</v>
      </c>
      <c r="AJ72" s="622" t="s">
        <v>135</v>
      </c>
      <c r="AK72" s="714" t="s">
        <v>242</v>
      </c>
      <c r="AL72" s="714">
        <v>360</v>
      </c>
      <c r="AM72" s="714">
        <v>400</v>
      </c>
      <c r="AN72" s="714">
        <v>460</v>
      </c>
      <c r="AO72" s="714" t="s">
        <v>243</v>
      </c>
      <c r="AP72" s="714" t="s">
        <v>244</v>
      </c>
      <c r="AQ72" s="714" t="s">
        <v>237</v>
      </c>
      <c r="AR72" s="623"/>
      <c r="AS72" s="623"/>
      <c r="AT72" s="623"/>
    </row>
    <row r="73" spans="1:46" ht="15" customHeight="1">
      <c r="A73" s="1084" t="s">
        <v>2151</v>
      </c>
      <c r="B73" s="1085"/>
      <c r="C73" s="979"/>
      <c r="D73" s="1089" t="s">
        <v>2154</v>
      </c>
      <c r="E73" s="1090"/>
      <c r="F73" s="1087" t="str">
        <f>DBCS("（１ヶ月の利用合計単位数＋１ヶ月の利用合計単位数×９．２%"&amp;【マスター】!F77&amp;""&amp;【マスター】!F79&amp;"）×　地域単価")</f>
        <v>（１ヶ月の利用合計単位数＋１ヶ月の利用合計単位数×９．２％）×　地域単価</v>
      </c>
      <c r="G73" s="1088"/>
      <c r="H73" s="1088"/>
      <c r="I73" s="1088"/>
      <c r="J73" s="1088"/>
      <c r="K73" s="1088"/>
      <c r="L73" s="1088"/>
      <c r="M73" s="1088"/>
      <c r="R73" s="611"/>
      <c r="S73" s="611"/>
      <c r="T73" s="622" t="s">
        <v>138</v>
      </c>
      <c r="U73" s="714"/>
      <c r="V73" s="714"/>
      <c r="W73" s="714" t="s">
        <v>2119</v>
      </c>
      <c r="X73" s="714" t="s">
        <v>2120</v>
      </c>
      <c r="Y73" s="714" t="s">
        <v>2121</v>
      </c>
      <c r="Z73" s="714" t="s">
        <v>2121</v>
      </c>
      <c r="AA73" s="714" t="s">
        <v>2122</v>
      </c>
      <c r="AB73" s="622" t="s">
        <v>138</v>
      </c>
      <c r="AC73" s="714"/>
      <c r="AD73" s="714"/>
      <c r="AE73" s="714" t="s">
        <v>2119</v>
      </c>
      <c r="AF73" s="714" t="s">
        <v>2120</v>
      </c>
      <c r="AG73" s="714" t="s">
        <v>2121</v>
      </c>
      <c r="AH73" s="714" t="s">
        <v>2121</v>
      </c>
      <c r="AI73" s="714" t="s">
        <v>2122</v>
      </c>
      <c r="AJ73" s="622" t="s">
        <v>138</v>
      </c>
      <c r="AK73" s="714"/>
      <c r="AL73" s="714"/>
      <c r="AM73" s="714" t="s">
        <v>2119</v>
      </c>
      <c r="AN73" s="714" t="s">
        <v>2120</v>
      </c>
      <c r="AO73" s="714" t="s">
        <v>2121</v>
      </c>
      <c r="AP73" s="714" t="s">
        <v>2121</v>
      </c>
      <c r="AQ73" s="714" t="s">
        <v>2122</v>
      </c>
      <c r="AR73" s="623"/>
      <c r="AS73" s="623"/>
      <c r="AT73" s="623"/>
    </row>
    <row r="74" spans="1:46" ht="15" customHeight="1">
      <c r="A74" s="1084" t="s">
        <v>2152</v>
      </c>
      <c r="B74" s="1085"/>
      <c r="C74" s="979" t="s">
        <v>76</v>
      </c>
      <c r="D74" s="1089" t="s">
        <v>2155</v>
      </c>
      <c r="E74" s="1090"/>
      <c r="F74" s="1087" t="str">
        <f>DBCS("（１ヶ月の利用合計単位数＋１ヶ月の利用合計単位数×９．０%"&amp;【マスター】!F77&amp;""&amp;【マスター】!F79&amp;"）×　地域単価")</f>
        <v>（１ヶ月の利用合計単位数＋１ヶ月の利用合計単位数×９．０％）×　地域単価</v>
      </c>
      <c r="G74" s="1088"/>
      <c r="H74" s="1088"/>
      <c r="I74" s="1088"/>
      <c r="J74" s="1088"/>
      <c r="K74" s="1088"/>
      <c r="L74" s="1088"/>
      <c r="M74" s="1093"/>
      <c r="R74" s="611"/>
      <c r="S74" s="611"/>
      <c r="T74" s="622" t="s">
        <v>141</v>
      </c>
      <c r="U74" s="714">
        <v>800</v>
      </c>
      <c r="V74" s="714">
        <v>350</v>
      </c>
      <c r="W74" s="714">
        <v>400</v>
      </c>
      <c r="X74" s="714">
        <v>450</v>
      </c>
      <c r="Y74" s="714" t="s">
        <v>259</v>
      </c>
      <c r="Z74" s="714" t="s">
        <v>233</v>
      </c>
      <c r="AA74" s="714">
        <v>950</v>
      </c>
      <c r="AB74" s="622" t="s">
        <v>141</v>
      </c>
      <c r="AC74" s="714">
        <v>900</v>
      </c>
      <c r="AD74" s="714">
        <v>350</v>
      </c>
      <c r="AE74" s="714">
        <v>400</v>
      </c>
      <c r="AF74" s="714">
        <v>450</v>
      </c>
      <c r="AG74" s="714" t="s">
        <v>253</v>
      </c>
      <c r="AH74" s="714" t="s">
        <v>254</v>
      </c>
      <c r="AI74" s="714" t="s">
        <v>250</v>
      </c>
      <c r="AJ74" s="622" t="s">
        <v>141</v>
      </c>
      <c r="AK74" s="714" t="s">
        <v>250</v>
      </c>
      <c r="AL74" s="714">
        <v>350</v>
      </c>
      <c r="AM74" s="714">
        <v>400</v>
      </c>
      <c r="AN74" s="714">
        <v>450</v>
      </c>
      <c r="AO74" s="714" t="s">
        <v>251</v>
      </c>
      <c r="AP74" s="714" t="s">
        <v>252</v>
      </c>
      <c r="AQ74" s="714" t="s">
        <v>247</v>
      </c>
      <c r="AR74" s="623"/>
      <c r="AS74" s="623"/>
      <c r="AT74" s="623"/>
    </row>
    <row r="75" spans="1:46" ht="15" customHeight="1">
      <c r="A75" s="1084" t="s">
        <v>2153</v>
      </c>
      <c r="B75" s="1085"/>
      <c r="C75" s="979"/>
      <c r="D75" s="1089" t="s">
        <v>2156</v>
      </c>
      <c r="E75" s="1090"/>
      <c r="F75" s="1087" t="str">
        <f>DBCS("（１ヶ月の利用合計単位数＋１ヶ月の利用合計単位数×８．０%"&amp;【マスター】!F77&amp;""&amp;【マスター】!F79&amp;"）×　地域単価")</f>
        <v>（１ヶ月の利用合計単位数＋１ヶ月の利用合計単位数×８．０％）×　地域単価</v>
      </c>
      <c r="G75" s="1088"/>
      <c r="H75" s="1088"/>
      <c r="I75" s="1088"/>
      <c r="J75" s="1088"/>
      <c r="K75" s="1088"/>
      <c r="L75" s="1088"/>
      <c r="M75" s="1093"/>
      <c r="R75" s="611"/>
      <c r="S75" s="611"/>
      <c r="T75" s="612"/>
      <c r="AR75" s="623"/>
      <c r="AS75" s="623"/>
      <c r="AT75" s="623"/>
    </row>
    <row r="76" spans="1:46" ht="15" customHeight="1">
      <c r="A76" s="1084" t="s">
        <v>245</v>
      </c>
      <c r="B76" s="1085"/>
      <c r="C76" s="979"/>
      <c r="D76" s="1091" t="s">
        <v>246</v>
      </c>
      <c r="E76" s="1092"/>
      <c r="F76" s="613"/>
      <c r="G76" s="613"/>
      <c r="H76" s="613"/>
      <c r="I76" s="613"/>
      <c r="J76" s="613"/>
      <c r="K76" s="613"/>
      <c r="L76" s="613"/>
      <c r="M76" s="613"/>
      <c r="R76" s="611"/>
      <c r="S76" s="611"/>
      <c r="T76"/>
      <c r="U76"/>
      <c r="V76"/>
      <c r="W76"/>
      <c r="X76"/>
      <c r="Y76"/>
      <c r="Z76"/>
      <c r="AA76"/>
      <c r="AB76"/>
      <c r="AC76"/>
      <c r="AD76"/>
      <c r="AR76" s="623"/>
      <c r="AS76" s="623"/>
      <c r="AT76" s="623"/>
    </row>
    <row r="77" spans="1:46" ht="15" customHeight="1">
      <c r="A77" s="1084"/>
      <c r="B77" s="1085"/>
      <c r="C77" s="979"/>
      <c r="D77" s="1219"/>
      <c r="E77" s="1219"/>
      <c r="F77" s="613" t="str">
        <f>IF((【マスター】!C77="")*AND(【マスター】!C78=""),"",VLOOKUP("有",【マスター】!C77:S78,12,FALSE))</f>
        <v/>
      </c>
      <c r="G77" s="613"/>
      <c r="H77" s="613"/>
      <c r="I77" s="613"/>
      <c r="J77" s="613"/>
      <c r="K77" s="613"/>
      <c r="L77" s="613"/>
      <c r="M77" s="613"/>
      <c r="N77" s="716"/>
      <c r="T77"/>
      <c r="U77"/>
      <c r="V77"/>
      <c r="W77"/>
      <c r="X77"/>
      <c r="Y77"/>
      <c r="Z77"/>
      <c r="AA77"/>
      <c r="AB77"/>
      <c r="AC77"/>
      <c r="AD77"/>
      <c r="AR77" s="623"/>
      <c r="AS77" s="623"/>
      <c r="AT77" s="623"/>
    </row>
    <row r="78" spans="1:46" ht="15" customHeight="1">
      <c r="A78" s="1084"/>
      <c r="B78" s="1085"/>
      <c r="C78" s="979"/>
      <c r="D78" s="1220"/>
      <c r="E78" s="1220"/>
      <c r="F78" s="613"/>
      <c r="G78" s="613"/>
      <c r="H78" s="613"/>
      <c r="I78" s="613"/>
      <c r="J78" s="613"/>
      <c r="K78" s="613"/>
      <c r="L78" s="613"/>
      <c r="M78" s="613"/>
      <c r="N78" s="716"/>
      <c r="T78"/>
      <c r="U78"/>
      <c r="V78"/>
      <c r="W78"/>
      <c r="X78"/>
      <c r="Y78"/>
      <c r="Z78"/>
      <c r="AA78"/>
      <c r="AB78"/>
      <c r="AC78"/>
      <c r="AD78"/>
      <c r="AR78" s="623"/>
      <c r="AS78" s="623"/>
      <c r="AT78" s="623"/>
    </row>
    <row r="79" spans="1:46" ht="15" customHeight="1">
      <c r="A79" s="1094"/>
      <c r="B79" s="1095"/>
      <c r="C79" s="864"/>
      <c r="D79" s="1096"/>
      <c r="E79" s="1096"/>
      <c r="F79" s="613" t="str">
        <f>IF(C79="","",N79)</f>
        <v/>
      </c>
      <c r="G79" s="613"/>
      <c r="H79" s="613"/>
      <c r="I79" s="613"/>
      <c r="J79" s="613"/>
      <c r="K79" s="613"/>
      <c r="L79" s="613"/>
      <c r="M79" s="613"/>
      <c r="N79" s="716"/>
      <c r="T79"/>
      <c r="U79"/>
      <c r="V79"/>
      <c r="W79"/>
      <c r="X79"/>
      <c r="Y79"/>
      <c r="Z79"/>
      <c r="AA79"/>
      <c r="AB79"/>
      <c r="AC79"/>
      <c r="AD79"/>
    </row>
    <row r="80" spans="1:46" ht="15" customHeight="1" thickBot="1">
      <c r="A80" s="867"/>
      <c r="B80" s="867"/>
      <c r="C80" s="613"/>
      <c r="D80" s="613"/>
      <c r="E80" s="613"/>
      <c r="F80" s="613"/>
      <c r="G80" s="613"/>
      <c r="H80" s="613"/>
      <c r="I80" s="613"/>
      <c r="J80" s="613"/>
      <c r="K80" s="613"/>
      <c r="L80" s="613"/>
      <c r="M80" s="613"/>
    </row>
    <row r="81" spans="1:14" ht="15" customHeight="1" thickBot="1">
      <c r="A81" s="1108" t="s">
        <v>255</v>
      </c>
      <c r="B81" s="1084"/>
      <c r="C81" s="1229" t="s">
        <v>256</v>
      </c>
      <c r="D81" s="1230"/>
      <c r="E81" s="613" t="s">
        <v>257</v>
      </c>
      <c r="F81" s="613"/>
      <c r="G81" s="613"/>
      <c r="H81" s="613"/>
      <c r="I81" s="613"/>
      <c r="J81" s="613"/>
      <c r="K81" s="613"/>
      <c r="L81" s="613"/>
      <c r="M81" s="613"/>
    </row>
    <row r="82" spans="1:14" ht="15" customHeight="1" thickBot="1">
      <c r="A82" s="867"/>
      <c r="B82" s="867"/>
      <c r="C82" s="717"/>
      <c r="D82" s="717"/>
      <c r="E82" s="613"/>
      <c r="F82" s="613"/>
      <c r="G82" s="613"/>
      <c r="H82" s="613"/>
      <c r="I82" s="613"/>
      <c r="J82" s="613"/>
      <c r="K82" s="613"/>
      <c r="L82" s="613"/>
      <c r="M82" s="613"/>
      <c r="N82" s="621" t="s">
        <v>258</v>
      </c>
    </row>
    <row r="83" spans="1:14" ht="15" customHeight="1" thickBot="1">
      <c r="A83" s="1108" t="s">
        <v>260</v>
      </c>
      <c r="B83" s="1084"/>
      <c r="C83" s="1231" t="s">
        <v>261</v>
      </c>
      <c r="D83" s="1232"/>
      <c r="E83" s="1232"/>
      <c r="F83" s="1232"/>
      <c r="G83" s="1232"/>
      <c r="H83" s="1232"/>
      <c r="I83" s="1233"/>
      <c r="J83" s="613" t="s">
        <v>262</v>
      </c>
      <c r="K83" s="613"/>
      <c r="L83" s="613"/>
      <c r="M83" s="613"/>
      <c r="N83" s="622" t="s">
        <v>263</v>
      </c>
    </row>
    <row r="84" spans="1:14" ht="15" customHeight="1" thickBot="1">
      <c r="A84" s="867"/>
      <c r="B84" s="867"/>
      <c r="C84" s="613"/>
      <c r="D84" s="613"/>
      <c r="E84" s="613"/>
      <c r="F84" s="613"/>
      <c r="G84" s="613"/>
      <c r="H84" s="613"/>
      <c r="I84" s="613"/>
      <c r="J84" s="613"/>
      <c r="K84" s="613"/>
      <c r="L84" s="613"/>
      <c r="M84" s="613"/>
      <c r="N84" s="622" t="s">
        <v>264</v>
      </c>
    </row>
    <row r="85" spans="1:14" ht="15" customHeight="1" thickBot="1">
      <c r="A85" s="1097" t="s">
        <v>2115</v>
      </c>
      <c r="B85" s="1097"/>
      <c r="C85" s="718" t="s">
        <v>267</v>
      </c>
      <c r="D85" s="1098" t="s">
        <v>2108</v>
      </c>
      <c r="E85" s="1099"/>
      <c r="F85" s="1099"/>
      <c r="G85" s="1100"/>
      <c r="H85" s="1100"/>
      <c r="I85" s="1101"/>
      <c r="J85" s="613"/>
      <c r="K85" s="613"/>
      <c r="L85" s="613"/>
      <c r="M85" s="613"/>
      <c r="N85" s="622" t="s">
        <v>268</v>
      </c>
    </row>
    <row r="86" spans="1:14" ht="15" customHeight="1" thickBot="1">
      <c r="A86" s="1097"/>
      <c r="B86" s="1097"/>
      <c r="C86" s="718" t="s">
        <v>269</v>
      </c>
      <c r="D86" s="1102" t="s">
        <v>2111</v>
      </c>
      <c r="E86" s="1103"/>
      <c r="F86" s="1104"/>
      <c r="G86" s="1082" t="s">
        <v>270</v>
      </c>
      <c r="H86" s="1083"/>
      <c r="I86" s="1083"/>
      <c r="J86" s="719" t="s">
        <v>2112</v>
      </c>
      <c r="K86" s="720" t="s">
        <v>94</v>
      </c>
      <c r="L86" s="721" t="s">
        <v>2113</v>
      </c>
      <c r="M86" s="613"/>
      <c r="N86" s="622" t="s">
        <v>271</v>
      </c>
    </row>
    <row r="87" spans="1:14" ht="15" customHeight="1" thickBot="1">
      <c r="A87" s="1074"/>
      <c r="B87" s="1074"/>
      <c r="C87" s="718" t="s">
        <v>267</v>
      </c>
      <c r="D87" s="1075"/>
      <c r="E87" s="1076"/>
      <c r="F87" s="1076"/>
      <c r="G87" s="1077"/>
      <c r="H87" s="1077"/>
      <c r="I87" s="1078"/>
      <c r="J87" s="613"/>
      <c r="K87" s="613"/>
      <c r="L87" s="613"/>
      <c r="M87" s="613"/>
      <c r="N87" s="622" t="s">
        <v>272</v>
      </c>
    </row>
    <row r="88" spans="1:14" ht="15" customHeight="1" thickBot="1">
      <c r="A88" s="1074"/>
      <c r="B88" s="1074"/>
      <c r="C88" s="718" t="s">
        <v>269</v>
      </c>
      <c r="D88" s="1079"/>
      <c r="E88" s="1080"/>
      <c r="F88" s="1081"/>
      <c r="G88" s="1082" t="s">
        <v>270</v>
      </c>
      <c r="H88" s="1083"/>
      <c r="I88" s="1083"/>
      <c r="J88" s="719"/>
      <c r="K88" s="720" t="s">
        <v>94</v>
      </c>
      <c r="L88" s="721"/>
      <c r="M88" s="613"/>
      <c r="N88" s="622" t="s">
        <v>273</v>
      </c>
    </row>
    <row r="89" spans="1:14" ht="15" customHeight="1" thickBot="1">
      <c r="A89" s="1074"/>
      <c r="B89" s="1074"/>
      <c r="C89" s="718" t="s">
        <v>267</v>
      </c>
      <c r="D89" s="1075"/>
      <c r="E89" s="1076"/>
      <c r="F89" s="1076"/>
      <c r="G89" s="1077"/>
      <c r="H89" s="1077"/>
      <c r="I89" s="1078"/>
      <c r="J89" s="613"/>
      <c r="K89" s="613"/>
      <c r="L89" s="613"/>
      <c r="M89" s="613"/>
      <c r="N89" s="622"/>
    </row>
    <row r="90" spans="1:14" ht="15" customHeight="1" thickBot="1">
      <c r="A90" s="1074"/>
      <c r="B90" s="1074"/>
      <c r="C90" s="718" t="s">
        <v>269</v>
      </c>
      <c r="D90" s="1079"/>
      <c r="E90" s="1080"/>
      <c r="F90" s="1081"/>
      <c r="G90" s="1082" t="s">
        <v>270</v>
      </c>
      <c r="H90" s="1083"/>
      <c r="I90" s="1083"/>
      <c r="J90" s="719"/>
      <c r="K90" s="720" t="s">
        <v>94</v>
      </c>
      <c r="L90" s="721"/>
      <c r="M90" s="613"/>
      <c r="N90" s="622"/>
    </row>
    <row r="91" spans="1:14" ht="15" customHeight="1" thickBot="1">
      <c r="A91" s="1074"/>
      <c r="B91" s="1074"/>
      <c r="C91" s="718" t="s">
        <v>267</v>
      </c>
      <c r="D91" s="1075"/>
      <c r="E91" s="1076"/>
      <c r="F91" s="1076"/>
      <c r="G91" s="1077"/>
      <c r="H91" s="1077"/>
      <c r="I91" s="1078"/>
      <c r="J91" s="613"/>
      <c r="K91" s="613"/>
      <c r="L91" s="613"/>
      <c r="M91" s="613"/>
      <c r="N91" s="622"/>
    </row>
    <row r="92" spans="1:14" ht="15" customHeight="1" thickBot="1">
      <c r="A92" s="1074"/>
      <c r="B92" s="1074"/>
      <c r="C92" s="718" t="s">
        <v>269</v>
      </c>
      <c r="D92" s="1079"/>
      <c r="E92" s="1080"/>
      <c r="F92" s="1081"/>
      <c r="G92" s="1082" t="s">
        <v>270</v>
      </c>
      <c r="H92" s="1083"/>
      <c r="I92" s="1083"/>
      <c r="J92" s="719"/>
      <c r="K92" s="720" t="s">
        <v>94</v>
      </c>
      <c r="L92" s="721"/>
      <c r="M92" s="613"/>
      <c r="N92" s="622"/>
    </row>
    <row r="93" spans="1:14" ht="15" customHeight="1" thickBot="1">
      <c r="A93" s="1074"/>
      <c r="B93" s="1074"/>
      <c r="C93" s="718" t="s">
        <v>267</v>
      </c>
      <c r="D93" s="1075"/>
      <c r="E93" s="1076"/>
      <c r="F93" s="1076"/>
      <c r="G93" s="1077"/>
      <c r="H93" s="1077"/>
      <c r="I93" s="1078"/>
      <c r="J93" s="613"/>
      <c r="K93" s="613"/>
      <c r="L93" s="613"/>
      <c r="M93" s="613"/>
    </row>
    <row r="94" spans="1:14" ht="15" customHeight="1" thickBot="1">
      <c r="A94" s="1074"/>
      <c r="B94" s="1074"/>
      <c r="C94" s="718" t="s">
        <v>269</v>
      </c>
      <c r="D94" s="1079"/>
      <c r="E94" s="1080"/>
      <c r="F94" s="1081"/>
      <c r="G94" s="1082" t="s">
        <v>270</v>
      </c>
      <c r="H94" s="1083"/>
      <c r="I94" s="1083"/>
      <c r="J94" s="719"/>
      <c r="K94" s="720" t="s">
        <v>94</v>
      </c>
      <c r="L94" s="721"/>
      <c r="M94" s="613"/>
    </row>
    <row r="95" spans="1:14" ht="15" customHeight="1" thickBot="1">
      <c r="A95" s="1108" t="s">
        <v>274</v>
      </c>
      <c r="B95" s="1108"/>
      <c r="C95" s="722" t="s">
        <v>267</v>
      </c>
      <c r="D95" s="1098" t="s">
        <v>2109</v>
      </c>
      <c r="E95" s="1099"/>
      <c r="F95" s="1099"/>
      <c r="G95" s="1100"/>
      <c r="H95" s="1100"/>
      <c r="I95" s="1101"/>
      <c r="J95" s="613"/>
      <c r="K95" s="613"/>
      <c r="L95" s="613"/>
      <c r="M95" s="613"/>
    </row>
    <row r="96" spans="1:14" ht="15" customHeight="1" thickBot="1">
      <c r="A96" s="1108"/>
      <c r="B96" s="1108"/>
      <c r="C96" s="722" t="s">
        <v>269</v>
      </c>
      <c r="D96" s="1102" t="s">
        <v>2110</v>
      </c>
      <c r="E96" s="1103"/>
      <c r="F96" s="1104"/>
      <c r="G96" s="1082" t="s">
        <v>270</v>
      </c>
      <c r="H96" s="1083"/>
      <c r="I96" s="1083"/>
      <c r="J96" s="719" t="s">
        <v>1822</v>
      </c>
      <c r="K96" s="720" t="s">
        <v>94</v>
      </c>
      <c r="L96" s="721" t="s">
        <v>1823</v>
      </c>
      <c r="M96" s="613"/>
    </row>
    <row r="97" spans="1:13" ht="15" customHeight="1">
      <c r="A97" s="867"/>
      <c r="B97" s="867"/>
      <c r="C97" s="613"/>
      <c r="D97" s="613"/>
      <c r="E97" s="613"/>
      <c r="F97" s="613"/>
      <c r="G97" s="613"/>
      <c r="H97" s="613"/>
      <c r="I97" s="613"/>
      <c r="J97" s="613"/>
      <c r="K97" s="613"/>
      <c r="L97" s="613"/>
      <c r="M97" s="613"/>
    </row>
    <row r="98" spans="1:13" ht="15" customHeight="1" thickBot="1">
      <c r="A98" s="862" t="s">
        <v>275</v>
      </c>
      <c r="B98" s="723" t="s">
        <v>276</v>
      </c>
      <c r="C98" s="1243" t="s">
        <v>275</v>
      </c>
      <c r="D98" s="1243"/>
      <c r="E98" s="723" t="s">
        <v>276</v>
      </c>
      <c r="F98" s="613"/>
      <c r="G98" s="613"/>
      <c r="H98" s="613"/>
      <c r="I98" s="613"/>
      <c r="J98" s="613"/>
      <c r="K98" s="613"/>
      <c r="L98" s="613"/>
      <c r="M98" s="613"/>
    </row>
    <row r="99" spans="1:13" ht="15" customHeight="1">
      <c r="A99" s="862" t="s">
        <v>277</v>
      </c>
      <c r="B99" s="724"/>
      <c r="C99" s="1234" t="s">
        <v>278</v>
      </c>
      <c r="D99" s="1235"/>
      <c r="E99" s="724"/>
      <c r="F99" s="613"/>
      <c r="G99" s="613"/>
      <c r="H99" s="613"/>
      <c r="I99" s="613"/>
      <c r="J99" s="613"/>
      <c r="K99" s="613"/>
      <c r="L99" s="613"/>
      <c r="M99" s="613"/>
    </row>
    <row r="100" spans="1:13" ht="15" customHeight="1">
      <c r="A100" s="862" t="s">
        <v>279</v>
      </c>
      <c r="B100" s="725"/>
      <c r="C100" s="1234" t="s">
        <v>280</v>
      </c>
      <c r="D100" s="1235"/>
      <c r="E100" s="725"/>
      <c r="F100" s="613"/>
      <c r="G100" s="613"/>
      <c r="H100" s="613"/>
      <c r="I100" s="613"/>
      <c r="J100" s="613"/>
      <c r="K100" s="613"/>
      <c r="L100" s="613"/>
      <c r="M100" s="613"/>
    </row>
    <row r="101" spans="1:13" ht="15" customHeight="1" thickBot="1">
      <c r="A101" s="862" t="s">
        <v>281</v>
      </c>
      <c r="B101" s="725"/>
      <c r="C101" s="1234" t="s">
        <v>282</v>
      </c>
      <c r="D101" s="1235"/>
      <c r="E101" s="726"/>
      <c r="F101" s="613"/>
      <c r="G101" s="613"/>
      <c r="H101" s="613"/>
      <c r="I101" s="613"/>
      <c r="J101" s="613"/>
      <c r="K101" s="613"/>
      <c r="L101" s="613"/>
      <c r="M101" s="613"/>
    </row>
    <row r="102" spans="1:13" ht="15" customHeight="1" thickBot="1">
      <c r="A102" s="862" t="s">
        <v>283</v>
      </c>
      <c r="B102" s="726"/>
      <c r="C102" s="613"/>
      <c r="D102" s="613"/>
      <c r="E102" s="613"/>
      <c r="F102" s="613"/>
      <c r="G102" s="613"/>
      <c r="H102" s="613"/>
      <c r="I102" s="613"/>
      <c r="J102" s="613"/>
      <c r="K102" s="613"/>
      <c r="L102" s="613"/>
      <c r="M102" s="613"/>
    </row>
    <row r="103" spans="1:13" ht="15" customHeight="1" thickBot="1">
      <c r="A103" s="867"/>
      <c r="B103" s="867"/>
      <c r="C103" s="613"/>
      <c r="D103" s="613"/>
      <c r="E103" s="613"/>
      <c r="F103" s="613"/>
      <c r="G103" s="613"/>
      <c r="H103" s="613"/>
      <c r="I103" s="613"/>
      <c r="J103" s="613"/>
      <c r="K103" s="613"/>
      <c r="L103" s="613"/>
      <c r="M103" s="613"/>
    </row>
    <row r="104" spans="1:13" ht="15" customHeight="1">
      <c r="A104" s="1108" t="s">
        <v>284</v>
      </c>
      <c r="B104" s="1084"/>
      <c r="C104" s="1221" t="s">
        <v>2124</v>
      </c>
      <c r="D104" s="1222"/>
      <c r="E104" s="1222"/>
      <c r="F104" s="1222"/>
      <c r="G104" s="1222"/>
      <c r="H104" s="1223"/>
      <c r="I104" s="613"/>
      <c r="J104" s="613"/>
      <c r="K104" s="613"/>
      <c r="L104" s="613"/>
      <c r="M104" s="613"/>
    </row>
    <row r="105" spans="1:13" ht="15" customHeight="1" thickBot="1">
      <c r="A105" s="1108" t="s">
        <v>285</v>
      </c>
      <c r="B105" s="1084"/>
      <c r="C105" s="1224" t="s">
        <v>2125</v>
      </c>
      <c r="D105" s="1225"/>
      <c r="E105" s="1225"/>
      <c r="F105" s="1225"/>
      <c r="G105" s="1225"/>
      <c r="H105" s="1226"/>
      <c r="I105" s="613"/>
      <c r="J105" s="613"/>
      <c r="K105" s="613"/>
      <c r="L105" s="613"/>
      <c r="M105" s="613"/>
    </row>
    <row r="106" spans="1:13" ht="15" customHeight="1">
      <c r="A106" s="867"/>
      <c r="B106" s="867"/>
      <c r="C106" s="613"/>
      <c r="D106" s="613"/>
      <c r="E106" s="613"/>
      <c r="F106" s="613"/>
      <c r="G106" s="613"/>
      <c r="H106" s="613"/>
      <c r="I106" s="613"/>
      <c r="J106" s="613"/>
      <c r="K106" s="613"/>
      <c r="L106" s="613"/>
      <c r="M106" s="613"/>
    </row>
    <row r="107" spans="1:13" ht="15" customHeight="1" thickBot="1">
      <c r="A107" s="867"/>
      <c r="B107" s="867"/>
      <c r="C107" s="613"/>
      <c r="D107" s="613"/>
      <c r="E107" s="613"/>
      <c r="F107" s="613"/>
      <c r="G107" s="613"/>
      <c r="H107" s="613"/>
      <c r="I107" s="613"/>
      <c r="J107" s="613"/>
      <c r="K107" s="613"/>
      <c r="L107" s="613"/>
      <c r="M107" s="613"/>
    </row>
    <row r="108" spans="1:13" ht="15" customHeight="1" thickBot="1">
      <c r="A108" s="727" t="s">
        <v>286</v>
      </c>
      <c r="B108" s="1227" t="s">
        <v>287</v>
      </c>
      <c r="C108" s="1228"/>
      <c r="D108" s="616" t="s">
        <v>79</v>
      </c>
      <c r="E108" s="728">
        <f>D11</f>
        <v>4</v>
      </c>
      <c r="F108" s="729" t="s">
        <v>67</v>
      </c>
      <c r="G108" s="730">
        <v>1</v>
      </c>
      <c r="H108" s="729" t="s">
        <v>68</v>
      </c>
      <c r="I108" s="730">
        <f>H11</f>
        <v>1</v>
      </c>
      <c r="J108" s="731" t="s">
        <v>92</v>
      </c>
      <c r="K108" s="613"/>
      <c r="L108" s="613"/>
      <c r="M108" s="613"/>
    </row>
    <row r="109" spans="1:13" ht="15" customHeight="1">
      <c r="A109" s="867"/>
      <c r="B109" s="732" t="s">
        <v>288</v>
      </c>
      <c r="C109" s="733"/>
      <c r="D109" s="733"/>
      <c r="E109" s="734"/>
      <c r="F109" s="681"/>
      <c r="G109" s="734"/>
      <c r="H109" s="681"/>
      <c r="I109" s="734"/>
      <c r="J109" s="613"/>
      <c r="K109" s="613"/>
      <c r="L109" s="613"/>
      <c r="M109" s="613"/>
    </row>
    <row r="110" spans="1:13" ht="15" customHeight="1">
      <c r="A110" s="867"/>
      <c r="B110" s="1218" t="s">
        <v>289</v>
      </c>
      <c r="C110" s="1218"/>
      <c r="D110" s="991" t="s">
        <v>2114</v>
      </c>
      <c r="E110" s="992">
        <v>4</v>
      </c>
      <c r="F110" s="735" t="s">
        <v>67</v>
      </c>
      <c r="G110" s="996">
        <v>8</v>
      </c>
      <c r="H110" s="735" t="s">
        <v>68</v>
      </c>
      <c r="I110" s="668">
        <v>1</v>
      </c>
      <c r="J110" s="722" t="s">
        <v>92</v>
      </c>
      <c r="K110" s="613"/>
      <c r="L110" s="613"/>
      <c r="M110" s="613"/>
    </row>
    <row r="111" spans="1:13" ht="15" customHeight="1">
      <c r="A111" s="867"/>
      <c r="B111" s="1218" t="s">
        <v>289</v>
      </c>
      <c r="C111" s="1218"/>
      <c r="D111" s="993" t="s">
        <v>2114</v>
      </c>
      <c r="E111" s="994">
        <v>4</v>
      </c>
      <c r="F111" s="735" t="s">
        <v>67</v>
      </c>
      <c r="G111" s="996">
        <v>10</v>
      </c>
      <c r="H111" s="735" t="s">
        <v>68</v>
      </c>
      <c r="I111" s="668">
        <v>1</v>
      </c>
      <c r="J111" s="722" t="s">
        <v>92</v>
      </c>
      <c r="K111" s="613"/>
      <c r="L111" s="613"/>
      <c r="M111" s="613"/>
    </row>
    <row r="112" spans="1:13" ht="15" customHeight="1">
      <c r="A112" s="867"/>
      <c r="B112" s="1218" t="s">
        <v>289</v>
      </c>
      <c r="C112" s="1218"/>
      <c r="D112" s="993" t="s">
        <v>2114</v>
      </c>
      <c r="E112" s="994">
        <v>5</v>
      </c>
      <c r="F112" s="735" t="s">
        <v>67</v>
      </c>
      <c r="G112" s="996">
        <v>4</v>
      </c>
      <c r="H112" s="735" t="s">
        <v>68</v>
      </c>
      <c r="I112" s="668">
        <v>1</v>
      </c>
      <c r="J112" s="722" t="s">
        <v>92</v>
      </c>
      <c r="K112" s="613"/>
      <c r="L112" s="613"/>
      <c r="M112" s="613"/>
    </row>
    <row r="113" spans="1:13" ht="15" customHeight="1">
      <c r="A113" s="867"/>
      <c r="B113" s="1218" t="s">
        <v>289</v>
      </c>
      <c r="C113" s="1218"/>
      <c r="D113" s="995" t="s">
        <v>2114</v>
      </c>
      <c r="E113" s="994">
        <v>6</v>
      </c>
      <c r="F113" s="735" t="s">
        <v>67</v>
      </c>
      <c r="G113" s="996">
        <v>4</v>
      </c>
      <c r="H113" s="735" t="s">
        <v>68</v>
      </c>
      <c r="I113" s="668">
        <v>1</v>
      </c>
      <c r="J113" s="722" t="s">
        <v>92</v>
      </c>
      <c r="K113" s="613"/>
      <c r="L113" s="613"/>
      <c r="M113" s="613"/>
    </row>
    <row r="114" spans="1:13" ht="15" customHeight="1">
      <c r="A114" s="867"/>
      <c r="B114" s="1218" t="s">
        <v>289</v>
      </c>
      <c r="C114" s="1218"/>
      <c r="D114" s="864"/>
      <c r="E114" s="628"/>
      <c r="F114" s="735" t="s">
        <v>67</v>
      </c>
      <c r="G114" s="668"/>
      <c r="H114" s="735" t="s">
        <v>68</v>
      </c>
      <c r="I114" s="668"/>
      <c r="J114" s="722" t="s">
        <v>92</v>
      </c>
      <c r="K114" s="613"/>
      <c r="L114" s="613"/>
      <c r="M114" s="613"/>
    </row>
    <row r="115" spans="1:13" ht="15" customHeight="1">
      <c r="A115" s="867"/>
      <c r="B115" s="1218" t="s">
        <v>289</v>
      </c>
      <c r="C115" s="1218"/>
      <c r="D115" s="864"/>
      <c r="E115" s="628"/>
      <c r="F115" s="735" t="s">
        <v>67</v>
      </c>
      <c r="G115" s="668"/>
      <c r="H115" s="735" t="s">
        <v>68</v>
      </c>
      <c r="I115" s="668"/>
      <c r="J115" s="722" t="s">
        <v>92</v>
      </c>
      <c r="K115" s="613"/>
      <c r="L115" s="613"/>
      <c r="M115" s="613"/>
    </row>
    <row r="116" spans="1:13" ht="15" customHeight="1">
      <c r="A116" s="867"/>
      <c r="B116" s="1218" t="s">
        <v>289</v>
      </c>
      <c r="C116" s="1218"/>
      <c r="D116" s="864"/>
      <c r="E116" s="628"/>
      <c r="F116" s="735" t="s">
        <v>67</v>
      </c>
      <c r="G116" s="668"/>
      <c r="H116" s="735" t="s">
        <v>68</v>
      </c>
      <c r="I116" s="668"/>
      <c r="J116" s="722" t="s">
        <v>92</v>
      </c>
      <c r="K116" s="613"/>
      <c r="L116" s="613"/>
      <c r="M116" s="613"/>
    </row>
    <row r="117" spans="1:13" ht="15" customHeight="1">
      <c r="A117" s="867"/>
      <c r="B117" s="1218" t="s">
        <v>289</v>
      </c>
      <c r="C117" s="1218"/>
      <c r="D117" s="864"/>
      <c r="E117" s="628"/>
      <c r="F117" s="735" t="s">
        <v>67</v>
      </c>
      <c r="G117" s="668"/>
      <c r="H117" s="735" t="s">
        <v>68</v>
      </c>
      <c r="I117" s="668"/>
      <c r="J117" s="722" t="s">
        <v>92</v>
      </c>
      <c r="K117" s="613"/>
      <c r="L117" s="613"/>
      <c r="M117" s="613"/>
    </row>
    <row r="118" spans="1:13" ht="15" customHeight="1">
      <c r="A118" s="867"/>
      <c r="B118" s="1218" t="s">
        <v>289</v>
      </c>
      <c r="C118" s="1218"/>
      <c r="D118" s="864"/>
      <c r="E118" s="628"/>
      <c r="F118" s="735" t="s">
        <v>67</v>
      </c>
      <c r="G118" s="668"/>
      <c r="H118" s="735" t="s">
        <v>68</v>
      </c>
      <c r="I118" s="668"/>
      <c r="J118" s="722" t="s">
        <v>92</v>
      </c>
      <c r="K118" s="613"/>
      <c r="L118" s="613"/>
      <c r="M118" s="613"/>
    </row>
    <row r="119" spans="1:13" ht="15" customHeight="1">
      <c r="A119" s="867"/>
      <c r="B119" s="1218" t="s">
        <v>289</v>
      </c>
      <c r="C119" s="1218"/>
      <c r="D119" s="864"/>
      <c r="E119" s="628"/>
      <c r="F119" s="735" t="s">
        <v>67</v>
      </c>
      <c r="G119" s="668"/>
      <c r="H119" s="735" t="s">
        <v>68</v>
      </c>
      <c r="I119" s="668"/>
      <c r="J119" s="722" t="s">
        <v>92</v>
      </c>
      <c r="K119" s="613"/>
      <c r="L119" s="613"/>
      <c r="M119" s="613"/>
    </row>
    <row r="120" spans="1:13" ht="15" customHeight="1">
      <c r="A120" s="867"/>
      <c r="B120" s="1218" t="s">
        <v>289</v>
      </c>
      <c r="C120" s="1218"/>
      <c r="D120" s="864"/>
      <c r="E120" s="628"/>
      <c r="F120" s="735" t="s">
        <v>67</v>
      </c>
      <c r="G120" s="668"/>
      <c r="H120" s="735" t="s">
        <v>68</v>
      </c>
      <c r="I120" s="668"/>
      <c r="J120" s="722" t="s">
        <v>92</v>
      </c>
      <c r="K120" s="613"/>
      <c r="L120" s="613"/>
      <c r="M120" s="613"/>
    </row>
    <row r="121" spans="1:13" ht="15" customHeight="1">
      <c r="A121" s="867"/>
      <c r="B121" s="1218" t="s">
        <v>289</v>
      </c>
      <c r="C121" s="1218"/>
      <c r="D121" s="864"/>
      <c r="E121" s="628"/>
      <c r="F121" s="735" t="s">
        <v>67</v>
      </c>
      <c r="G121" s="668"/>
      <c r="H121" s="735" t="s">
        <v>68</v>
      </c>
      <c r="I121" s="668"/>
      <c r="J121" s="722" t="s">
        <v>92</v>
      </c>
      <c r="K121" s="613"/>
      <c r="L121" s="613"/>
      <c r="M121" s="613"/>
    </row>
    <row r="122" spans="1:13" ht="15" customHeight="1">
      <c r="A122" s="867"/>
      <c r="B122" s="1218" t="s">
        <v>289</v>
      </c>
      <c r="C122" s="1218"/>
      <c r="D122" s="864"/>
      <c r="E122" s="628"/>
      <c r="F122" s="735" t="s">
        <v>67</v>
      </c>
      <c r="G122" s="668"/>
      <c r="H122" s="735" t="s">
        <v>68</v>
      </c>
      <c r="I122" s="668"/>
      <c r="J122" s="722" t="s">
        <v>92</v>
      </c>
      <c r="K122" s="613"/>
      <c r="L122" s="613"/>
      <c r="M122" s="613"/>
    </row>
    <row r="123" spans="1:13" ht="15" customHeight="1">
      <c r="A123" s="867"/>
      <c r="B123" s="1218" t="s">
        <v>289</v>
      </c>
      <c r="C123" s="1218"/>
      <c r="D123" s="864"/>
      <c r="E123" s="628"/>
      <c r="F123" s="735" t="s">
        <v>67</v>
      </c>
      <c r="G123" s="668"/>
      <c r="H123" s="735" t="s">
        <v>68</v>
      </c>
      <c r="I123" s="668"/>
      <c r="J123" s="722" t="s">
        <v>92</v>
      </c>
      <c r="K123" s="613"/>
      <c r="L123" s="613"/>
      <c r="M123" s="613"/>
    </row>
    <row r="124" spans="1:13" ht="15" customHeight="1">
      <c r="A124" s="867"/>
      <c r="B124" s="1218" t="s">
        <v>289</v>
      </c>
      <c r="C124" s="1218"/>
      <c r="D124" s="864"/>
      <c r="E124" s="628"/>
      <c r="F124" s="735" t="s">
        <v>67</v>
      </c>
      <c r="G124" s="668"/>
      <c r="H124" s="735" t="s">
        <v>68</v>
      </c>
      <c r="I124" s="668"/>
      <c r="J124" s="722" t="s">
        <v>92</v>
      </c>
      <c r="K124" s="613"/>
      <c r="L124" s="613"/>
      <c r="M124" s="613"/>
    </row>
    <row r="125" spans="1:13" ht="15" customHeight="1">
      <c r="A125" s="867"/>
      <c r="B125" s="1218" t="s">
        <v>289</v>
      </c>
      <c r="C125" s="1218"/>
      <c r="D125" s="864"/>
      <c r="E125" s="628"/>
      <c r="F125" s="735" t="s">
        <v>67</v>
      </c>
      <c r="G125" s="668"/>
      <c r="H125" s="735" t="s">
        <v>68</v>
      </c>
      <c r="I125" s="668"/>
      <c r="J125" s="722" t="s">
        <v>92</v>
      </c>
      <c r="K125" s="613"/>
      <c r="L125" s="613"/>
      <c r="M125" s="613"/>
    </row>
    <row r="126" spans="1:13" ht="15" customHeight="1">
      <c r="A126" s="867"/>
      <c r="B126" s="1218" t="s">
        <v>289</v>
      </c>
      <c r="C126" s="1218"/>
      <c r="D126" s="864"/>
      <c r="E126" s="628"/>
      <c r="F126" s="735" t="s">
        <v>67</v>
      </c>
      <c r="G126" s="668"/>
      <c r="H126" s="735" t="s">
        <v>68</v>
      </c>
      <c r="I126" s="668"/>
      <c r="J126" s="722" t="s">
        <v>92</v>
      </c>
      <c r="K126" s="613"/>
      <c r="L126" s="613"/>
      <c r="M126" s="613"/>
    </row>
    <row r="127" spans="1:13" ht="15" customHeight="1">
      <c r="A127" s="867"/>
      <c r="B127" s="1218" t="s">
        <v>289</v>
      </c>
      <c r="C127" s="1218"/>
      <c r="D127" s="864"/>
      <c r="E127" s="628"/>
      <c r="F127" s="735" t="s">
        <v>67</v>
      </c>
      <c r="G127" s="668"/>
      <c r="H127" s="735" t="s">
        <v>68</v>
      </c>
      <c r="I127" s="668"/>
      <c r="J127" s="722" t="s">
        <v>92</v>
      </c>
      <c r="K127" s="613"/>
      <c r="L127" s="613"/>
      <c r="M127" s="613"/>
    </row>
    <row r="128" spans="1:13" ht="15" customHeight="1">
      <c r="A128" s="867"/>
      <c r="B128" s="1218" t="s">
        <v>289</v>
      </c>
      <c r="C128" s="1218"/>
      <c r="D128" s="864"/>
      <c r="E128" s="628"/>
      <c r="F128" s="735" t="s">
        <v>67</v>
      </c>
      <c r="G128" s="668"/>
      <c r="H128" s="735" t="s">
        <v>68</v>
      </c>
      <c r="I128" s="668"/>
      <c r="J128" s="722" t="s">
        <v>92</v>
      </c>
      <c r="K128" s="613"/>
      <c r="L128" s="613"/>
      <c r="M128" s="613"/>
    </row>
    <row r="129" spans="1:13" ht="15" customHeight="1">
      <c r="A129" s="867"/>
      <c r="B129" s="1218" t="s">
        <v>289</v>
      </c>
      <c r="C129" s="1218"/>
      <c r="D129" s="864"/>
      <c r="E129" s="628"/>
      <c r="F129" s="735" t="s">
        <v>67</v>
      </c>
      <c r="G129" s="668"/>
      <c r="H129" s="735" t="s">
        <v>68</v>
      </c>
      <c r="I129" s="668"/>
      <c r="J129" s="722" t="s">
        <v>92</v>
      </c>
      <c r="K129" s="613"/>
      <c r="L129" s="613"/>
      <c r="M129" s="613"/>
    </row>
    <row r="130" spans="1:13" ht="15" customHeight="1">
      <c r="A130" s="867"/>
      <c r="B130" s="1218" t="s">
        <v>289</v>
      </c>
      <c r="C130" s="1218"/>
      <c r="D130" s="864"/>
      <c r="E130" s="628"/>
      <c r="F130" s="735" t="s">
        <v>67</v>
      </c>
      <c r="G130" s="668"/>
      <c r="H130" s="735" t="s">
        <v>68</v>
      </c>
      <c r="I130" s="668"/>
      <c r="J130" s="722" t="s">
        <v>92</v>
      </c>
      <c r="K130" s="613"/>
      <c r="L130" s="613"/>
      <c r="M130" s="613"/>
    </row>
    <row r="131" spans="1:13" ht="15" customHeight="1">
      <c r="A131" s="867"/>
      <c r="B131" s="1218" t="s">
        <v>289</v>
      </c>
      <c r="C131" s="1218"/>
      <c r="D131" s="864"/>
      <c r="E131" s="628"/>
      <c r="F131" s="735" t="s">
        <v>67</v>
      </c>
      <c r="G131" s="668"/>
      <c r="H131" s="735" t="s">
        <v>68</v>
      </c>
      <c r="I131" s="668"/>
      <c r="J131" s="722" t="s">
        <v>92</v>
      </c>
      <c r="K131" s="613"/>
      <c r="L131" s="613"/>
      <c r="M131" s="613"/>
    </row>
    <row r="132" spans="1:13" ht="15" customHeight="1">
      <c r="A132" s="867"/>
      <c r="B132" s="1218" t="s">
        <v>289</v>
      </c>
      <c r="C132" s="1218"/>
      <c r="D132" s="864"/>
      <c r="E132" s="628"/>
      <c r="F132" s="735" t="s">
        <v>67</v>
      </c>
      <c r="G132" s="668"/>
      <c r="H132" s="735" t="s">
        <v>68</v>
      </c>
      <c r="I132" s="668"/>
      <c r="J132" s="722" t="s">
        <v>92</v>
      </c>
      <c r="K132" s="613"/>
      <c r="L132" s="613"/>
      <c r="M132" s="613"/>
    </row>
    <row r="133" spans="1:13" ht="15" customHeight="1">
      <c r="A133" s="867"/>
      <c r="B133" s="1218" t="s">
        <v>289</v>
      </c>
      <c r="C133" s="1218"/>
      <c r="D133" s="864"/>
      <c r="E133" s="628"/>
      <c r="F133" s="735" t="s">
        <v>67</v>
      </c>
      <c r="G133" s="668"/>
      <c r="H133" s="735" t="s">
        <v>68</v>
      </c>
      <c r="I133" s="668"/>
      <c r="J133" s="722" t="s">
        <v>92</v>
      </c>
      <c r="K133" s="613"/>
      <c r="L133" s="613"/>
      <c r="M133" s="613"/>
    </row>
    <row r="134" spans="1:13" ht="15" customHeight="1">
      <c r="A134" s="867"/>
      <c r="B134" s="1218" t="s">
        <v>289</v>
      </c>
      <c r="C134" s="1218"/>
      <c r="D134" s="864"/>
      <c r="E134" s="628"/>
      <c r="F134" s="735" t="s">
        <v>67</v>
      </c>
      <c r="G134" s="668"/>
      <c r="H134" s="735" t="s">
        <v>68</v>
      </c>
      <c r="I134" s="668"/>
      <c r="J134" s="722" t="s">
        <v>92</v>
      </c>
      <c r="K134" s="613"/>
      <c r="L134" s="613"/>
      <c r="M134" s="613"/>
    </row>
    <row r="135" spans="1:13" ht="15" customHeight="1">
      <c r="A135" s="867"/>
      <c r="B135" s="1218" t="s">
        <v>289</v>
      </c>
      <c r="C135" s="1218"/>
      <c r="D135" s="864"/>
      <c r="E135" s="628"/>
      <c r="F135" s="735" t="s">
        <v>67</v>
      </c>
      <c r="G135" s="668"/>
      <c r="H135" s="735" t="s">
        <v>68</v>
      </c>
      <c r="I135" s="668"/>
      <c r="J135" s="722" t="s">
        <v>92</v>
      </c>
      <c r="K135" s="613"/>
      <c r="L135" s="613"/>
      <c r="M135" s="613"/>
    </row>
    <row r="136" spans="1:13" ht="15" customHeight="1">
      <c r="A136" s="867"/>
      <c r="B136" s="1218" t="s">
        <v>289</v>
      </c>
      <c r="C136" s="1218"/>
      <c r="D136" s="864"/>
      <c r="E136" s="628"/>
      <c r="F136" s="735" t="s">
        <v>67</v>
      </c>
      <c r="G136" s="668"/>
      <c r="H136" s="735" t="s">
        <v>68</v>
      </c>
      <c r="I136" s="668"/>
      <c r="J136" s="722" t="s">
        <v>92</v>
      </c>
      <c r="K136" s="613"/>
      <c r="L136" s="613"/>
      <c r="M136" s="613"/>
    </row>
    <row r="137" spans="1:13" ht="15" customHeight="1">
      <c r="A137" s="867"/>
      <c r="B137" s="1218" t="s">
        <v>289</v>
      </c>
      <c r="C137" s="1218"/>
      <c r="D137" s="864"/>
      <c r="E137" s="628"/>
      <c r="F137" s="735" t="s">
        <v>67</v>
      </c>
      <c r="G137" s="668"/>
      <c r="H137" s="735" t="s">
        <v>68</v>
      </c>
      <c r="I137" s="668"/>
      <c r="J137" s="722" t="s">
        <v>92</v>
      </c>
      <c r="K137" s="613"/>
      <c r="L137" s="613"/>
      <c r="M137" s="613"/>
    </row>
    <row r="138" spans="1:13" ht="15" customHeight="1">
      <c r="A138" s="867"/>
      <c r="B138" s="1218" t="s">
        <v>289</v>
      </c>
      <c r="C138" s="1218"/>
      <c r="D138" s="864"/>
      <c r="E138" s="628"/>
      <c r="F138" s="735" t="s">
        <v>67</v>
      </c>
      <c r="G138" s="668"/>
      <c r="H138" s="735" t="s">
        <v>68</v>
      </c>
      <c r="I138" s="668"/>
      <c r="J138" s="722" t="s">
        <v>92</v>
      </c>
      <c r="K138" s="613"/>
      <c r="L138" s="613"/>
      <c r="M138" s="613"/>
    </row>
    <row r="139" spans="1:13" ht="15" customHeight="1">
      <c r="A139" s="867"/>
      <c r="B139" s="1218" t="s">
        <v>289</v>
      </c>
      <c r="C139" s="1218"/>
      <c r="D139" s="864"/>
      <c r="E139" s="628"/>
      <c r="F139" s="735" t="s">
        <v>67</v>
      </c>
      <c r="G139" s="668"/>
      <c r="H139" s="735" t="s">
        <v>68</v>
      </c>
      <c r="I139" s="668"/>
      <c r="J139" s="722" t="s">
        <v>92</v>
      </c>
      <c r="K139" s="613"/>
      <c r="L139" s="613"/>
      <c r="M139" s="613"/>
    </row>
    <row r="140" spans="1:13" ht="15" customHeight="1">
      <c r="A140" s="867"/>
      <c r="B140" s="1218" t="s">
        <v>289</v>
      </c>
      <c r="C140" s="1218"/>
      <c r="D140" s="864"/>
      <c r="E140" s="628"/>
      <c r="F140" s="735" t="s">
        <v>67</v>
      </c>
      <c r="G140" s="668"/>
      <c r="H140" s="735" t="s">
        <v>68</v>
      </c>
      <c r="I140" s="668"/>
      <c r="J140" s="722" t="s">
        <v>92</v>
      </c>
      <c r="K140" s="613"/>
      <c r="L140" s="613"/>
      <c r="M140" s="613"/>
    </row>
    <row r="141" spans="1:13" ht="15" customHeight="1">
      <c r="A141" s="867"/>
      <c r="B141" s="1218" t="s">
        <v>289</v>
      </c>
      <c r="C141" s="1218"/>
      <c r="D141" s="864"/>
      <c r="E141" s="628"/>
      <c r="F141" s="735" t="s">
        <v>67</v>
      </c>
      <c r="G141" s="668"/>
      <c r="H141" s="735" t="s">
        <v>68</v>
      </c>
      <c r="I141" s="668"/>
      <c r="J141" s="722" t="s">
        <v>92</v>
      </c>
      <c r="K141" s="613"/>
      <c r="L141" s="613"/>
      <c r="M141" s="613"/>
    </row>
    <row r="142" spans="1:13" ht="15" customHeight="1">
      <c r="A142" s="867"/>
      <c r="B142" s="1218" t="s">
        <v>289</v>
      </c>
      <c r="C142" s="1218"/>
      <c r="D142" s="864"/>
      <c r="E142" s="628"/>
      <c r="F142" s="735" t="s">
        <v>67</v>
      </c>
      <c r="G142" s="668"/>
      <c r="H142" s="735" t="s">
        <v>68</v>
      </c>
      <c r="I142" s="668"/>
      <c r="J142" s="722" t="s">
        <v>92</v>
      </c>
      <c r="K142" s="613"/>
      <c r="L142" s="613"/>
      <c r="M142" s="613"/>
    </row>
    <row r="143" spans="1:13" ht="15" customHeight="1">
      <c r="A143" s="867"/>
      <c r="B143" s="1218" t="s">
        <v>289</v>
      </c>
      <c r="C143" s="1218"/>
      <c r="D143" s="864"/>
      <c r="E143" s="628"/>
      <c r="F143" s="735" t="s">
        <v>67</v>
      </c>
      <c r="G143" s="668"/>
      <c r="H143" s="735" t="s">
        <v>68</v>
      </c>
      <c r="I143" s="668"/>
      <c r="J143" s="722" t="s">
        <v>92</v>
      </c>
      <c r="K143" s="613"/>
      <c r="L143" s="613"/>
      <c r="M143" s="613"/>
    </row>
    <row r="144" spans="1:13" ht="15" customHeight="1">
      <c r="A144" s="867"/>
      <c r="B144" s="1218" t="s">
        <v>289</v>
      </c>
      <c r="C144" s="1218"/>
      <c r="D144" s="864"/>
      <c r="E144" s="628"/>
      <c r="F144" s="735" t="s">
        <v>67</v>
      </c>
      <c r="G144" s="668"/>
      <c r="H144" s="735" t="s">
        <v>68</v>
      </c>
      <c r="I144" s="668"/>
      <c r="J144" s="722" t="s">
        <v>92</v>
      </c>
      <c r="K144" s="613"/>
      <c r="L144" s="613"/>
      <c r="M144" s="613"/>
    </row>
    <row r="145" spans="1:13" ht="15" customHeight="1">
      <c r="A145" s="867"/>
      <c r="B145" s="1218" t="s">
        <v>289</v>
      </c>
      <c r="C145" s="1218"/>
      <c r="D145" s="864"/>
      <c r="E145" s="628"/>
      <c r="F145" s="735" t="s">
        <v>67</v>
      </c>
      <c r="G145" s="668"/>
      <c r="H145" s="735" t="s">
        <v>68</v>
      </c>
      <c r="I145" s="668"/>
      <c r="J145" s="722" t="s">
        <v>92</v>
      </c>
      <c r="K145" s="613"/>
      <c r="L145" s="613"/>
      <c r="M145" s="613"/>
    </row>
    <row r="146" spans="1:13" ht="15" customHeight="1">
      <c r="A146" s="867"/>
      <c r="B146" s="1218" t="s">
        <v>289</v>
      </c>
      <c r="C146" s="1218"/>
      <c r="D146" s="864"/>
      <c r="E146" s="628"/>
      <c r="F146" s="735" t="s">
        <v>67</v>
      </c>
      <c r="G146" s="668"/>
      <c r="H146" s="735" t="s">
        <v>68</v>
      </c>
      <c r="I146" s="668"/>
      <c r="J146" s="722" t="s">
        <v>92</v>
      </c>
      <c r="K146" s="613"/>
      <c r="L146" s="613"/>
      <c r="M146" s="613"/>
    </row>
    <row r="147" spans="1:13" ht="15" customHeight="1">
      <c r="A147" s="867"/>
      <c r="B147" s="1218" t="s">
        <v>289</v>
      </c>
      <c r="C147" s="1218"/>
      <c r="D147" s="864"/>
      <c r="E147" s="628"/>
      <c r="F147" s="735" t="s">
        <v>67</v>
      </c>
      <c r="G147" s="668"/>
      <c r="H147" s="735" t="s">
        <v>68</v>
      </c>
      <c r="I147" s="668"/>
      <c r="J147" s="722" t="s">
        <v>92</v>
      </c>
      <c r="K147" s="613"/>
      <c r="L147" s="613"/>
      <c r="M147" s="613"/>
    </row>
    <row r="148" spans="1:13" ht="15" customHeight="1">
      <c r="A148" s="867"/>
      <c r="B148" s="1218" t="s">
        <v>289</v>
      </c>
      <c r="C148" s="1218"/>
      <c r="D148" s="864"/>
      <c r="E148" s="628"/>
      <c r="F148" s="735" t="s">
        <v>67</v>
      </c>
      <c r="G148" s="668"/>
      <c r="H148" s="735" t="s">
        <v>68</v>
      </c>
      <c r="I148" s="668"/>
      <c r="J148" s="722" t="s">
        <v>92</v>
      </c>
      <c r="K148" s="613"/>
      <c r="L148" s="613"/>
      <c r="M148" s="613"/>
    </row>
    <row r="149" spans="1:13" ht="15" customHeight="1">
      <c r="A149" s="867"/>
      <c r="B149" s="1218" t="s">
        <v>289</v>
      </c>
      <c r="C149" s="1218"/>
      <c r="D149" s="864"/>
      <c r="E149" s="628"/>
      <c r="F149" s="735" t="s">
        <v>67</v>
      </c>
      <c r="G149" s="668"/>
      <c r="H149" s="735" t="s">
        <v>68</v>
      </c>
      <c r="I149" s="668"/>
      <c r="J149" s="722" t="s">
        <v>92</v>
      </c>
      <c r="K149" s="613"/>
      <c r="L149" s="613"/>
      <c r="M149" s="613"/>
    </row>
    <row r="150" spans="1:13" ht="15" customHeight="1">
      <c r="A150" s="867"/>
      <c r="B150" s="1218" t="s">
        <v>289</v>
      </c>
      <c r="C150" s="1218"/>
      <c r="D150" s="864"/>
      <c r="E150" s="628"/>
      <c r="F150" s="735" t="s">
        <v>67</v>
      </c>
      <c r="G150" s="668"/>
      <c r="H150" s="735" t="s">
        <v>68</v>
      </c>
      <c r="I150" s="668"/>
      <c r="J150" s="722" t="s">
        <v>92</v>
      </c>
      <c r="K150" s="613"/>
      <c r="L150" s="613"/>
      <c r="M150" s="613"/>
    </row>
    <row r="151" spans="1:13" ht="15" customHeight="1">
      <c r="A151" s="867"/>
      <c r="B151" s="1218" t="s">
        <v>289</v>
      </c>
      <c r="C151" s="1218"/>
      <c r="D151" s="864"/>
      <c r="E151" s="628"/>
      <c r="F151" s="735" t="s">
        <v>67</v>
      </c>
      <c r="G151" s="668"/>
      <c r="H151" s="735" t="s">
        <v>68</v>
      </c>
      <c r="I151" s="668"/>
      <c r="J151" s="722" t="s">
        <v>92</v>
      </c>
      <c r="K151" s="613"/>
      <c r="L151" s="613"/>
      <c r="M151" s="613"/>
    </row>
    <row r="152" spans="1:13" ht="15" customHeight="1">
      <c r="A152" s="867"/>
      <c r="B152" s="1218" t="s">
        <v>289</v>
      </c>
      <c r="C152" s="1218"/>
      <c r="D152" s="864"/>
      <c r="E152" s="628"/>
      <c r="F152" s="735" t="s">
        <v>67</v>
      </c>
      <c r="G152" s="668"/>
      <c r="H152" s="735" t="s">
        <v>68</v>
      </c>
      <c r="I152" s="668"/>
      <c r="J152" s="722" t="s">
        <v>92</v>
      </c>
      <c r="K152" s="613"/>
      <c r="L152" s="613"/>
      <c r="M152" s="613"/>
    </row>
    <row r="153" spans="1:13" ht="15" customHeight="1">
      <c r="A153" s="867"/>
      <c r="B153" s="1218" t="s">
        <v>289</v>
      </c>
      <c r="C153" s="1218"/>
      <c r="D153" s="864"/>
      <c r="E153" s="628"/>
      <c r="F153" s="735" t="s">
        <v>67</v>
      </c>
      <c r="G153" s="668"/>
      <c r="H153" s="735" t="s">
        <v>68</v>
      </c>
      <c r="I153" s="668"/>
      <c r="J153" s="722" t="s">
        <v>92</v>
      </c>
      <c r="K153" s="613"/>
      <c r="L153" s="613"/>
      <c r="M153" s="613"/>
    </row>
    <row r="154" spans="1:13" ht="15" customHeight="1">
      <c r="A154" s="867"/>
      <c r="B154" s="1218" t="s">
        <v>289</v>
      </c>
      <c r="C154" s="1218"/>
      <c r="D154" s="864"/>
      <c r="E154" s="628"/>
      <c r="F154" s="735" t="s">
        <v>67</v>
      </c>
      <c r="G154" s="668"/>
      <c r="H154" s="735" t="s">
        <v>68</v>
      </c>
      <c r="I154" s="668"/>
      <c r="J154" s="722" t="s">
        <v>92</v>
      </c>
      <c r="K154" s="613"/>
      <c r="L154" s="613"/>
      <c r="M154" s="613"/>
    </row>
    <row r="155" spans="1:13" ht="15" customHeight="1">
      <c r="A155" s="867"/>
      <c r="B155" s="1218" t="s">
        <v>289</v>
      </c>
      <c r="C155" s="1218"/>
      <c r="D155" s="864"/>
      <c r="E155" s="628"/>
      <c r="F155" s="735" t="s">
        <v>67</v>
      </c>
      <c r="G155" s="668"/>
      <c r="H155" s="735" t="s">
        <v>68</v>
      </c>
      <c r="I155" s="668"/>
      <c r="J155" s="722" t="s">
        <v>92</v>
      </c>
      <c r="K155" s="613"/>
      <c r="L155" s="613"/>
      <c r="M155" s="613"/>
    </row>
    <row r="156" spans="1:13" ht="15" customHeight="1">
      <c r="A156" s="867"/>
      <c r="B156" s="1218" t="s">
        <v>289</v>
      </c>
      <c r="C156" s="1218"/>
      <c r="D156" s="864"/>
      <c r="E156" s="628"/>
      <c r="F156" s="735" t="s">
        <v>67</v>
      </c>
      <c r="G156" s="668"/>
      <c r="H156" s="735" t="s">
        <v>68</v>
      </c>
      <c r="I156" s="668"/>
      <c r="J156" s="722" t="s">
        <v>92</v>
      </c>
      <c r="K156" s="613"/>
      <c r="L156" s="613"/>
      <c r="M156" s="613"/>
    </row>
    <row r="157" spans="1:13" ht="15" customHeight="1">
      <c r="A157" s="867"/>
      <c r="B157" s="1218" t="s">
        <v>289</v>
      </c>
      <c r="C157" s="1218"/>
      <c r="D157" s="864"/>
      <c r="E157" s="628"/>
      <c r="F157" s="735" t="s">
        <v>67</v>
      </c>
      <c r="G157" s="668"/>
      <c r="H157" s="735" t="s">
        <v>68</v>
      </c>
      <c r="I157" s="668"/>
      <c r="J157" s="722" t="s">
        <v>92</v>
      </c>
      <c r="K157" s="613"/>
      <c r="L157" s="613"/>
      <c r="M157" s="613"/>
    </row>
    <row r="158" spans="1:13" ht="15" customHeight="1">
      <c r="A158" s="867"/>
      <c r="B158" s="1218" t="s">
        <v>289</v>
      </c>
      <c r="C158" s="1218"/>
      <c r="D158" s="864"/>
      <c r="E158" s="628"/>
      <c r="F158" s="735" t="s">
        <v>67</v>
      </c>
      <c r="G158" s="668"/>
      <c r="H158" s="735" t="s">
        <v>68</v>
      </c>
      <c r="I158" s="668"/>
      <c r="J158" s="722" t="s">
        <v>92</v>
      </c>
      <c r="K158" s="613"/>
      <c r="L158" s="613"/>
      <c r="M158" s="613"/>
    </row>
    <row r="159" spans="1:13" ht="15" customHeight="1">
      <c r="A159" s="867"/>
      <c r="B159" s="867"/>
      <c r="C159" s="613"/>
      <c r="D159" s="613"/>
      <c r="E159" s="613"/>
      <c r="F159" s="613"/>
      <c r="G159" s="613"/>
      <c r="H159" s="613"/>
      <c r="I159" s="613"/>
      <c r="J159" s="613"/>
      <c r="K159" s="613"/>
      <c r="L159" s="613"/>
      <c r="M159" s="613"/>
    </row>
    <row r="160" spans="1:13" ht="15" customHeight="1" thickBot="1">
      <c r="A160" s="613" t="s">
        <v>290</v>
      </c>
      <c r="B160" s="613"/>
      <c r="C160" s="613"/>
      <c r="D160" s="613"/>
      <c r="E160" s="613"/>
      <c r="F160" s="613"/>
      <c r="G160" s="613"/>
      <c r="H160" s="613"/>
      <c r="I160" s="613"/>
      <c r="J160" s="613"/>
      <c r="K160" s="613"/>
      <c r="L160" s="613"/>
      <c r="M160" s="613"/>
    </row>
    <row r="161" spans="1:13" ht="15" customHeight="1">
      <c r="A161" s="736" t="s">
        <v>291</v>
      </c>
      <c r="B161" s="1066"/>
      <c r="C161" s="1066"/>
      <c r="D161" s="1067"/>
      <c r="E161" s="613"/>
      <c r="F161" s="613"/>
      <c r="G161" s="613"/>
      <c r="H161" s="613"/>
      <c r="I161" s="613"/>
      <c r="J161" s="613"/>
      <c r="K161" s="613"/>
      <c r="L161" s="613"/>
      <c r="M161" s="613"/>
    </row>
    <row r="162" spans="1:13" ht="15" customHeight="1">
      <c r="A162" s="1068" t="s">
        <v>292</v>
      </c>
      <c r="B162" s="1070"/>
      <c r="C162" s="1070"/>
      <c r="D162" s="1071"/>
      <c r="E162" s="613" t="s">
        <v>293</v>
      </c>
      <c r="F162" s="613"/>
      <c r="G162" s="613"/>
      <c r="H162" s="613"/>
      <c r="I162" s="613"/>
      <c r="J162" s="613"/>
      <c r="K162" s="613"/>
      <c r="L162" s="613"/>
      <c r="M162" s="613"/>
    </row>
    <row r="163" spans="1:13" ht="15" customHeight="1">
      <c r="A163" s="1069"/>
      <c r="B163" s="1072"/>
      <c r="C163" s="1072"/>
      <c r="D163" s="1073"/>
      <c r="E163" s="613"/>
      <c r="F163" s="613"/>
      <c r="G163" s="613"/>
      <c r="H163" s="613"/>
      <c r="I163" s="613"/>
      <c r="J163" s="613"/>
      <c r="K163" s="613"/>
      <c r="L163" s="613"/>
      <c r="M163" s="613"/>
    </row>
    <row r="164" spans="1:13" ht="15" customHeight="1">
      <c r="A164" s="1068" t="s">
        <v>294</v>
      </c>
      <c r="B164" s="1070"/>
      <c r="C164" s="1070"/>
      <c r="D164" s="1071"/>
      <c r="E164" s="613" t="s">
        <v>293</v>
      </c>
      <c r="F164" s="613"/>
      <c r="G164" s="613"/>
      <c r="H164" s="613"/>
      <c r="I164" s="613"/>
      <c r="J164" s="613"/>
      <c r="K164" s="613"/>
      <c r="L164" s="613"/>
      <c r="M164" s="613"/>
    </row>
    <row r="165" spans="1:13" ht="15" customHeight="1">
      <c r="A165" s="1069"/>
      <c r="B165" s="1072"/>
      <c r="C165" s="1072"/>
      <c r="D165" s="1073"/>
      <c r="E165" s="613"/>
      <c r="F165" s="613"/>
      <c r="G165" s="613"/>
      <c r="H165" s="613"/>
      <c r="I165" s="613"/>
      <c r="J165" s="613"/>
      <c r="K165" s="613"/>
      <c r="L165" s="613"/>
      <c r="M165" s="613"/>
    </row>
    <row r="166" spans="1:13" ht="15" customHeight="1">
      <c r="A166" s="1058" t="s">
        <v>295</v>
      </c>
      <c r="B166" s="1060"/>
      <c r="C166" s="1060"/>
      <c r="D166" s="1061"/>
      <c r="E166" s="613"/>
      <c r="F166" s="613"/>
      <c r="G166" s="613"/>
      <c r="H166" s="613"/>
      <c r="I166" s="613"/>
      <c r="J166" s="613"/>
      <c r="K166" s="613"/>
      <c r="L166" s="613"/>
      <c r="M166" s="613"/>
    </row>
    <row r="167" spans="1:13" ht="15" customHeight="1" thickBot="1">
      <c r="A167" s="1059"/>
      <c r="B167" s="1062"/>
      <c r="C167" s="1062"/>
      <c r="D167" s="1063"/>
      <c r="E167" s="613"/>
      <c r="F167" s="613"/>
      <c r="G167" s="613"/>
      <c r="H167" s="613"/>
      <c r="I167" s="613"/>
      <c r="J167" s="613"/>
      <c r="K167" s="613"/>
      <c r="L167" s="613"/>
      <c r="M167" s="613"/>
    </row>
    <row r="168" spans="1:13" ht="15" customHeight="1">
      <c r="A168" s="613"/>
      <c r="B168" s="613"/>
      <c r="C168" s="613"/>
      <c r="D168" s="613"/>
      <c r="E168" s="613"/>
      <c r="F168" s="613"/>
      <c r="G168" s="613"/>
      <c r="H168" s="613"/>
      <c r="I168" s="613"/>
      <c r="J168" s="613"/>
      <c r="K168" s="613"/>
      <c r="L168" s="613"/>
      <c r="M168" s="613"/>
    </row>
    <row r="169" spans="1:13" ht="15" customHeight="1">
      <c r="A169" s="613"/>
      <c r="B169" s="613"/>
      <c r="C169" s="613"/>
      <c r="D169" s="613"/>
      <c r="E169" s="613"/>
      <c r="F169" s="613"/>
      <c r="G169" s="613"/>
      <c r="H169" s="613"/>
      <c r="I169" s="613"/>
      <c r="J169" s="613"/>
      <c r="K169" s="613"/>
      <c r="L169" s="613"/>
      <c r="M169" s="613"/>
    </row>
    <row r="170" spans="1:13" ht="15" customHeight="1">
      <c r="A170" s="613"/>
      <c r="B170" s="613"/>
      <c r="C170" s="613"/>
      <c r="D170" s="613"/>
      <c r="E170" s="613"/>
      <c r="F170" s="613"/>
      <c r="G170" s="613"/>
      <c r="H170" s="613"/>
      <c r="I170" s="613"/>
      <c r="J170" s="613"/>
      <c r="K170" s="613"/>
      <c r="L170" s="613"/>
      <c r="M170" s="613"/>
    </row>
    <row r="171" spans="1:13" ht="15" customHeight="1">
      <c r="A171" s="613"/>
      <c r="B171" s="613"/>
      <c r="C171" s="613"/>
      <c r="D171" s="613"/>
      <c r="E171" s="613"/>
      <c r="F171" s="613"/>
      <c r="G171" s="613"/>
      <c r="H171" s="613"/>
      <c r="I171" s="613"/>
      <c r="J171" s="613"/>
      <c r="K171" s="613"/>
      <c r="L171" s="613"/>
      <c r="M171" s="613"/>
    </row>
    <row r="172" spans="1:13" ht="15" customHeight="1">
      <c r="A172" s="613"/>
      <c r="B172" s="613"/>
      <c r="C172" s="613"/>
      <c r="D172" s="613"/>
      <c r="E172" s="613"/>
      <c r="F172" s="613"/>
      <c r="G172" s="613"/>
      <c r="H172" s="613"/>
      <c r="I172" s="613"/>
      <c r="J172" s="613"/>
      <c r="K172" s="613"/>
      <c r="L172" s="613"/>
      <c r="M172" s="613"/>
    </row>
    <row r="173" spans="1:13" ht="15" customHeight="1">
      <c r="A173" s="613"/>
      <c r="B173" s="613"/>
      <c r="C173" s="613"/>
      <c r="D173" s="613"/>
      <c r="E173" s="613"/>
      <c r="F173" s="613"/>
      <c r="G173" s="613"/>
      <c r="H173" s="613"/>
      <c r="I173" s="613"/>
      <c r="J173" s="613"/>
      <c r="K173" s="613"/>
      <c r="L173" s="613"/>
      <c r="M173" s="613"/>
    </row>
    <row r="174" spans="1:13" ht="15" customHeight="1">
      <c r="A174" s="613"/>
      <c r="B174" s="613"/>
      <c r="C174" s="613"/>
      <c r="D174" s="613"/>
      <c r="E174" s="613"/>
      <c r="F174" s="613"/>
      <c r="G174" s="613"/>
      <c r="H174" s="613"/>
      <c r="I174" s="613"/>
      <c r="J174" s="613"/>
      <c r="K174" s="613"/>
      <c r="L174" s="613"/>
      <c r="M174" s="613"/>
    </row>
    <row r="175" spans="1:13" ht="15" customHeight="1"/>
    <row r="176" spans="1:13" ht="15" customHeight="1"/>
    <row r="279" spans="4:4">
      <c r="D279" s="611" t="str">
        <f>DBCS(【マスター】!D973)</f>
        <v/>
      </c>
    </row>
  </sheetData>
  <sheetProtection selectLockedCells="1"/>
  <mergeCells count="257">
    <mergeCell ref="G94:I94"/>
    <mergeCell ref="C7:H7"/>
    <mergeCell ref="A1:L1"/>
    <mergeCell ref="A4:B4"/>
    <mergeCell ref="A6:B6"/>
    <mergeCell ref="C6:H6"/>
    <mergeCell ref="A7:B7"/>
    <mergeCell ref="B110:C110"/>
    <mergeCell ref="F34:G34"/>
    <mergeCell ref="H34:I34"/>
    <mergeCell ref="J34:K34"/>
    <mergeCell ref="F35:G35"/>
    <mergeCell ref="H35:I35"/>
    <mergeCell ref="J35:K35"/>
    <mergeCell ref="H41:I41"/>
    <mergeCell ref="H42:I42"/>
    <mergeCell ref="H43:I43"/>
    <mergeCell ref="H44:I44"/>
    <mergeCell ref="H45:I45"/>
    <mergeCell ref="H46:I46"/>
    <mergeCell ref="H47:I47"/>
    <mergeCell ref="H48:I48"/>
    <mergeCell ref="F8:K8"/>
    <mergeCell ref="A9:B9"/>
    <mergeCell ref="B111:C111"/>
    <mergeCell ref="B112:C112"/>
    <mergeCell ref="B113:C113"/>
    <mergeCell ref="A49:B49"/>
    <mergeCell ref="A51:B51"/>
    <mergeCell ref="A36:B36"/>
    <mergeCell ref="C36:E36"/>
    <mergeCell ref="A34:B34"/>
    <mergeCell ref="D34:E34"/>
    <mergeCell ref="A35:B35"/>
    <mergeCell ref="D35:E35"/>
    <mergeCell ref="C98:D98"/>
    <mergeCell ref="C99:D99"/>
    <mergeCell ref="A48:B48"/>
    <mergeCell ref="C101:D101"/>
    <mergeCell ref="A50:B50"/>
    <mergeCell ref="A56:B56"/>
    <mergeCell ref="A60:B60"/>
    <mergeCell ref="A61:B61"/>
    <mergeCell ref="A62:B62"/>
    <mergeCell ref="A63:B63"/>
    <mergeCell ref="A70:B70"/>
    <mergeCell ref="A73:B73"/>
    <mergeCell ref="A66:B66"/>
    <mergeCell ref="B115:C115"/>
    <mergeCell ref="B116:C116"/>
    <mergeCell ref="A95:B96"/>
    <mergeCell ref="D95:I95"/>
    <mergeCell ref="D96:F96"/>
    <mergeCell ref="G96:I96"/>
    <mergeCell ref="A77:B77"/>
    <mergeCell ref="D77:E77"/>
    <mergeCell ref="A78:B78"/>
    <mergeCell ref="D78:E78"/>
    <mergeCell ref="A93:B94"/>
    <mergeCell ref="D93:I93"/>
    <mergeCell ref="D94:F94"/>
    <mergeCell ref="B114:C114"/>
    <mergeCell ref="A104:B104"/>
    <mergeCell ref="C104:H104"/>
    <mergeCell ref="A105:B105"/>
    <mergeCell ref="C105:H105"/>
    <mergeCell ref="B108:C108"/>
    <mergeCell ref="A81:B81"/>
    <mergeCell ref="C81:D81"/>
    <mergeCell ref="A83:B83"/>
    <mergeCell ref="C83:I83"/>
    <mergeCell ref="C100:D100"/>
    <mergeCell ref="B133:C133"/>
    <mergeCell ref="B134:C134"/>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56:C156"/>
    <mergeCell ref="B157:C157"/>
    <mergeCell ref="B158:C158"/>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C9:E9"/>
    <mergeCell ref="F9:H9"/>
    <mergeCell ref="I9:K9"/>
    <mergeCell ref="A10:B10"/>
    <mergeCell ref="A11:B11"/>
    <mergeCell ref="A12:B12"/>
    <mergeCell ref="F12:H12"/>
    <mergeCell ref="A13:B13"/>
    <mergeCell ref="F13:H13"/>
    <mergeCell ref="A14:B15"/>
    <mergeCell ref="K14:L14"/>
    <mergeCell ref="K15:L15"/>
    <mergeCell ref="A16:B16"/>
    <mergeCell ref="C16:D16"/>
    <mergeCell ref="A17:B17"/>
    <mergeCell ref="E17:G17"/>
    <mergeCell ref="I16:J16"/>
    <mergeCell ref="K16:L16"/>
    <mergeCell ref="E16:F16"/>
    <mergeCell ref="G16:H16"/>
    <mergeCell ref="A18:B18"/>
    <mergeCell ref="C18:L18"/>
    <mergeCell ref="A19:B19"/>
    <mergeCell ref="C19:L19"/>
    <mergeCell ref="A20:B20"/>
    <mergeCell ref="C20:H20"/>
    <mergeCell ref="A21:B21"/>
    <mergeCell ref="C21:K21"/>
    <mergeCell ref="A22:B23"/>
    <mergeCell ref="F22:K22"/>
    <mergeCell ref="C23:K23"/>
    <mergeCell ref="A24:B24"/>
    <mergeCell ref="C24:E24"/>
    <mergeCell ref="F24:H24"/>
    <mergeCell ref="I24:K24"/>
    <mergeCell ref="A25:B25"/>
    <mergeCell ref="C25:G25"/>
    <mergeCell ref="I25:K25"/>
    <mergeCell ref="A29:B29"/>
    <mergeCell ref="D29:K29"/>
    <mergeCell ref="A26:B26"/>
    <mergeCell ref="D26:E26"/>
    <mergeCell ref="F26:I26"/>
    <mergeCell ref="A27:B27"/>
    <mergeCell ref="A28:B28"/>
    <mergeCell ref="D28:E28"/>
    <mergeCell ref="F28:I28"/>
    <mergeCell ref="A30:B30"/>
    <mergeCell ref="D30:E30"/>
    <mergeCell ref="F30:G30"/>
    <mergeCell ref="H30:I30"/>
    <mergeCell ref="J30:K30"/>
    <mergeCell ref="A31:B31"/>
    <mergeCell ref="D31:E31"/>
    <mergeCell ref="F31:G31"/>
    <mergeCell ref="H31:I31"/>
    <mergeCell ref="J31:K31"/>
    <mergeCell ref="O66:R66"/>
    <mergeCell ref="O67:R67"/>
    <mergeCell ref="O68:R68"/>
    <mergeCell ref="O69:R69"/>
    <mergeCell ref="A68:B68"/>
    <mergeCell ref="F32:G32"/>
    <mergeCell ref="H32:I32"/>
    <mergeCell ref="J32:K32"/>
    <mergeCell ref="A33:B33"/>
    <mergeCell ref="D33:E33"/>
    <mergeCell ref="F33:G33"/>
    <mergeCell ref="H33:I33"/>
    <mergeCell ref="J33:K33"/>
    <mergeCell ref="A32:B32"/>
    <mergeCell ref="D32:E32"/>
    <mergeCell ref="F67:L67"/>
    <mergeCell ref="F69:L69"/>
    <mergeCell ref="H37:I38"/>
    <mergeCell ref="H39:I39"/>
    <mergeCell ref="H40:I40"/>
    <mergeCell ref="H52:J52"/>
    <mergeCell ref="J37:K38"/>
    <mergeCell ref="AK65:AQ65"/>
    <mergeCell ref="H50:J50"/>
    <mergeCell ref="A52:B52"/>
    <mergeCell ref="H51:J51"/>
    <mergeCell ref="A53:B53"/>
    <mergeCell ref="A54:B54"/>
    <mergeCell ref="A55:B55"/>
    <mergeCell ref="A57:B57"/>
    <mergeCell ref="A58:B58"/>
    <mergeCell ref="A59:B59"/>
    <mergeCell ref="U65:AA65"/>
    <mergeCell ref="Q53:S53"/>
    <mergeCell ref="Q54:S54"/>
    <mergeCell ref="Q55:S55"/>
    <mergeCell ref="Q57:S57"/>
    <mergeCell ref="Q58:S58"/>
    <mergeCell ref="Q59:S59"/>
    <mergeCell ref="A64:B64"/>
    <mergeCell ref="A65:B65"/>
    <mergeCell ref="AC65:AI65"/>
    <mergeCell ref="A91:B92"/>
    <mergeCell ref="D91:I91"/>
    <mergeCell ref="D92:F92"/>
    <mergeCell ref="A74:B74"/>
    <mergeCell ref="G92:I92"/>
    <mergeCell ref="G86:I86"/>
    <mergeCell ref="A75:B75"/>
    <mergeCell ref="A76:B76"/>
    <mergeCell ref="D76:E76"/>
    <mergeCell ref="F75:M75"/>
    <mergeCell ref="D75:E75"/>
    <mergeCell ref="A79:B79"/>
    <mergeCell ref="D79:E79"/>
    <mergeCell ref="D90:F90"/>
    <mergeCell ref="G90:I90"/>
    <mergeCell ref="A85:B86"/>
    <mergeCell ref="D85:I85"/>
    <mergeCell ref="D86:F86"/>
    <mergeCell ref="F74:M74"/>
    <mergeCell ref="D74:E74"/>
    <mergeCell ref="A166:A167"/>
    <mergeCell ref="B166:D166"/>
    <mergeCell ref="B167:D167"/>
    <mergeCell ref="A8:B8"/>
    <mergeCell ref="B161:D161"/>
    <mergeCell ref="A162:A163"/>
    <mergeCell ref="B162:D162"/>
    <mergeCell ref="B163:D163"/>
    <mergeCell ref="A164:A165"/>
    <mergeCell ref="B164:D164"/>
    <mergeCell ref="B165:D165"/>
    <mergeCell ref="A87:B88"/>
    <mergeCell ref="D87:I87"/>
    <mergeCell ref="D88:F88"/>
    <mergeCell ref="G88:I88"/>
    <mergeCell ref="A89:B90"/>
    <mergeCell ref="D89:I89"/>
    <mergeCell ref="A71:B71"/>
    <mergeCell ref="F71:L71"/>
    <mergeCell ref="F73:M73"/>
    <mergeCell ref="D73:E73"/>
    <mergeCell ref="A72:B72"/>
    <mergeCell ref="A67:B67"/>
    <mergeCell ref="A69:B69"/>
  </mergeCells>
  <phoneticPr fontId="17"/>
  <dataValidations xWindow="891" yWindow="376" count="15">
    <dataValidation type="whole" allowBlank="1" showInputMessage="1" showErrorMessage="1" sqref="E10:L10" xr:uid="{00000000-0002-0000-0100-000000000000}">
      <formula1>0</formula1>
      <formula2>9</formula2>
    </dataValidation>
    <dataValidation imeMode="fullKatakana" allowBlank="1" showInputMessage="1" showErrorMessage="1" sqref="C6:H6" xr:uid="{7540B115-F75B-7048-89AD-BD2126F7923C}"/>
    <dataValidation type="whole" imeMode="halfAlpha" allowBlank="1" showInputMessage="1" showErrorMessage="1" sqref="F4 H4 E109 I109:I158 H27 H11 F27 F11 G109:G112 G114:G158" xr:uid="{00000000-0002-0000-0100-000002000000}">
      <formula1>1</formula1>
      <formula2>100</formula2>
    </dataValidation>
    <dataValidation type="whole" imeMode="halfAlpha" allowBlank="1" showInputMessage="1" showErrorMessage="1" promptTitle="半角数字" prompt="半角数字で入力" sqref="B99:B102 E99:E101" xr:uid="{00000000-0002-0000-0100-000003000000}">
      <formula1>0</formula1>
      <formula2>100</formula2>
    </dataValidation>
    <dataValidation imeMode="halfAlpha" allowBlank="1" showInputMessage="1" showErrorMessage="1" sqref="C10:D10 D31:K35 G108 D12:D14 I108 C9:E9 C8 I9:K9 E8 J11:K11 C14 J12:J13 K14 L11:L13 C22 C24:E24 E22 I24:K24" xr:uid="{00000000-0002-0000-0100-000004000000}"/>
    <dataValidation imeMode="halfAlpha" allowBlank="1" showErrorMessage="1" promptTitle="【入力規制】" prompt="すべて全角" sqref="I12:I13 C12:C13 E12:E13 K12:K13" xr:uid="{00000000-0002-0000-0100-000005000000}"/>
    <dataValidation imeMode="fullAlpha" allowBlank="1" showErrorMessage="1" promptTitle="【入力規制】" prompt="すべて全角" sqref="L94 J94 L86 J86 L92 J92 L88 J88 L90 J90 L96 J96" xr:uid="{00000000-0002-0000-0100-000006000000}"/>
    <dataValidation type="list" allowBlank="1" showInputMessage="1" showErrorMessage="1" sqref="C36:E36" xr:uid="{00000000-0002-0000-0100-000007000000}">
      <formula1>$N$38:$N$41</formula1>
    </dataValidation>
    <dataValidation type="list" allowBlank="1" showInputMessage="1" showErrorMessage="1" sqref="D39" xr:uid="{00000000-0002-0000-0100-000008000000}">
      <formula1>$T$19:$T$26</formula1>
    </dataValidation>
    <dataValidation type="list" allowBlank="1" showInputMessage="1" showErrorMessage="1" sqref="C15:J15" xr:uid="{A7C59171-589B-9D4F-88AB-08EE8859C339}">
      <formula1>$T$6:$T$7</formula1>
    </dataValidation>
    <dataValidation type="list" imeMode="halfAlpha" allowBlank="1" showInputMessage="1" showErrorMessage="1" sqref="K15:L15" xr:uid="{7EDB8A36-B0BD-9B49-8306-1FBAF94FDEBE}">
      <formula1>$V$6:$V$11</formula1>
    </dataValidation>
    <dataValidation type="list" allowBlank="1" showInputMessage="1" showErrorMessage="1" sqref="C26 C28" xr:uid="{00000000-0002-0000-0100-00000B000000}">
      <formula1>$U$6:$U$7</formula1>
    </dataValidation>
    <dataValidation type="list" allowBlank="1" showInputMessage="1" showErrorMessage="1" sqref="C4 C11 C27 D108 D114:D158" xr:uid="{00000000-0002-0000-0100-00000C000000}">
      <formula1>$N$5:$N$8</formula1>
    </dataValidation>
    <dataValidation type="list" allowBlank="1" showInputMessage="1" showErrorMessage="1" sqref="C83:I83" xr:uid="{00000000-0002-0000-0100-00000D000000}">
      <formula1>$N$83:$N$92</formula1>
    </dataValidation>
    <dataValidation type="list" allowBlank="1" showInputMessage="1" showErrorMessage="1" sqref="C49:C79" xr:uid="{BC039F01-18E3-DC47-B6F0-A5BD893EBB83}">
      <formula1>$U$6</formula1>
    </dataValidation>
  </dataValidations>
  <pageMargins left="0.43307086614173229" right="0.43307086614173229" top="0.35433070866141736" bottom="0.35433070866141736" header="0.31496062992125984" footer="0.31496062992125984"/>
  <pageSetup paperSize="8"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X53"/>
  <sheetViews>
    <sheetView view="pageBreakPreview" topLeftCell="A10" zoomScale="116" zoomScaleNormal="100" zoomScaleSheetLayoutView="116" workbookViewId="0">
      <selection activeCell="J25" sqref="J25"/>
    </sheetView>
  </sheetViews>
  <sheetFormatPr defaultColWidth="9" defaultRowHeight="15" customHeight="1"/>
  <cols>
    <col min="1" max="20" width="4.625" style="299" customWidth="1"/>
    <col min="21" max="22" width="0" style="299" hidden="1" customWidth="1"/>
    <col min="23" max="23" width="9" style="299"/>
    <col min="24" max="24" width="9" style="313"/>
    <col min="25" max="16384" width="9" style="299"/>
  </cols>
  <sheetData>
    <row r="1" spans="1:22" ht="15" customHeight="1">
      <c r="T1" s="312"/>
      <c r="V1" s="299" t="s">
        <v>563</v>
      </c>
    </row>
    <row r="9" spans="1:22" ht="15" customHeight="1">
      <c r="A9" s="1255" t="s">
        <v>564</v>
      </c>
      <c r="B9" s="1255"/>
      <c r="C9" s="1255"/>
      <c r="D9" s="1255"/>
      <c r="E9" s="1255"/>
      <c r="F9" s="1255"/>
      <c r="G9" s="1255"/>
      <c r="H9" s="1255"/>
      <c r="I9" s="1255"/>
      <c r="J9" s="1255"/>
      <c r="K9" s="1255"/>
      <c r="L9" s="1255"/>
      <c r="M9" s="1255"/>
      <c r="N9" s="1255"/>
      <c r="O9" s="1255"/>
      <c r="P9" s="1255"/>
      <c r="Q9" s="1255"/>
      <c r="R9" s="1255"/>
      <c r="S9" s="1255"/>
      <c r="T9" s="1255"/>
    </row>
    <row r="10" spans="1:22" ht="15" customHeight="1">
      <c r="A10" s="1255"/>
      <c r="B10" s="1255"/>
      <c r="C10" s="1255"/>
      <c r="D10" s="1255"/>
      <c r="E10" s="1255"/>
      <c r="F10" s="1255"/>
      <c r="G10" s="1255"/>
      <c r="H10" s="1255"/>
      <c r="I10" s="1255"/>
      <c r="J10" s="1255"/>
      <c r="K10" s="1255"/>
      <c r="L10" s="1255"/>
      <c r="M10" s="1255"/>
      <c r="N10" s="1255"/>
      <c r="O10" s="1255"/>
      <c r="P10" s="1255"/>
      <c r="Q10" s="1255"/>
      <c r="R10" s="1255"/>
      <c r="S10" s="1255"/>
      <c r="T10" s="1255"/>
    </row>
    <row r="11" spans="1:22" ht="15" customHeight="1">
      <c r="A11" s="1255"/>
      <c r="B11" s="1255"/>
      <c r="C11" s="1255"/>
      <c r="D11" s="1255"/>
      <c r="E11" s="1255"/>
      <c r="F11" s="1255"/>
      <c r="G11" s="1255"/>
      <c r="H11" s="1255"/>
      <c r="I11" s="1255"/>
      <c r="J11" s="1255"/>
      <c r="K11" s="1255"/>
      <c r="L11" s="1255"/>
      <c r="M11" s="1255"/>
      <c r="N11" s="1255"/>
      <c r="O11" s="1255"/>
      <c r="P11" s="1255"/>
      <c r="Q11" s="1255"/>
      <c r="R11" s="1255"/>
      <c r="S11" s="1255"/>
      <c r="T11" s="1255"/>
    </row>
    <row r="12" spans="1:22" ht="15" customHeight="1">
      <c r="A12" s="1255" t="s">
        <v>297</v>
      </c>
      <c r="B12" s="1255"/>
      <c r="C12" s="1255"/>
      <c r="D12" s="1255"/>
      <c r="E12" s="1255"/>
      <c r="F12" s="1255"/>
      <c r="G12" s="1255"/>
      <c r="H12" s="1255"/>
      <c r="I12" s="1255"/>
      <c r="J12" s="1255"/>
      <c r="K12" s="1255"/>
      <c r="L12" s="1255"/>
      <c r="M12" s="1255"/>
      <c r="N12" s="1255"/>
      <c r="O12" s="1255"/>
      <c r="P12" s="1255"/>
      <c r="Q12" s="1255"/>
      <c r="R12" s="1255"/>
      <c r="S12" s="1255"/>
      <c r="T12" s="1255"/>
    </row>
    <row r="13" spans="1:22" ht="15" customHeight="1">
      <c r="A13" s="1255"/>
      <c r="B13" s="1255"/>
      <c r="C13" s="1255"/>
      <c r="D13" s="1255"/>
      <c r="E13" s="1255"/>
      <c r="F13" s="1255"/>
      <c r="G13" s="1255"/>
      <c r="H13" s="1255"/>
      <c r="I13" s="1255"/>
      <c r="J13" s="1255"/>
      <c r="K13" s="1255"/>
      <c r="L13" s="1255"/>
      <c r="M13" s="1255"/>
      <c r="N13" s="1255"/>
      <c r="O13" s="1255"/>
      <c r="P13" s="1255"/>
      <c r="Q13" s="1255"/>
      <c r="R13" s="1255"/>
      <c r="S13" s="1255"/>
      <c r="T13" s="1255"/>
    </row>
    <row r="14" spans="1:22" ht="15" customHeight="1">
      <c r="A14" s="1255"/>
      <c r="B14" s="1255"/>
      <c r="C14" s="1255"/>
      <c r="D14" s="1255"/>
      <c r="E14" s="1255"/>
      <c r="F14" s="1255"/>
      <c r="G14" s="1255"/>
      <c r="H14" s="1255"/>
      <c r="I14" s="1255"/>
      <c r="J14" s="1255"/>
      <c r="K14" s="1255"/>
      <c r="L14" s="1255"/>
      <c r="M14" s="1255"/>
      <c r="N14" s="1255"/>
      <c r="O14" s="1255"/>
      <c r="P14" s="1255"/>
      <c r="Q14" s="1255"/>
      <c r="R14" s="1255"/>
      <c r="S14" s="1255"/>
      <c r="T14" s="1255"/>
    </row>
    <row r="20" spans="1:20" ht="15" customHeight="1">
      <c r="B20" s="1256" t="str">
        <f>【マスター】!C7</f>
        <v>デイサービスさつきの湯</v>
      </c>
      <c r="C20" s="1256"/>
      <c r="D20" s="1256"/>
      <c r="E20" s="1256"/>
      <c r="F20" s="1256"/>
      <c r="G20" s="1256"/>
      <c r="H20" s="1256"/>
      <c r="I20" s="1256"/>
      <c r="J20" s="1256"/>
      <c r="K20" s="1256"/>
      <c r="L20" s="1256"/>
      <c r="M20" s="1256"/>
      <c r="N20" s="1256"/>
      <c r="O20" s="1256"/>
      <c r="P20" s="1256"/>
      <c r="Q20" s="1256"/>
      <c r="R20" s="1256"/>
      <c r="S20" s="1256"/>
      <c r="T20" s="314"/>
    </row>
    <row r="21" spans="1:20" ht="15" customHeight="1">
      <c r="A21" s="314"/>
      <c r="B21" s="1256"/>
      <c r="C21" s="1256"/>
      <c r="D21" s="1256"/>
      <c r="E21" s="1256"/>
      <c r="F21" s="1256"/>
      <c r="G21" s="1256"/>
      <c r="H21" s="1256"/>
      <c r="I21" s="1256"/>
      <c r="J21" s="1256"/>
      <c r="K21" s="1256"/>
      <c r="L21" s="1256"/>
      <c r="M21" s="1256"/>
      <c r="N21" s="1256"/>
      <c r="O21" s="1256"/>
      <c r="P21" s="1256"/>
      <c r="Q21" s="1256"/>
      <c r="R21" s="1256"/>
      <c r="S21" s="1256"/>
      <c r="T21" s="314"/>
    </row>
    <row r="22" spans="1:20" ht="15" customHeight="1">
      <c r="A22" s="314"/>
      <c r="B22" s="1256"/>
      <c r="C22" s="1256"/>
      <c r="D22" s="1256"/>
      <c r="E22" s="1256"/>
      <c r="F22" s="1256"/>
      <c r="G22" s="1256"/>
      <c r="H22" s="1256"/>
      <c r="I22" s="1256"/>
      <c r="J22" s="1256"/>
      <c r="K22" s="1256"/>
      <c r="L22" s="1256"/>
      <c r="M22" s="1256"/>
      <c r="N22" s="1256"/>
      <c r="O22" s="1256"/>
      <c r="P22" s="1256"/>
      <c r="Q22" s="1256"/>
      <c r="R22" s="1256"/>
      <c r="S22" s="1256"/>
      <c r="T22" s="314"/>
    </row>
    <row r="42" spans="2:3" ht="15" customHeight="1">
      <c r="B42" s="298"/>
      <c r="C42" s="298"/>
    </row>
    <row r="43" spans="2:3" ht="15" customHeight="1">
      <c r="B43" s="298"/>
      <c r="C43" s="298"/>
    </row>
    <row r="44" spans="2:3" ht="15" customHeight="1">
      <c r="B44" s="298"/>
      <c r="C44" s="298"/>
    </row>
    <row r="45" spans="2:3" ht="15" customHeight="1">
      <c r="B45" s="298"/>
      <c r="C45" s="298"/>
    </row>
    <row r="46" spans="2:3" ht="15" customHeight="1">
      <c r="B46" s="298"/>
      <c r="C46" s="298"/>
    </row>
    <row r="47" spans="2:3" ht="15" customHeight="1">
      <c r="B47" s="298"/>
      <c r="C47" s="298"/>
    </row>
    <row r="48" spans="2:3" ht="15" customHeight="1">
      <c r="B48" s="298"/>
      <c r="C48" s="298"/>
    </row>
    <row r="49" spans="1:20" ht="15" customHeight="1">
      <c r="B49" s="298"/>
      <c r="C49" s="298"/>
    </row>
    <row r="50" spans="1:20" ht="15" customHeight="1">
      <c r="B50" s="298"/>
      <c r="C50" s="298"/>
    </row>
    <row r="51" spans="1:20" ht="15" customHeight="1">
      <c r="B51" s="298"/>
      <c r="C51" s="298"/>
    </row>
    <row r="52" spans="1:20" ht="15" customHeight="1">
      <c r="B52" s="298"/>
      <c r="C52" s="298"/>
    </row>
    <row r="53" spans="1:20" ht="15" customHeight="1">
      <c r="A53" s="1257" t="str">
        <f>【マスター】!C21</f>
        <v>株式会社ケアサポート</v>
      </c>
      <c r="B53" s="1257"/>
      <c r="C53" s="1257"/>
      <c r="D53" s="1257"/>
      <c r="E53" s="1257"/>
      <c r="F53" s="1257"/>
      <c r="G53" s="1257"/>
      <c r="H53" s="1257"/>
      <c r="I53" s="1257"/>
      <c r="J53" s="1257"/>
      <c r="K53" s="1257"/>
      <c r="L53" s="1257"/>
      <c r="M53" s="1257"/>
      <c r="N53" s="1257"/>
      <c r="O53" s="1257"/>
      <c r="P53" s="1257"/>
      <c r="Q53" s="1257"/>
      <c r="R53" s="1257"/>
      <c r="S53" s="1257"/>
      <c r="T53" s="1257"/>
    </row>
  </sheetData>
  <sheetProtection selectLockedCells="1"/>
  <mergeCells count="4">
    <mergeCell ref="A9:T11"/>
    <mergeCell ref="A12:T14"/>
    <mergeCell ref="B20:S22"/>
    <mergeCell ref="A53:T53"/>
  </mergeCells>
  <phoneticPr fontId="17"/>
  <printOptions horizontalCentered="1" verticalCentered="1"/>
  <pageMargins left="0.70866141732283472" right="0.70866141732283472" top="0.74803149606299213" bottom="0.74803149606299213" header="0.31496062992125984" footer="0.31496062992125984"/>
  <pageSetup paperSize="9" scale="96" fitToHeight="0" orientation="portrait" r:id="rId1"/>
  <headerFooter differentFirst="1">
    <oddFooter>&amp;C&amp;P</oddFooter>
    <firstFooter>&amp;L【通所介護】BMC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tabColor theme="4"/>
    <pageSetUpPr fitToPage="1"/>
  </sheetPr>
  <dimension ref="A1:AO231"/>
  <sheetViews>
    <sheetView view="pageBreakPreview" topLeftCell="A128" zoomScale="131" zoomScaleNormal="100" zoomScaleSheetLayoutView="131" workbookViewId="0">
      <selection sqref="A1:T2"/>
    </sheetView>
  </sheetViews>
  <sheetFormatPr defaultColWidth="9" defaultRowHeight="15" customHeight="1"/>
  <cols>
    <col min="1" max="20" width="4.625" style="1003" customWidth="1"/>
    <col min="21" max="22" width="0" style="1003" hidden="1" customWidth="1"/>
    <col min="23" max="23" width="9" style="1003"/>
    <col min="24" max="24" width="9" style="1004"/>
    <col min="25" max="16384" width="9" style="1003"/>
  </cols>
  <sheetData>
    <row r="1" spans="1:24" ht="15" customHeight="1">
      <c r="A1" s="1265" t="s">
        <v>565</v>
      </c>
      <c r="B1" s="1265"/>
      <c r="C1" s="1265"/>
      <c r="D1" s="1265"/>
      <c r="E1" s="1265"/>
      <c r="F1" s="1265"/>
      <c r="G1" s="1265"/>
      <c r="H1" s="1265"/>
      <c r="I1" s="1265"/>
      <c r="J1" s="1265"/>
      <c r="K1" s="1265"/>
      <c r="L1" s="1265"/>
      <c r="M1" s="1265"/>
      <c r="N1" s="1265"/>
      <c r="O1" s="1265"/>
      <c r="P1" s="1265"/>
      <c r="Q1" s="1265"/>
      <c r="R1" s="1265"/>
      <c r="S1" s="1265"/>
      <c r="T1" s="1265"/>
    </row>
    <row r="2" spans="1:24" ht="15" customHeight="1">
      <c r="A2" s="1265"/>
      <c r="B2" s="1265"/>
      <c r="C2" s="1265"/>
      <c r="D2" s="1265"/>
      <c r="E2" s="1265"/>
      <c r="F2" s="1265"/>
      <c r="G2" s="1265"/>
      <c r="H2" s="1265"/>
      <c r="I2" s="1265"/>
      <c r="J2" s="1265"/>
      <c r="K2" s="1265"/>
      <c r="L2" s="1265"/>
      <c r="M2" s="1265"/>
      <c r="N2" s="1265"/>
      <c r="O2" s="1265"/>
      <c r="P2" s="1265"/>
      <c r="Q2" s="1265"/>
      <c r="R2" s="1265"/>
      <c r="S2" s="1265"/>
      <c r="T2" s="1265"/>
    </row>
    <row r="3" spans="1:24" s="5" customFormat="1" ht="45" customHeight="1">
      <c r="A3" s="1258" t="str">
        <f>IF(【マスター】!B161="","　利用者                    （以下「甲」という。）と事業者 "&amp;【マスター】!C21&amp;"(以下「乙」という。）とは、通所介護サービスの利用に関して次のとおり契約を結びます。","　利用者 "&amp;【マスター】!B161&amp;" （以下「甲」という。）と事業者 "&amp;【マスター】!C21&amp;"(以下「乙」という。）とは、通所介護サービスの利用に関して次のとおり契約を結びます。")</f>
        <v>　利用者                    （以下「甲」という。）と事業者 株式会社ケアサポート(以下「乙」という。）とは、通所介護サービスの利用に関して次のとおり契約を結びます。</v>
      </c>
      <c r="B3" s="1258"/>
      <c r="C3" s="1258"/>
      <c r="D3" s="1258"/>
      <c r="E3" s="1258"/>
      <c r="F3" s="1258"/>
      <c r="G3" s="1258"/>
      <c r="H3" s="1258"/>
      <c r="I3" s="1258"/>
      <c r="J3" s="1258"/>
      <c r="K3" s="1258"/>
      <c r="L3" s="1258"/>
      <c r="M3" s="1258"/>
      <c r="N3" s="1258"/>
      <c r="O3" s="1258"/>
      <c r="P3" s="1258"/>
      <c r="Q3" s="1258"/>
      <c r="R3" s="1258"/>
      <c r="S3" s="1258"/>
      <c r="T3" s="1258"/>
      <c r="X3" s="494"/>
    </row>
    <row r="4" spans="1:24" s="5" customFormat="1" ht="15" customHeight="1">
      <c r="X4" s="1005"/>
    </row>
    <row r="5" spans="1:24" s="5" customFormat="1" ht="15" customHeight="1">
      <c r="A5" s="5" t="s">
        <v>566</v>
      </c>
      <c r="X5" s="1005"/>
    </row>
    <row r="6" spans="1:24" s="5" customFormat="1" ht="60" customHeight="1">
      <c r="A6" s="5" t="s">
        <v>567</v>
      </c>
      <c r="C6" s="1258" t="s">
        <v>568</v>
      </c>
      <c r="D6" s="1258"/>
      <c r="E6" s="1258"/>
      <c r="F6" s="1258"/>
      <c r="G6" s="1258"/>
      <c r="H6" s="1258"/>
      <c r="I6" s="1258"/>
      <c r="J6" s="1258"/>
      <c r="K6" s="1258"/>
      <c r="L6" s="1258"/>
      <c r="M6" s="1258"/>
      <c r="N6" s="1258"/>
      <c r="O6" s="1258"/>
      <c r="P6" s="1258"/>
      <c r="Q6" s="1258"/>
      <c r="R6" s="1258"/>
      <c r="S6" s="1258"/>
      <c r="T6" s="1258"/>
      <c r="V6" s="494" t="s">
        <v>569</v>
      </c>
      <c r="X6" s="494"/>
    </row>
    <row r="7" spans="1:24" s="5" customFormat="1" ht="30" customHeight="1">
      <c r="B7" s="5" t="s">
        <v>570</v>
      </c>
      <c r="C7" s="1258" t="s">
        <v>571</v>
      </c>
      <c r="D7" s="1258"/>
      <c r="E7" s="1258"/>
      <c r="F7" s="1258"/>
      <c r="G7" s="1258"/>
      <c r="H7" s="1258"/>
      <c r="I7" s="1258"/>
      <c r="J7" s="1258"/>
      <c r="K7" s="1258"/>
      <c r="L7" s="1258"/>
      <c r="M7" s="1258"/>
      <c r="N7" s="1258"/>
      <c r="O7" s="1258"/>
      <c r="P7" s="1258"/>
      <c r="Q7" s="1258"/>
      <c r="R7" s="1258"/>
      <c r="S7" s="1258"/>
      <c r="T7" s="1258"/>
      <c r="V7" s="494" t="s">
        <v>572</v>
      </c>
      <c r="X7" s="494"/>
    </row>
    <row r="8" spans="1:24" s="5" customFormat="1" ht="15" customHeight="1">
      <c r="X8" s="494"/>
    </row>
    <row r="9" spans="1:24" s="5" customFormat="1" ht="15" customHeight="1">
      <c r="A9" s="5" t="s">
        <v>573</v>
      </c>
      <c r="X9" s="494"/>
    </row>
    <row r="10" spans="1:24" s="5" customFormat="1" ht="15" customHeight="1">
      <c r="A10" s="5" t="s">
        <v>574</v>
      </c>
      <c r="C10" s="5" t="s">
        <v>575</v>
      </c>
      <c r="D10" s="999"/>
      <c r="E10" s="999"/>
      <c r="F10" s="999"/>
      <c r="G10" s="999"/>
      <c r="H10" s="999"/>
      <c r="I10" s="999"/>
      <c r="J10" s="999"/>
      <c r="K10" s="999"/>
      <c r="L10" s="999"/>
      <c r="M10" s="999"/>
      <c r="N10" s="999"/>
      <c r="O10" s="999"/>
      <c r="P10" s="999"/>
      <c r="Q10" s="999"/>
      <c r="R10" s="999"/>
      <c r="S10" s="999"/>
      <c r="T10" s="999"/>
      <c r="V10" s="494" t="s">
        <v>576</v>
      </c>
      <c r="X10" s="494"/>
    </row>
    <row r="11" spans="1:24" s="5" customFormat="1" ht="15" customHeight="1">
      <c r="D11" s="1266" t="s">
        <v>577</v>
      </c>
      <c r="E11" s="1266"/>
      <c r="F11" s="1266"/>
      <c r="G11" s="1266"/>
      <c r="H11" s="1266"/>
      <c r="I11" s="1266"/>
      <c r="J11" s="5" t="s">
        <v>578</v>
      </c>
      <c r="K11" s="1258" t="s">
        <v>579</v>
      </c>
      <c r="L11" s="1258"/>
      <c r="M11" s="1258"/>
      <c r="N11" s="1258"/>
      <c r="O11" s="1258"/>
      <c r="P11" s="1258"/>
      <c r="Q11" s="1258"/>
      <c r="R11" s="1258"/>
      <c r="S11" s="1258"/>
      <c r="T11" s="999"/>
      <c r="X11" s="494"/>
    </row>
    <row r="12" spans="1:24" s="5" customFormat="1" ht="15" customHeight="1">
      <c r="C12" s="999"/>
      <c r="D12" s="1267" t="s">
        <v>580</v>
      </c>
      <c r="E12" s="1267"/>
      <c r="F12" s="1267"/>
      <c r="G12" s="1267"/>
      <c r="H12" s="1267"/>
      <c r="I12" s="1267"/>
      <c r="J12" s="999"/>
      <c r="X12" s="494"/>
    </row>
    <row r="13" spans="1:24" s="5" customFormat="1" ht="45" customHeight="1">
      <c r="C13" s="1258" t="s">
        <v>581</v>
      </c>
      <c r="D13" s="1258"/>
      <c r="E13" s="1258"/>
      <c r="F13" s="1258"/>
      <c r="G13" s="1258"/>
      <c r="H13" s="1258"/>
      <c r="I13" s="1258"/>
      <c r="J13" s="1258"/>
      <c r="K13" s="1258"/>
      <c r="L13" s="1258"/>
      <c r="M13" s="1258"/>
      <c r="N13" s="1258"/>
      <c r="O13" s="1258"/>
      <c r="P13" s="1258"/>
      <c r="Q13" s="1258"/>
      <c r="R13" s="1258"/>
      <c r="S13" s="1258"/>
      <c r="T13" s="1258"/>
      <c r="V13" s="5" t="s">
        <v>582</v>
      </c>
      <c r="X13" s="494"/>
    </row>
    <row r="14" spans="1:24" s="5" customFormat="1" ht="60" customHeight="1">
      <c r="B14" s="5" t="s">
        <v>570</v>
      </c>
      <c r="C14" s="1258" t="s">
        <v>583</v>
      </c>
      <c r="D14" s="1258"/>
      <c r="E14" s="1258"/>
      <c r="F14" s="1258"/>
      <c r="G14" s="1258"/>
      <c r="H14" s="1258"/>
      <c r="I14" s="1258"/>
      <c r="J14" s="1258"/>
      <c r="K14" s="1258"/>
      <c r="L14" s="1258"/>
      <c r="M14" s="1258"/>
      <c r="N14" s="1258"/>
      <c r="O14" s="1258"/>
      <c r="P14" s="1258"/>
      <c r="Q14" s="1258"/>
      <c r="R14" s="1258"/>
      <c r="S14" s="1258"/>
      <c r="T14" s="1258"/>
      <c r="V14" s="494" t="s">
        <v>584</v>
      </c>
      <c r="X14" s="494"/>
    </row>
    <row r="15" spans="1:24" s="5" customFormat="1" ht="15" customHeight="1">
      <c r="C15" s="548"/>
      <c r="D15" s="548"/>
      <c r="E15" s="548"/>
      <c r="F15" s="548"/>
      <c r="G15" s="548"/>
      <c r="H15" s="548"/>
      <c r="I15" s="548"/>
      <c r="J15" s="548"/>
      <c r="K15" s="548"/>
      <c r="L15" s="548"/>
      <c r="M15" s="548"/>
      <c r="N15" s="548"/>
      <c r="O15" s="548"/>
      <c r="P15" s="548"/>
      <c r="Q15" s="548"/>
      <c r="R15" s="548"/>
      <c r="S15" s="548"/>
      <c r="T15" s="548"/>
      <c r="X15" s="494"/>
    </row>
    <row r="16" spans="1:24" s="5" customFormat="1" ht="15" customHeight="1">
      <c r="A16" s="5" t="s">
        <v>585</v>
      </c>
      <c r="X16" s="494"/>
    </row>
    <row r="17" spans="1:24" s="5" customFormat="1" ht="15" customHeight="1">
      <c r="A17" s="5" t="s">
        <v>586</v>
      </c>
      <c r="C17" s="1258" t="s">
        <v>587</v>
      </c>
      <c r="D17" s="1258"/>
      <c r="E17" s="1258"/>
      <c r="F17" s="1258"/>
      <c r="G17" s="1258"/>
      <c r="H17" s="1258"/>
      <c r="I17" s="1258"/>
      <c r="J17" s="1258"/>
      <c r="K17" s="1258"/>
      <c r="L17" s="1258"/>
      <c r="M17" s="1258"/>
      <c r="N17" s="1258"/>
      <c r="O17" s="1258"/>
      <c r="P17" s="1258"/>
      <c r="Q17" s="1258"/>
      <c r="R17" s="1258"/>
      <c r="S17" s="1258"/>
      <c r="T17" s="1258"/>
      <c r="X17" s="494"/>
    </row>
    <row r="18" spans="1:24" s="5" customFormat="1" ht="15" customHeight="1">
      <c r="C18" s="1258"/>
      <c r="D18" s="1258"/>
      <c r="E18" s="1258"/>
      <c r="F18" s="1258"/>
      <c r="G18" s="1258"/>
      <c r="H18" s="1258"/>
      <c r="I18" s="1258"/>
      <c r="J18" s="1258"/>
      <c r="K18" s="1258"/>
      <c r="L18" s="1258"/>
      <c r="M18" s="1258"/>
      <c r="N18" s="1258"/>
      <c r="O18" s="1258"/>
      <c r="P18" s="1258"/>
      <c r="Q18" s="1258"/>
      <c r="R18" s="1258"/>
      <c r="S18" s="1258"/>
      <c r="T18" s="1258"/>
      <c r="X18" s="494"/>
    </row>
    <row r="19" spans="1:24" s="5" customFormat="1" ht="15" customHeight="1">
      <c r="X19" s="494"/>
    </row>
    <row r="20" spans="1:24" s="5" customFormat="1" ht="15" customHeight="1">
      <c r="A20" s="5" t="s">
        <v>588</v>
      </c>
      <c r="X20" s="494"/>
    </row>
    <row r="21" spans="1:24" s="5" customFormat="1" ht="15" customHeight="1">
      <c r="A21" s="5" t="s">
        <v>589</v>
      </c>
      <c r="C21" s="1258" t="s">
        <v>590</v>
      </c>
      <c r="D21" s="1258"/>
      <c r="E21" s="1258"/>
      <c r="F21" s="1258"/>
      <c r="G21" s="1258"/>
      <c r="H21" s="1258"/>
      <c r="I21" s="1258"/>
      <c r="J21" s="1258"/>
      <c r="K21" s="1258"/>
      <c r="L21" s="1258"/>
      <c r="M21" s="1258"/>
      <c r="N21" s="1258"/>
      <c r="O21" s="1258"/>
      <c r="P21" s="1258"/>
      <c r="Q21" s="1258"/>
      <c r="R21" s="1258"/>
      <c r="S21" s="1258"/>
      <c r="T21" s="1258"/>
      <c r="V21" s="494" t="s">
        <v>591</v>
      </c>
      <c r="X21" s="494"/>
    </row>
    <row r="22" spans="1:24" s="5" customFormat="1" ht="15" customHeight="1">
      <c r="C22" s="1258"/>
      <c r="D22" s="1258"/>
      <c r="E22" s="1258"/>
      <c r="F22" s="1258"/>
      <c r="G22" s="1258"/>
      <c r="H22" s="1258"/>
      <c r="I22" s="1258"/>
      <c r="J22" s="1258"/>
      <c r="K22" s="1258"/>
      <c r="L22" s="1258"/>
      <c r="M22" s="1258"/>
      <c r="N22" s="1258"/>
      <c r="O22" s="1258"/>
      <c r="P22" s="1258"/>
      <c r="Q22" s="1258"/>
      <c r="R22" s="1258"/>
      <c r="S22" s="1258"/>
      <c r="T22" s="1258"/>
      <c r="V22" s="1007" t="s">
        <v>592</v>
      </c>
      <c r="X22" s="494"/>
    </row>
    <row r="23" spans="1:24" s="5" customFormat="1" ht="15" customHeight="1">
      <c r="B23" s="5" t="s">
        <v>570</v>
      </c>
      <c r="C23" s="1258" t="s">
        <v>593</v>
      </c>
      <c r="D23" s="1258"/>
      <c r="E23" s="1258"/>
      <c r="F23" s="1258"/>
      <c r="G23" s="1258"/>
      <c r="H23" s="1258"/>
      <c r="I23" s="1258"/>
      <c r="J23" s="1258"/>
      <c r="K23" s="1258"/>
      <c r="L23" s="1258"/>
      <c r="M23" s="1258"/>
      <c r="N23" s="1258"/>
      <c r="O23" s="1258"/>
      <c r="P23" s="1258"/>
      <c r="Q23" s="1258"/>
      <c r="R23" s="1258"/>
      <c r="S23" s="1258"/>
      <c r="T23" s="1258"/>
      <c r="V23" s="1007" t="s">
        <v>594</v>
      </c>
      <c r="X23" s="494"/>
    </row>
    <row r="24" spans="1:24" s="5" customFormat="1" ht="15" customHeight="1">
      <c r="C24" s="1258"/>
      <c r="D24" s="1258"/>
      <c r="E24" s="1258"/>
      <c r="F24" s="1258"/>
      <c r="G24" s="1258"/>
      <c r="H24" s="1258"/>
      <c r="I24" s="1258"/>
      <c r="J24" s="1258"/>
      <c r="K24" s="1258"/>
      <c r="L24" s="1258"/>
      <c r="M24" s="1258"/>
      <c r="N24" s="1258"/>
      <c r="O24" s="1258"/>
      <c r="P24" s="1258"/>
      <c r="Q24" s="1258"/>
      <c r="R24" s="1258"/>
      <c r="S24" s="1258"/>
      <c r="T24" s="1258"/>
      <c r="V24" s="1007"/>
      <c r="X24" s="494"/>
    </row>
    <row r="25" spans="1:24" s="5" customFormat="1" ht="15" customHeight="1">
      <c r="B25" s="5" t="s">
        <v>595</v>
      </c>
      <c r="C25" s="1258" t="s">
        <v>596</v>
      </c>
      <c r="D25" s="1258"/>
      <c r="E25" s="1258"/>
      <c r="F25" s="1258"/>
      <c r="G25" s="1258"/>
      <c r="H25" s="1258"/>
      <c r="I25" s="1258"/>
      <c r="J25" s="1258"/>
      <c r="K25" s="1258"/>
      <c r="L25" s="1258"/>
      <c r="M25" s="1258"/>
      <c r="N25" s="1258"/>
      <c r="O25" s="1258"/>
      <c r="P25" s="1258"/>
      <c r="Q25" s="1258"/>
      <c r="R25" s="1258"/>
      <c r="S25" s="1258"/>
      <c r="T25" s="1258"/>
      <c r="V25" s="494"/>
      <c r="X25" s="494"/>
    </row>
    <row r="26" spans="1:24" s="5" customFormat="1" ht="15" customHeight="1">
      <c r="C26" s="1258"/>
      <c r="D26" s="1258"/>
      <c r="E26" s="1258"/>
      <c r="F26" s="1258"/>
      <c r="G26" s="1258"/>
      <c r="H26" s="1258"/>
      <c r="I26" s="1258"/>
      <c r="J26" s="1258"/>
      <c r="K26" s="1258"/>
      <c r="L26" s="1258"/>
      <c r="M26" s="1258"/>
      <c r="N26" s="1258"/>
      <c r="O26" s="1258"/>
      <c r="P26" s="1258"/>
      <c r="Q26" s="1258"/>
      <c r="R26" s="1258"/>
      <c r="S26" s="1258"/>
      <c r="T26" s="1258"/>
      <c r="V26" s="1007"/>
      <c r="X26" s="494"/>
    </row>
    <row r="27" spans="1:24" s="5" customFormat="1" ht="15" customHeight="1">
      <c r="B27" s="5" t="s">
        <v>597</v>
      </c>
      <c r="C27" s="1258" t="s">
        <v>598</v>
      </c>
      <c r="D27" s="1258"/>
      <c r="E27" s="1258"/>
      <c r="F27" s="1258"/>
      <c r="G27" s="1258"/>
      <c r="H27" s="1258"/>
      <c r="I27" s="1258"/>
      <c r="J27" s="1258"/>
      <c r="K27" s="1258"/>
      <c r="L27" s="1258"/>
      <c r="M27" s="1258"/>
      <c r="N27" s="1258"/>
      <c r="O27" s="1258"/>
      <c r="P27" s="1258"/>
      <c r="Q27" s="1258"/>
      <c r="R27" s="1258"/>
      <c r="S27" s="1258"/>
      <c r="T27" s="1258"/>
      <c r="X27" s="494"/>
    </row>
    <row r="28" spans="1:24" s="5" customFormat="1" ht="15" customHeight="1">
      <c r="C28" s="1258"/>
      <c r="D28" s="1258"/>
      <c r="E28" s="1258"/>
      <c r="F28" s="1258"/>
      <c r="G28" s="1258"/>
      <c r="H28" s="1258"/>
      <c r="I28" s="1258"/>
      <c r="J28" s="1258"/>
      <c r="K28" s="1258"/>
      <c r="L28" s="1258"/>
      <c r="M28" s="1258"/>
      <c r="N28" s="1258"/>
      <c r="O28" s="1258"/>
      <c r="P28" s="1258"/>
      <c r="Q28" s="1258"/>
      <c r="R28" s="1258"/>
      <c r="S28" s="1258"/>
      <c r="T28" s="1258"/>
      <c r="X28" s="494"/>
    </row>
    <row r="29" spans="1:24" s="5" customFormat="1" ht="15" customHeight="1">
      <c r="B29" s="1269" t="s">
        <v>599</v>
      </c>
      <c r="C29" s="1269"/>
      <c r="D29" s="1258" t="s">
        <v>600</v>
      </c>
      <c r="E29" s="1258"/>
      <c r="F29" s="1258"/>
      <c r="G29" s="1258"/>
      <c r="H29" s="1258"/>
      <c r="I29" s="1258"/>
      <c r="J29" s="1258"/>
      <c r="K29" s="1258"/>
      <c r="L29" s="1258"/>
      <c r="M29" s="1258"/>
      <c r="N29" s="1258"/>
      <c r="O29" s="1258"/>
      <c r="P29" s="1258"/>
      <c r="Q29" s="1258"/>
      <c r="R29" s="1258"/>
      <c r="S29" s="1258"/>
      <c r="T29" s="1258"/>
      <c r="X29" s="494"/>
    </row>
    <row r="30" spans="1:24" s="5" customFormat="1" ht="15" customHeight="1">
      <c r="C30" s="999"/>
      <c r="D30" s="1258"/>
      <c r="E30" s="1258"/>
      <c r="F30" s="1258"/>
      <c r="G30" s="1258"/>
      <c r="H30" s="1258"/>
      <c r="I30" s="1258"/>
      <c r="J30" s="1258"/>
      <c r="K30" s="1258"/>
      <c r="L30" s="1258"/>
      <c r="M30" s="1258"/>
      <c r="N30" s="1258"/>
      <c r="O30" s="1258"/>
      <c r="P30" s="1258"/>
      <c r="Q30" s="1258"/>
      <c r="R30" s="1258"/>
      <c r="S30" s="1258"/>
      <c r="T30" s="1258"/>
      <c r="X30" s="494"/>
    </row>
    <row r="31" spans="1:24" s="5" customFormat="1" ht="15" customHeight="1">
      <c r="B31" s="1261" t="s">
        <v>601</v>
      </c>
      <c r="C31" s="1261"/>
      <c r="D31" s="5" t="s">
        <v>602</v>
      </c>
      <c r="X31" s="494"/>
    </row>
    <row r="32" spans="1:24" s="5" customFormat="1" ht="15" customHeight="1">
      <c r="B32" s="5" t="s">
        <v>603</v>
      </c>
      <c r="C32" s="1258" t="s">
        <v>604</v>
      </c>
      <c r="D32" s="1258"/>
      <c r="E32" s="1258"/>
      <c r="F32" s="1258"/>
      <c r="G32" s="1258"/>
      <c r="H32" s="1258"/>
      <c r="I32" s="1258"/>
      <c r="J32" s="1258"/>
      <c r="K32" s="1258"/>
      <c r="L32" s="1258"/>
      <c r="M32" s="1258"/>
      <c r="N32" s="1258"/>
      <c r="O32" s="1258"/>
      <c r="P32" s="1258"/>
      <c r="Q32" s="1258"/>
      <c r="R32" s="1258"/>
      <c r="S32" s="1258"/>
      <c r="T32" s="1258"/>
      <c r="V32" s="494" t="s">
        <v>605</v>
      </c>
      <c r="X32" s="494"/>
    </row>
    <row r="33" spans="1:24" s="5" customFormat="1" ht="15" customHeight="1">
      <c r="C33" s="1258"/>
      <c r="D33" s="1258"/>
      <c r="E33" s="1258"/>
      <c r="F33" s="1258"/>
      <c r="G33" s="1258"/>
      <c r="H33" s="1258"/>
      <c r="I33" s="1258"/>
      <c r="J33" s="1258"/>
      <c r="K33" s="1258"/>
      <c r="L33" s="1258"/>
      <c r="M33" s="1258"/>
      <c r="N33" s="1258"/>
      <c r="O33" s="1258"/>
      <c r="P33" s="1258"/>
      <c r="Q33" s="1258"/>
      <c r="R33" s="1258"/>
      <c r="S33" s="1258"/>
      <c r="T33" s="1258"/>
      <c r="V33" s="494"/>
      <c r="X33" s="494"/>
    </row>
    <row r="34" spans="1:24" s="5" customFormat="1" ht="15" customHeight="1">
      <c r="B34" s="5" t="s">
        <v>606</v>
      </c>
      <c r="C34" s="1258" t="s">
        <v>607</v>
      </c>
      <c r="D34" s="1258"/>
      <c r="E34" s="1258"/>
      <c r="F34" s="1258"/>
      <c r="G34" s="1258"/>
      <c r="H34" s="1258"/>
      <c r="I34" s="1258"/>
      <c r="J34" s="1258"/>
      <c r="K34" s="1258"/>
      <c r="L34" s="1258"/>
      <c r="M34" s="1258"/>
      <c r="N34" s="1258"/>
      <c r="O34" s="1258"/>
      <c r="P34" s="1258"/>
      <c r="Q34" s="1258"/>
      <c r="R34" s="1258"/>
      <c r="S34" s="1258"/>
      <c r="T34" s="1258"/>
      <c r="V34" s="494" t="s">
        <v>608</v>
      </c>
      <c r="X34" s="494"/>
    </row>
    <row r="35" spans="1:24" s="5" customFormat="1" ht="15" customHeight="1">
      <c r="C35" s="1258"/>
      <c r="D35" s="1258"/>
      <c r="E35" s="1258"/>
      <c r="F35" s="1258"/>
      <c r="G35" s="1258"/>
      <c r="H35" s="1258"/>
      <c r="I35" s="1258"/>
      <c r="J35" s="1258"/>
      <c r="K35" s="1258"/>
      <c r="L35" s="1258"/>
      <c r="M35" s="1258"/>
      <c r="N35" s="1258"/>
      <c r="O35" s="1258"/>
      <c r="P35" s="1258"/>
      <c r="Q35" s="1258"/>
      <c r="R35" s="1258"/>
      <c r="S35" s="1258"/>
      <c r="T35" s="1258"/>
      <c r="V35" s="1007" t="s">
        <v>2143</v>
      </c>
      <c r="X35" s="494"/>
    </row>
    <row r="36" spans="1:24" s="5" customFormat="1" ht="15" customHeight="1">
      <c r="X36" s="494"/>
    </row>
    <row r="37" spans="1:24" s="5" customFormat="1" ht="15" customHeight="1">
      <c r="A37" s="5" t="s">
        <v>609</v>
      </c>
      <c r="X37" s="494"/>
    </row>
    <row r="38" spans="1:24" s="5" customFormat="1" ht="15" customHeight="1">
      <c r="A38" s="5" t="s">
        <v>610</v>
      </c>
      <c r="C38" s="5" t="s">
        <v>611</v>
      </c>
      <c r="X38" s="494"/>
    </row>
    <row r="39" spans="1:24" s="5" customFormat="1" ht="15" customHeight="1">
      <c r="B39" s="5" t="s">
        <v>570</v>
      </c>
      <c r="C39" s="1258" t="s">
        <v>612</v>
      </c>
      <c r="D39" s="1258"/>
      <c r="E39" s="1258"/>
      <c r="F39" s="1258"/>
      <c r="G39" s="1258"/>
      <c r="H39" s="1258"/>
      <c r="I39" s="1258"/>
      <c r="J39" s="1258"/>
      <c r="K39" s="1258"/>
      <c r="L39" s="1258"/>
      <c r="M39" s="1258"/>
      <c r="N39" s="1258"/>
      <c r="O39" s="1258"/>
      <c r="P39" s="1258"/>
      <c r="Q39" s="1258"/>
      <c r="R39" s="1258"/>
      <c r="S39" s="1258"/>
      <c r="T39" s="1258"/>
      <c r="X39" s="494"/>
    </row>
    <row r="40" spans="1:24" s="5" customFormat="1" ht="15" customHeight="1">
      <c r="C40" s="1258"/>
      <c r="D40" s="1258"/>
      <c r="E40" s="1258"/>
      <c r="F40" s="1258"/>
      <c r="G40" s="1258"/>
      <c r="H40" s="1258"/>
      <c r="I40" s="1258"/>
      <c r="J40" s="1258"/>
      <c r="K40" s="1258"/>
      <c r="L40" s="1258"/>
      <c r="M40" s="1258"/>
      <c r="N40" s="1258"/>
      <c r="O40" s="1258"/>
      <c r="P40" s="1258"/>
      <c r="Q40" s="1258"/>
      <c r="R40" s="1258"/>
      <c r="S40" s="1258"/>
      <c r="T40" s="1258"/>
      <c r="X40" s="494"/>
    </row>
    <row r="41" spans="1:24" s="5" customFormat="1" ht="15" customHeight="1">
      <c r="C41" s="1258"/>
      <c r="D41" s="1258"/>
      <c r="E41" s="1258"/>
      <c r="F41" s="1258"/>
      <c r="G41" s="1258"/>
      <c r="H41" s="1258"/>
      <c r="I41" s="1258"/>
      <c r="J41" s="1258"/>
      <c r="K41" s="1258"/>
      <c r="L41" s="1258"/>
      <c r="M41" s="1258"/>
      <c r="N41" s="1258"/>
      <c r="O41" s="1258"/>
      <c r="P41" s="1258"/>
      <c r="Q41" s="1258"/>
      <c r="R41" s="1258"/>
      <c r="S41" s="1258"/>
      <c r="T41" s="1258"/>
      <c r="X41" s="494"/>
    </row>
    <row r="42" spans="1:24" s="5" customFormat="1" ht="15" customHeight="1">
      <c r="B42" s="5" t="s">
        <v>595</v>
      </c>
      <c r="C42" s="1258" t="s">
        <v>613</v>
      </c>
      <c r="D42" s="1258"/>
      <c r="E42" s="1258"/>
      <c r="F42" s="1258"/>
      <c r="G42" s="1258"/>
      <c r="H42" s="1258"/>
      <c r="I42" s="1258"/>
      <c r="J42" s="1258"/>
      <c r="K42" s="1258"/>
      <c r="L42" s="1258"/>
      <c r="M42" s="1258"/>
      <c r="N42" s="1258"/>
      <c r="O42" s="1258"/>
      <c r="P42" s="1258"/>
      <c r="Q42" s="1258"/>
      <c r="R42" s="1258"/>
      <c r="S42" s="1258"/>
      <c r="T42" s="1258"/>
      <c r="V42" s="494" t="s">
        <v>614</v>
      </c>
      <c r="X42" s="494"/>
    </row>
    <row r="43" spans="1:24" s="5" customFormat="1" ht="15" customHeight="1">
      <c r="C43" s="1258"/>
      <c r="D43" s="1258"/>
      <c r="E43" s="1258"/>
      <c r="F43" s="1258"/>
      <c r="G43" s="1258"/>
      <c r="H43" s="1258"/>
      <c r="I43" s="1258"/>
      <c r="J43" s="1258"/>
      <c r="K43" s="1258"/>
      <c r="L43" s="1258"/>
      <c r="M43" s="1258"/>
      <c r="N43" s="1258"/>
      <c r="O43" s="1258"/>
      <c r="P43" s="1258"/>
      <c r="Q43" s="1258"/>
      <c r="R43" s="1258"/>
      <c r="S43" s="1258"/>
      <c r="T43" s="1258"/>
      <c r="V43" s="1007" t="s">
        <v>615</v>
      </c>
      <c r="X43" s="494"/>
    </row>
    <row r="44" spans="1:24" s="5" customFormat="1" ht="15" customHeight="1">
      <c r="A44" s="1006"/>
      <c r="B44" s="5" t="s">
        <v>597</v>
      </c>
      <c r="C44" s="1258" t="s">
        <v>616</v>
      </c>
      <c r="D44" s="1258"/>
      <c r="E44" s="1258"/>
      <c r="F44" s="1258"/>
      <c r="G44" s="1258"/>
      <c r="H44" s="1258"/>
      <c r="I44" s="1258"/>
      <c r="J44" s="1258"/>
      <c r="K44" s="1258"/>
      <c r="L44" s="1258"/>
      <c r="M44" s="1258"/>
      <c r="N44" s="1258"/>
      <c r="O44" s="1258"/>
      <c r="P44" s="1258"/>
      <c r="Q44" s="1258"/>
      <c r="R44" s="1258"/>
      <c r="S44" s="1258"/>
      <c r="T44" s="1258"/>
      <c r="X44" s="494"/>
    </row>
    <row r="45" spans="1:24" s="5" customFormat="1" ht="15" customHeight="1">
      <c r="A45" s="1006"/>
      <c r="C45" s="1258"/>
      <c r="D45" s="1258"/>
      <c r="E45" s="1258"/>
      <c r="F45" s="1258"/>
      <c r="G45" s="1258"/>
      <c r="H45" s="1258"/>
      <c r="I45" s="1258"/>
      <c r="J45" s="1258"/>
      <c r="K45" s="1258"/>
      <c r="L45" s="1258"/>
      <c r="M45" s="1258"/>
      <c r="N45" s="1258"/>
      <c r="O45" s="1258"/>
      <c r="P45" s="1258"/>
      <c r="Q45" s="1258"/>
      <c r="R45" s="1258"/>
      <c r="S45" s="1258"/>
      <c r="T45" s="1258"/>
      <c r="X45" s="494"/>
    </row>
    <row r="46" spans="1:24" s="5" customFormat="1" ht="15" customHeight="1">
      <c r="A46" s="1006"/>
      <c r="C46" s="1258"/>
      <c r="D46" s="1258"/>
      <c r="E46" s="1258"/>
      <c r="F46" s="1258"/>
      <c r="G46" s="1258"/>
      <c r="H46" s="1258"/>
      <c r="I46" s="1258"/>
      <c r="J46" s="1258"/>
      <c r="K46" s="1258"/>
      <c r="L46" s="1258"/>
      <c r="M46" s="1258"/>
      <c r="N46" s="1258"/>
      <c r="O46" s="1258"/>
      <c r="P46" s="1258"/>
      <c r="Q46" s="1258"/>
      <c r="R46" s="1258"/>
      <c r="S46" s="1258"/>
      <c r="T46" s="1258"/>
      <c r="X46" s="494"/>
    </row>
    <row r="47" spans="1:24" s="5" customFormat="1" ht="15" customHeight="1">
      <c r="A47" s="1006"/>
      <c r="C47" s="548"/>
      <c r="D47" s="548"/>
      <c r="E47" s="548"/>
      <c r="F47" s="548"/>
      <c r="G47" s="548"/>
      <c r="H47" s="548"/>
      <c r="I47" s="548"/>
      <c r="J47" s="548"/>
      <c r="K47" s="548"/>
      <c r="L47" s="548"/>
      <c r="M47" s="548"/>
      <c r="N47" s="548"/>
      <c r="O47" s="548"/>
      <c r="P47" s="548"/>
      <c r="Q47" s="548"/>
      <c r="R47" s="548"/>
      <c r="S47" s="548"/>
      <c r="T47" s="548"/>
      <c r="X47" s="494"/>
    </row>
    <row r="48" spans="1:24" s="5" customFormat="1" ht="15" customHeight="1">
      <c r="A48" s="5" t="s">
        <v>617</v>
      </c>
      <c r="X48" s="494"/>
    </row>
    <row r="49" spans="1:24" s="5" customFormat="1" ht="15" customHeight="1">
      <c r="A49" s="5" t="s">
        <v>618</v>
      </c>
      <c r="C49" s="1258" t="s">
        <v>619</v>
      </c>
      <c r="D49" s="1258"/>
      <c r="E49" s="1258"/>
      <c r="F49" s="1258"/>
      <c r="G49" s="1258"/>
      <c r="H49" s="1258"/>
      <c r="I49" s="1258"/>
      <c r="J49" s="1258"/>
      <c r="K49" s="1258"/>
      <c r="L49" s="1258"/>
      <c r="M49" s="1258"/>
      <c r="N49" s="1258"/>
      <c r="O49" s="1258"/>
      <c r="P49" s="1258"/>
      <c r="Q49" s="1258"/>
      <c r="R49" s="1258"/>
      <c r="S49" s="1258"/>
      <c r="T49" s="1258"/>
      <c r="V49" s="494" t="s">
        <v>614</v>
      </c>
      <c r="X49" s="494"/>
    </row>
    <row r="50" spans="1:24" s="5" customFormat="1" ht="15" customHeight="1">
      <c r="C50" s="1258"/>
      <c r="D50" s="1258"/>
      <c r="E50" s="1258"/>
      <c r="F50" s="1258"/>
      <c r="G50" s="1258"/>
      <c r="H50" s="1258"/>
      <c r="I50" s="1258"/>
      <c r="J50" s="1258"/>
      <c r="K50" s="1258"/>
      <c r="L50" s="1258"/>
      <c r="M50" s="1258"/>
      <c r="N50" s="1258"/>
      <c r="O50" s="1258"/>
      <c r="P50" s="1258"/>
      <c r="Q50" s="1258"/>
      <c r="R50" s="1258"/>
      <c r="S50" s="1258"/>
      <c r="T50" s="1258"/>
      <c r="V50" s="1007" t="s">
        <v>620</v>
      </c>
      <c r="X50" s="494"/>
    </row>
    <row r="51" spans="1:24" s="5" customFormat="1" ht="15" customHeight="1">
      <c r="C51" s="1258"/>
      <c r="D51" s="1258"/>
      <c r="E51" s="1258"/>
      <c r="F51" s="1258"/>
      <c r="G51" s="1258"/>
      <c r="H51" s="1258"/>
      <c r="I51" s="1258"/>
      <c r="J51" s="1258"/>
      <c r="K51" s="1258"/>
      <c r="L51" s="1258"/>
      <c r="M51" s="1258"/>
      <c r="N51" s="1258"/>
      <c r="O51" s="1258"/>
      <c r="P51" s="1258"/>
      <c r="Q51" s="1258"/>
      <c r="R51" s="1258"/>
      <c r="S51" s="1258"/>
      <c r="T51" s="1258"/>
      <c r="X51" s="494"/>
    </row>
    <row r="52" spans="1:24" s="5" customFormat="1" ht="35.1" customHeight="1">
      <c r="B52" s="5" t="s">
        <v>570</v>
      </c>
      <c r="C52" s="1258" t="s">
        <v>621</v>
      </c>
      <c r="D52" s="1258"/>
      <c r="E52" s="1258"/>
      <c r="F52" s="1258"/>
      <c r="G52" s="1258"/>
      <c r="H52" s="1258"/>
      <c r="I52" s="1258"/>
      <c r="J52" s="1258"/>
      <c r="K52" s="1258"/>
      <c r="L52" s="1258"/>
      <c r="M52" s="1258"/>
      <c r="N52" s="1258"/>
      <c r="O52" s="1258"/>
      <c r="P52" s="1258"/>
      <c r="Q52" s="1258"/>
      <c r="R52" s="1258"/>
      <c r="S52" s="1258"/>
      <c r="T52" s="1258"/>
      <c r="V52" s="494"/>
      <c r="W52" s="494"/>
      <c r="X52" s="494"/>
    </row>
    <row r="53" spans="1:24" s="5" customFormat="1" ht="15" customHeight="1">
      <c r="C53" s="548"/>
      <c r="D53" s="548"/>
      <c r="E53" s="548"/>
      <c r="F53" s="548"/>
      <c r="G53" s="548"/>
      <c r="H53" s="548"/>
      <c r="I53" s="548"/>
      <c r="J53" s="548"/>
      <c r="K53" s="548"/>
      <c r="L53" s="548"/>
      <c r="M53" s="548"/>
      <c r="N53" s="548"/>
      <c r="O53" s="548"/>
      <c r="P53" s="548"/>
      <c r="Q53" s="548"/>
      <c r="R53" s="548"/>
      <c r="S53" s="548"/>
      <c r="T53" s="548"/>
      <c r="X53" s="494"/>
    </row>
    <row r="54" spans="1:24" s="5" customFormat="1" ht="15" customHeight="1">
      <c r="A54" s="5" t="s">
        <v>622</v>
      </c>
      <c r="X54" s="494"/>
    </row>
    <row r="55" spans="1:24" s="5" customFormat="1" ht="15" customHeight="1">
      <c r="A55" s="5" t="s">
        <v>623</v>
      </c>
      <c r="C55" s="1258" t="s">
        <v>624</v>
      </c>
      <c r="D55" s="1258"/>
      <c r="E55" s="1258"/>
      <c r="F55" s="1258"/>
      <c r="G55" s="1258"/>
      <c r="H55" s="1258"/>
      <c r="I55" s="1258"/>
      <c r="J55" s="1258"/>
      <c r="K55" s="1258"/>
      <c r="L55" s="1258"/>
      <c r="M55" s="1258"/>
      <c r="N55" s="1258"/>
      <c r="O55" s="1258"/>
      <c r="P55" s="1258"/>
      <c r="Q55" s="1258"/>
      <c r="R55" s="1258"/>
      <c r="S55" s="1258"/>
      <c r="T55" s="1258"/>
      <c r="V55" s="494" t="s">
        <v>625</v>
      </c>
      <c r="X55" s="494"/>
    </row>
    <row r="56" spans="1:24" s="5" customFormat="1" ht="15" customHeight="1">
      <c r="C56" s="1258"/>
      <c r="D56" s="1258"/>
      <c r="E56" s="1258"/>
      <c r="F56" s="1258"/>
      <c r="G56" s="1258"/>
      <c r="H56" s="1258"/>
      <c r="I56" s="1258"/>
      <c r="J56" s="1258"/>
      <c r="K56" s="1258"/>
      <c r="L56" s="1258"/>
      <c r="M56" s="1258"/>
      <c r="N56" s="1258"/>
      <c r="O56" s="1258"/>
      <c r="P56" s="1258"/>
      <c r="Q56" s="1258"/>
      <c r="R56" s="1258"/>
      <c r="S56" s="1258"/>
      <c r="T56" s="1258"/>
      <c r="X56" s="494"/>
    </row>
    <row r="57" spans="1:24" s="5" customFormat="1" ht="15" customHeight="1">
      <c r="X57" s="494"/>
    </row>
    <row r="58" spans="1:24" s="5" customFormat="1" ht="15" customHeight="1">
      <c r="A58" s="5" t="s">
        <v>626</v>
      </c>
      <c r="X58" s="494"/>
    </row>
    <row r="59" spans="1:24" s="5" customFormat="1" ht="15" customHeight="1">
      <c r="A59" s="5" t="s">
        <v>627</v>
      </c>
      <c r="C59" s="1258" t="s">
        <v>628</v>
      </c>
      <c r="D59" s="1258"/>
      <c r="E59" s="1258"/>
      <c r="F59" s="1258"/>
      <c r="G59" s="1258"/>
      <c r="H59" s="1258"/>
      <c r="I59" s="1258"/>
      <c r="J59" s="1258"/>
      <c r="K59" s="1258"/>
      <c r="L59" s="1258"/>
      <c r="M59" s="1258"/>
      <c r="N59" s="1258"/>
      <c r="O59" s="1258"/>
      <c r="P59" s="1258"/>
      <c r="Q59" s="1258"/>
      <c r="R59" s="1258"/>
      <c r="S59" s="1258"/>
      <c r="T59" s="1258"/>
      <c r="X59" s="494"/>
    </row>
    <row r="60" spans="1:24" s="5" customFormat="1" ht="15" customHeight="1">
      <c r="C60" s="1258"/>
      <c r="D60" s="1258"/>
      <c r="E60" s="1258"/>
      <c r="F60" s="1258"/>
      <c r="G60" s="1258"/>
      <c r="H60" s="1258"/>
      <c r="I60" s="1258"/>
      <c r="J60" s="1258"/>
      <c r="K60" s="1258"/>
      <c r="L60" s="1258"/>
      <c r="M60" s="1258"/>
      <c r="N60" s="1258"/>
      <c r="O60" s="1258"/>
      <c r="P60" s="1258"/>
      <c r="Q60" s="1258"/>
      <c r="R60" s="1258"/>
      <c r="S60" s="1258"/>
      <c r="T60" s="1258"/>
      <c r="X60" s="494"/>
    </row>
    <row r="61" spans="1:24" s="5" customFormat="1" ht="15" customHeight="1">
      <c r="C61" s="1258"/>
      <c r="D61" s="1258"/>
      <c r="E61" s="1258"/>
      <c r="F61" s="1258"/>
      <c r="G61" s="1258"/>
      <c r="H61" s="1258"/>
      <c r="I61" s="1258"/>
      <c r="J61" s="1258"/>
      <c r="K61" s="1258"/>
      <c r="L61" s="1258"/>
      <c r="M61" s="1258"/>
      <c r="N61" s="1258"/>
      <c r="O61" s="1258"/>
      <c r="P61" s="1258"/>
      <c r="Q61" s="1258"/>
      <c r="R61" s="1258"/>
      <c r="S61" s="1258"/>
      <c r="T61" s="1258"/>
      <c r="X61" s="494"/>
    </row>
    <row r="62" spans="1:24" s="5" customFormat="1" ht="15" customHeight="1">
      <c r="B62" s="5" t="s">
        <v>570</v>
      </c>
      <c r="C62" s="1258" t="s">
        <v>629</v>
      </c>
      <c r="D62" s="1258"/>
      <c r="E62" s="1258"/>
      <c r="F62" s="1258"/>
      <c r="G62" s="1258"/>
      <c r="H62" s="1258"/>
      <c r="I62" s="1258"/>
      <c r="J62" s="1258"/>
      <c r="K62" s="1258"/>
      <c r="L62" s="1258"/>
      <c r="M62" s="1258"/>
      <c r="N62" s="1258"/>
      <c r="O62" s="1258"/>
      <c r="P62" s="1258"/>
      <c r="Q62" s="1258"/>
      <c r="R62" s="1258"/>
      <c r="S62" s="1258"/>
      <c r="T62" s="1258"/>
      <c r="X62" s="494"/>
    </row>
    <row r="63" spans="1:24" s="5" customFormat="1" ht="15" customHeight="1">
      <c r="C63" s="1258"/>
      <c r="D63" s="1258"/>
      <c r="E63" s="1258"/>
      <c r="F63" s="1258"/>
      <c r="G63" s="1258"/>
      <c r="H63" s="1258"/>
      <c r="I63" s="1258"/>
      <c r="J63" s="1258"/>
      <c r="K63" s="1258"/>
      <c r="L63" s="1258"/>
      <c r="M63" s="1258"/>
      <c r="N63" s="1258"/>
      <c r="O63" s="1258"/>
      <c r="P63" s="1258"/>
      <c r="Q63" s="1258"/>
      <c r="R63" s="1258"/>
      <c r="S63" s="1258"/>
      <c r="T63" s="1258"/>
      <c r="X63" s="494"/>
    </row>
    <row r="64" spans="1:24" s="5" customFormat="1" ht="15" customHeight="1">
      <c r="X64" s="494"/>
    </row>
    <row r="65" spans="1:24" s="5" customFormat="1" ht="15" customHeight="1">
      <c r="A65" s="5" t="s">
        <v>630</v>
      </c>
      <c r="X65" s="494"/>
    </row>
    <row r="66" spans="1:24" s="5" customFormat="1" ht="15" customHeight="1">
      <c r="A66" s="5" t="s">
        <v>631</v>
      </c>
      <c r="C66" s="5" t="s">
        <v>632</v>
      </c>
      <c r="X66" s="494"/>
    </row>
    <row r="67" spans="1:24" s="5" customFormat="1" ht="15" customHeight="1">
      <c r="B67" s="1261" t="s">
        <v>599</v>
      </c>
      <c r="C67" s="1261"/>
      <c r="D67" s="5" t="s">
        <v>2126</v>
      </c>
      <c r="X67" s="494"/>
    </row>
    <row r="68" spans="1:24" s="5" customFormat="1" ht="15" customHeight="1">
      <c r="B68" s="1261" t="s">
        <v>980</v>
      </c>
      <c r="C68" s="1261"/>
      <c r="D68" s="5" t="s">
        <v>2127</v>
      </c>
      <c r="X68" s="494"/>
    </row>
    <row r="69" spans="1:24" s="5" customFormat="1" ht="15" customHeight="1">
      <c r="B69" s="1261" t="s">
        <v>981</v>
      </c>
      <c r="C69" s="1261"/>
      <c r="D69" s="5" t="s">
        <v>2128</v>
      </c>
      <c r="X69" s="494"/>
    </row>
    <row r="70" spans="1:24" s="5" customFormat="1" ht="15" customHeight="1">
      <c r="B70" s="1261" t="s">
        <v>983</v>
      </c>
      <c r="C70" s="1261"/>
      <c r="D70" s="5" t="s">
        <v>2129</v>
      </c>
      <c r="X70" s="494"/>
    </row>
    <row r="71" spans="1:24" s="5" customFormat="1" ht="15" customHeight="1">
      <c r="B71" s="1261" t="s">
        <v>657</v>
      </c>
      <c r="C71" s="1261"/>
      <c r="D71" s="1258" t="s">
        <v>2130</v>
      </c>
      <c r="E71" s="1258"/>
      <c r="F71" s="1258"/>
      <c r="G71" s="1258"/>
      <c r="H71" s="1258"/>
      <c r="X71" s="494"/>
    </row>
    <row r="72" spans="1:24" s="5" customFormat="1" ht="15" customHeight="1">
      <c r="B72" s="5" t="s">
        <v>570</v>
      </c>
      <c r="C72" s="1258" t="s">
        <v>637</v>
      </c>
      <c r="D72" s="1258"/>
      <c r="E72" s="1258"/>
      <c r="F72" s="1258"/>
      <c r="G72" s="1258"/>
      <c r="H72" s="1258"/>
      <c r="I72" s="1258"/>
      <c r="J72" s="1258"/>
      <c r="K72" s="1258"/>
      <c r="L72" s="1258"/>
      <c r="M72" s="1258"/>
      <c r="N72" s="1258"/>
      <c r="O72" s="1258"/>
      <c r="P72" s="1258"/>
      <c r="Q72" s="1258"/>
      <c r="R72" s="1258"/>
      <c r="S72" s="1258"/>
      <c r="T72" s="1258"/>
      <c r="X72" s="494"/>
    </row>
    <row r="73" spans="1:24" s="5" customFormat="1" ht="15" customHeight="1">
      <c r="C73" s="1258"/>
      <c r="D73" s="1258"/>
      <c r="E73" s="1258"/>
      <c r="F73" s="1258"/>
      <c r="G73" s="1258"/>
      <c r="H73" s="1258"/>
      <c r="I73" s="1258"/>
      <c r="J73" s="1258"/>
      <c r="K73" s="1258"/>
      <c r="L73" s="1258"/>
      <c r="M73" s="1258"/>
      <c r="N73" s="1258"/>
      <c r="O73" s="1258"/>
      <c r="P73" s="1258"/>
      <c r="Q73" s="1258"/>
      <c r="R73" s="1258"/>
      <c r="S73" s="1258"/>
      <c r="T73" s="1258"/>
      <c r="X73" s="494"/>
    </row>
    <row r="74" spans="1:24" s="5" customFormat="1" ht="15" customHeight="1">
      <c r="C74" s="1258"/>
      <c r="D74" s="1258"/>
      <c r="E74" s="1258"/>
      <c r="F74" s="1258"/>
      <c r="G74" s="1258"/>
      <c r="H74" s="1258"/>
      <c r="I74" s="1258"/>
      <c r="J74" s="1258"/>
      <c r="K74" s="1258"/>
      <c r="L74" s="1258"/>
      <c r="M74" s="1258"/>
      <c r="N74" s="1258"/>
      <c r="O74" s="1258"/>
      <c r="P74" s="1258"/>
      <c r="Q74" s="1258"/>
      <c r="R74" s="1258"/>
      <c r="S74" s="1258"/>
      <c r="T74" s="1258"/>
      <c r="X74" s="494"/>
    </row>
    <row r="75" spans="1:24" s="5" customFormat="1" ht="15" customHeight="1">
      <c r="X75" s="494"/>
    </row>
    <row r="76" spans="1:24" s="5" customFormat="1" ht="15" customHeight="1">
      <c r="A76" s="5" t="s">
        <v>638</v>
      </c>
      <c r="X76" s="494"/>
    </row>
    <row r="77" spans="1:24" s="5" customFormat="1" ht="15" customHeight="1">
      <c r="A77" s="5" t="s">
        <v>639</v>
      </c>
      <c r="C77" s="1258" t="s">
        <v>640</v>
      </c>
      <c r="D77" s="1258"/>
      <c r="E77" s="1258"/>
      <c r="F77" s="1258"/>
      <c r="G77" s="1258"/>
      <c r="H77" s="1258"/>
      <c r="I77" s="1258"/>
      <c r="J77" s="1258"/>
      <c r="K77" s="1258"/>
      <c r="L77" s="1258"/>
      <c r="M77" s="1258"/>
      <c r="N77" s="1258"/>
      <c r="O77" s="1258"/>
      <c r="P77" s="1258"/>
      <c r="Q77" s="1258"/>
      <c r="R77" s="1258"/>
      <c r="S77" s="1258"/>
      <c r="T77" s="1258"/>
      <c r="X77" s="494"/>
    </row>
    <row r="78" spans="1:24" s="5" customFormat="1" ht="15" customHeight="1">
      <c r="C78" s="1258"/>
      <c r="D78" s="1258"/>
      <c r="E78" s="1258"/>
      <c r="F78" s="1258"/>
      <c r="G78" s="1258"/>
      <c r="H78" s="1258"/>
      <c r="I78" s="1258"/>
      <c r="J78" s="1258"/>
      <c r="K78" s="1258"/>
      <c r="L78" s="1258"/>
      <c r="M78" s="1258"/>
      <c r="N78" s="1258"/>
      <c r="O78" s="1258"/>
      <c r="P78" s="1258"/>
      <c r="Q78" s="1258"/>
      <c r="R78" s="1258"/>
      <c r="S78" s="1258"/>
      <c r="T78" s="1258"/>
      <c r="X78" s="494"/>
    </row>
    <row r="79" spans="1:24" s="5" customFormat="1" ht="15" customHeight="1">
      <c r="C79" s="1258"/>
      <c r="D79" s="1258"/>
      <c r="E79" s="1258"/>
      <c r="F79" s="1258"/>
      <c r="G79" s="1258"/>
      <c r="H79" s="1258"/>
      <c r="I79" s="1258"/>
      <c r="J79" s="1258"/>
      <c r="K79" s="1258"/>
      <c r="L79" s="1258"/>
      <c r="M79" s="1258"/>
      <c r="N79" s="1258"/>
      <c r="O79" s="1258"/>
      <c r="P79" s="1258"/>
      <c r="Q79" s="1258"/>
      <c r="R79" s="1258"/>
      <c r="S79" s="1258"/>
      <c r="T79" s="1258"/>
      <c r="X79" s="494"/>
    </row>
    <row r="80" spans="1:24" s="5" customFormat="1" ht="15" customHeight="1">
      <c r="B80" s="5" t="s">
        <v>570</v>
      </c>
      <c r="C80" s="1258" t="s">
        <v>641</v>
      </c>
      <c r="D80" s="1258"/>
      <c r="E80" s="1258"/>
      <c r="F80" s="1258"/>
      <c r="G80" s="1258"/>
      <c r="H80" s="1258"/>
      <c r="I80" s="1258"/>
      <c r="J80" s="1258"/>
      <c r="K80" s="1258"/>
      <c r="L80" s="1258"/>
      <c r="M80" s="1258"/>
      <c r="N80" s="1258"/>
      <c r="O80" s="1258"/>
      <c r="P80" s="1258"/>
      <c r="Q80" s="1258"/>
      <c r="R80" s="1258"/>
      <c r="S80" s="1258"/>
      <c r="T80" s="1258"/>
      <c r="X80" s="494"/>
    </row>
    <row r="81" spans="1:41" s="5" customFormat="1" ht="15" customHeight="1">
      <c r="C81" s="1258"/>
      <c r="D81" s="1258"/>
      <c r="E81" s="1258"/>
      <c r="F81" s="1258"/>
      <c r="G81" s="1258"/>
      <c r="H81" s="1258"/>
      <c r="I81" s="1258"/>
      <c r="J81" s="1258"/>
      <c r="K81" s="1258"/>
      <c r="L81" s="1258"/>
      <c r="M81" s="1258"/>
      <c r="N81" s="1258"/>
      <c r="O81" s="1258"/>
      <c r="P81" s="1258"/>
      <c r="Q81" s="1258"/>
      <c r="R81" s="1258"/>
      <c r="S81" s="1258"/>
      <c r="T81" s="1258"/>
      <c r="X81" s="494"/>
    </row>
    <row r="82" spans="1:41" s="5" customFormat="1" ht="15" customHeight="1">
      <c r="C82" s="1258"/>
      <c r="D82" s="1258"/>
      <c r="E82" s="1258"/>
      <c r="F82" s="1258"/>
      <c r="G82" s="1258"/>
      <c r="H82" s="1258"/>
      <c r="I82" s="1258"/>
      <c r="J82" s="1258"/>
      <c r="K82" s="1258"/>
      <c r="L82" s="1258"/>
      <c r="M82" s="1258"/>
      <c r="N82" s="1258"/>
      <c r="O82" s="1258"/>
      <c r="P82" s="1258"/>
      <c r="Q82" s="1258"/>
      <c r="R82" s="1258"/>
      <c r="S82" s="1258"/>
      <c r="T82" s="1258"/>
      <c r="X82" s="494"/>
    </row>
    <row r="83" spans="1:41" s="5" customFormat="1" ht="15" customHeight="1">
      <c r="C83" s="1258"/>
      <c r="D83" s="1258"/>
      <c r="E83" s="1258"/>
      <c r="F83" s="1258"/>
      <c r="G83" s="1258"/>
      <c r="H83" s="1258"/>
      <c r="I83" s="1258"/>
      <c r="J83" s="1258"/>
      <c r="K83" s="1258"/>
      <c r="L83" s="1258"/>
      <c r="M83" s="1258"/>
      <c r="N83" s="1258"/>
      <c r="O83" s="1258"/>
      <c r="P83" s="1258"/>
      <c r="Q83" s="1258"/>
      <c r="R83" s="1258"/>
      <c r="S83" s="1258"/>
      <c r="T83" s="1258"/>
      <c r="X83" s="494"/>
    </row>
    <row r="84" spans="1:41" s="5" customFormat="1" ht="15" customHeight="1">
      <c r="A84" s="998"/>
      <c r="B84" s="5" t="s">
        <v>1538</v>
      </c>
      <c r="C84" s="1258" t="s">
        <v>2131</v>
      </c>
      <c r="D84" s="1258"/>
      <c r="E84" s="1258"/>
      <c r="F84" s="1258"/>
      <c r="G84" s="1258"/>
      <c r="H84" s="1258"/>
      <c r="I84" s="1258"/>
      <c r="J84" s="1258"/>
      <c r="K84" s="1258"/>
      <c r="L84" s="1258"/>
      <c r="M84" s="1258"/>
      <c r="N84" s="1258"/>
      <c r="O84" s="1258"/>
      <c r="P84" s="1258"/>
      <c r="Q84" s="1258"/>
      <c r="R84" s="1258"/>
      <c r="S84" s="1258"/>
      <c r="T84" s="1258"/>
    </row>
    <row r="85" spans="1:41" s="5" customFormat="1" ht="15" customHeight="1">
      <c r="B85" s="1261" t="s">
        <v>599</v>
      </c>
      <c r="C85" s="1261"/>
      <c r="D85" s="1268" t="s">
        <v>2132</v>
      </c>
      <c r="E85" s="1268"/>
      <c r="F85" s="1268"/>
      <c r="G85" s="1268"/>
      <c r="H85" s="1268"/>
      <c r="I85" s="1268"/>
      <c r="J85" s="1268"/>
      <c r="K85" s="1268"/>
      <c r="L85" s="1268"/>
      <c r="M85" s="1268"/>
      <c r="N85" s="1268"/>
      <c r="O85" s="1268"/>
      <c r="P85" s="1268"/>
      <c r="Q85" s="1268"/>
      <c r="R85" s="1268"/>
      <c r="S85" s="1268"/>
      <c r="T85" s="1268"/>
      <c r="U85" s="1268"/>
    </row>
    <row r="86" spans="1:41" s="5" customFormat="1" ht="15" customHeight="1">
      <c r="B86" s="1261" t="s">
        <v>980</v>
      </c>
      <c r="C86" s="1261"/>
      <c r="D86" s="1264" t="s">
        <v>2133</v>
      </c>
      <c r="E86" s="1264"/>
      <c r="F86" s="1264"/>
      <c r="G86" s="1264"/>
      <c r="H86" s="1264"/>
      <c r="I86" s="1264"/>
      <c r="J86" s="1264"/>
      <c r="K86" s="1264"/>
      <c r="L86" s="1264"/>
      <c r="M86" s="1264"/>
      <c r="N86" s="1264"/>
      <c r="O86" s="1264"/>
      <c r="P86" s="1264"/>
      <c r="Q86" s="1264"/>
      <c r="R86" s="1264"/>
      <c r="S86" s="1264"/>
      <c r="T86" s="1264"/>
      <c r="U86" s="1264"/>
    </row>
    <row r="87" spans="1:41" s="5" customFormat="1" ht="15" customHeight="1">
      <c r="B87" s="1261" t="s">
        <v>981</v>
      </c>
      <c r="C87" s="1261"/>
      <c r="D87" s="1264" t="s">
        <v>2134</v>
      </c>
      <c r="E87" s="1264"/>
      <c r="F87" s="1264"/>
      <c r="G87" s="1264"/>
      <c r="H87" s="1264"/>
      <c r="I87" s="1264"/>
      <c r="J87" s="1264"/>
      <c r="K87" s="1264"/>
      <c r="L87" s="1264"/>
      <c r="M87" s="1264"/>
      <c r="N87" s="1264"/>
      <c r="O87" s="1264"/>
      <c r="P87" s="1264"/>
      <c r="Q87" s="1264"/>
      <c r="R87" s="1264"/>
      <c r="S87" s="1264"/>
      <c r="T87" s="1264"/>
      <c r="U87" s="1264"/>
    </row>
    <row r="88" spans="1:41" s="5" customFormat="1" ht="15" customHeight="1">
      <c r="B88" s="1261" t="s">
        <v>983</v>
      </c>
      <c r="C88" s="1261"/>
      <c r="D88" s="1264" t="s">
        <v>2135</v>
      </c>
      <c r="E88" s="1264"/>
      <c r="F88" s="1264"/>
      <c r="G88" s="1264"/>
      <c r="H88" s="1264"/>
      <c r="I88" s="1264"/>
      <c r="J88" s="1264"/>
      <c r="K88" s="1264"/>
      <c r="L88" s="1264"/>
      <c r="M88" s="1264"/>
      <c r="N88" s="1264"/>
      <c r="O88" s="1264"/>
      <c r="P88" s="1264"/>
      <c r="Q88" s="1264"/>
      <c r="R88" s="1264"/>
      <c r="S88" s="1264"/>
      <c r="T88" s="1264"/>
      <c r="U88" s="1264"/>
    </row>
    <row r="89" spans="1:41" s="5" customFormat="1" ht="15" customHeight="1">
      <c r="X89" s="494"/>
    </row>
    <row r="90" spans="1:41" s="5" customFormat="1" ht="15" customHeight="1">
      <c r="A90" s="998" t="s">
        <v>1908</v>
      </c>
      <c r="B90" s="1000"/>
      <c r="C90" s="1000"/>
      <c r="D90" s="1000"/>
      <c r="E90" s="1000"/>
      <c r="F90" s="1002"/>
      <c r="G90" s="1002"/>
      <c r="H90" s="1002"/>
      <c r="I90" s="1002"/>
      <c r="J90" s="1002"/>
      <c r="K90" s="1002"/>
      <c r="L90" s="1002"/>
      <c r="M90" s="1002"/>
      <c r="N90" s="1002"/>
      <c r="O90" s="1002"/>
      <c r="P90" s="1002"/>
      <c r="Q90" s="1002"/>
      <c r="R90" s="1002"/>
      <c r="S90" s="1002"/>
      <c r="T90" s="493"/>
      <c r="U90" s="494" t="s">
        <v>1840</v>
      </c>
      <c r="W90" s="1009" t="s">
        <v>1895</v>
      </c>
      <c r="X90" s="494"/>
      <c r="Y90" s="548"/>
      <c r="Z90" s="548"/>
      <c r="AM90" s="1009" t="s">
        <v>1895</v>
      </c>
    </row>
    <row r="91" spans="1:41" s="5" customFormat="1" ht="30" customHeight="1">
      <c r="A91" s="5" t="s">
        <v>643</v>
      </c>
      <c r="C91" s="1259" t="s">
        <v>1909</v>
      </c>
      <c r="D91" s="1259"/>
      <c r="E91" s="1259"/>
      <c r="F91" s="1259"/>
      <c r="G91" s="1259"/>
      <c r="H91" s="1259"/>
      <c r="I91" s="1259"/>
      <c r="J91" s="1259"/>
      <c r="K91" s="1259"/>
      <c r="L91" s="1259"/>
      <c r="M91" s="1259"/>
      <c r="N91" s="1259"/>
      <c r="O91" s="1259"/>
      <c r="P91" s="1259"/>
      <c r="Q91" s="1259"/>
      <c r="R91" s="1259"/>
      <c r="S91" s="1259"/>
      <c r="T91" s="1259"/>
      <c r="U91" s="1011"/>
      <c r="V91" s="494"/>
      <c r="W91" s="999"/>
      <c r="X91" s="999"/>
      <c r="Y91" s="999"/>
      <c r="Z91" s="999"/>
      <c r="AA91" s="999"/>
      <c r="AB91" s="999"/>
      <c r="AC91" s="999"/>
      <c r="AD91" s="999"/>
      <c r="AE91" s="999"/>
      <c r="AF91" s="999"/>
      <c r="AG91" s="999"/>
      <c r="AH91" s="999"/>
      <c r="AI91" s="999"/>
      <c r="AJ91" s="999"/>
      <c r="AK91" s="999"/>
      <c r="AL91" s="999"/>
      <c r="AM91" s="999"/>
      <c r="AN91" s="999"/>
      <c r="AO91" s="999"/>
    </row>
    <row r="92" spans="1:41" s="5" customFormat="1" ht="15" customHeight="1">
      <c r="A92" s="1012"/>
      <c r="B92" s="1013"/>
      <c r="C92" s="1014" t="s">
        <v>1910</v>
      </c>
      <c r="D92" s="1010"/>
      <c r="E92" s="1010"/>
      <c r="F92" s="1010"/>
      <c r="G92" s="1010"/>
      <c r="H92" s="1010"/>
      <c r="I92" s="1010"/>
      <c r="J92" s="1010"/>
      <c r="K92" s="1010"/>
      <c r="L92" s="1010"/>
      <c r="M92" s="1010"/>
      <c r="N92" s="1010"/>
      <c r="O92" s="1010"/>
      <c r="P92" s="1010"/>
      <c r="Q92" s="1010"/>
      <c r="R92" s="1010"/>
      <c r="S92" s="1010"/>
      <c r="T92" s="1010"/>
      <c r="V92" s="494"/>
      <c r="W92" s="999"/>
      <c r="X92" s="999"/>
      <c r="Y92" s="999"/>
      <c r="Z92" s="999"/>
      <c r="AA92" s="999"/>
      <c r="AB92" s="999"/>
      <c r="AC92" s="999"/>
      <c r="AD92" s="999"/>
      <c r="AE92" s="999"/>
      <c r="AF92" s="999"/>
      <c r="AG92" s="999"/>
      <c r="AH92" s="999"/>
      <c r="AI92" s="999"/>
      <c r="AJ92" s="999"/>
      <c r="AK92" s="999"/>
      <c r="AL92" s="999"/>
      <c r="AM92" s="999"/>
      <c r="AN92" s="999"/>
      <c r="AO92" s="999"/>
    </row>
    <row r="93" spans="1:41" s="5" customFormat="1" ht="15" customHeight="1">
      <c r="A93" s="1012"/>
      <c r="C93" s="1014" t="s">
        <v>1896</v>
      </c>
      <c r="D93" s="1014"/>
      <c r="E93" s="1014"/>
      <c r="F93" s="1014"/>
      <c r="G93" s="1014"/>
      <c r="H93" s="1014"/>
      <c r="I93" s="1014"/>
      <c r="J93" s="1014"/>
      <c r="K93" s="1014"/>
      <c r="L93" s="1014"/>
      <c r="M93" s="1014"/>
      <c r="N93" s="1014"/>
      <c r="O93" s="1014"/>
      <c r="P93" s="1014"/>
      <c r="Q93" s="1014"/>
      <c r="R93" s="1014"/>
      <c r="S93" s="1014"/>
      <c r="T93" s="1010"/>
      <c r="V93" s="494"/>
    </row>
    <row r="94" spans="1:41" s="5" customFormat="1" ht="15" customHeight="1">
      <c r="A94" s="1012"/>
      <c r="B94" s="1015"/>
      <c r="C94" s="1259" t="s">
        <v>1897</v>
      </c>
      <c r="D94" s="1259"/>
      <c r="E94" s="1259"/>
      <c r="F94" s="1259"/>
      <c r="G94" s="1259"/>
      <c r="H94" s="1259"/>
      <c r="I94" s="1259"/>
      <c r="J94" s="1259"/>
      <c r="K94" s="1259"/>
      <c r="L94" s="1259"/>
      <c r="M94" s="1259"/>
      <c r="N94" s="1259"/>
      <c r="O94" s="1259"/>
      <c r="P94" s="1259"/>
      <c r="Q94" s="1259"/>
      <c r="R94" s="1259"/>
      <c r="S94" s="1259"/>
      <c r="T94" s="1259"/>
      <c r="V94" s="494"/>
      <c r="W94" s="999"/>
      <c r="X94" s="999"/>
      <c r="Y94" s="999"/>
      <c r="Z94" s="999"/>
      <c r="AA94" s="999"/>
      <c r="AB94" s="999"/>
      <c r="AC94" s="999"/>
      <c r="AD94" s="999"/>
      <c r="AE94" s="999"/>
      <c r="AF94" s="999"/>
      <c r="AG94" s="999"/>
      <c r="AH94" s="999"/>
      <c r="AI94" s="999"/>
      <c r="AJ94" s="999"/>
      <c r="AK94" s="999"/>
      <c r="AL94" s="999"/>
      <c r="AM94" s="999"/>
      <c r="AN94" s="999"/>
      <c r="AO94" s="999"/>
    </row>
    <row r="95" spans="1:41" s="5" customFormat="1" ht="15" customHeight="1">
      <c r="A95" s="1012"/>
      <c r="B95" s="1015"/>
      <c r="C95" s="1259"/>
      <c r="D95" s="1259"/>
      <c r="E95" s="1259"/>
      <c r="F95" s="1259"/>
      <c r="G95" s="1259"/>
      <c r="H95" s="1259"/>
      <c r="I95" s="1259"/>
      <c r="J95" s="1259"/>
      <c r="K95" s="1259"/>
      <c r="L95" s="1259"/>
      <c r="M95" s="1259"/>
      <c r="N95" s="1259"/>
      <c r="O95" s="1259"/>
      <c r="P95" s="1259"/>
      <c r="Q95" s="1259"/>
      <c r="R95" s="1259"/>
      <c r="S95" s="1259"/>
      <c r="T95" s="1259"/>
      <c r="V95" s="494"/>
      <c r="W95" s="999"/>
      <c r="X95" s="999"/>
      <c r="Y95" s="999"/>
      <c r="Z95" s="999"/>
      <c r="AA95" s="999"/>
      <c r="AB95" s="999"/>
      <c r="AC95" s="999"/>
      <c r="AD95" s="999"/>
      <c r="AE95" s="999"/>
      <c r="AF95" s="999"/>
      <c r="AG95" s="999"/>
      <c r="AH95" s="999"/>
      <c r="AI95" s="999"/>
      <c r="AJ95" s="999"/>
      <c r="AK95" s="999"/>
      <c r="AL95" s="999"/>
      <c r="AM95" s="999"/>
      <c r="AN95" s="999"/>
      <c r="AO95" s="999"/>
    </row>
    <row r="96" spans="1:41" s="5" customFormat="1" ht="15" customHeight="1">
      <c r="A96" s="1012"/>
      <c r="B96" s="1015"/>
      <c r="C96" s="1259" t="s">
        <v>1898</v>
      </c>
      <c r="D96" s="1263"/>
      <c r="E96" s="1263"/>
      <c r="F96" s="1263"/>
      <c r="G96" s="1263"/>
      <c r="H96" s="1263"/>
      <c r="I96" s="1263"/>
      <c r="J96" s="1263"/>
      <c r="K96" s="1263"/>
      <c r="L96" s="1263"/>
      <c r="M96" s="1263"/>
      <c r="N96" s="1263"/>
      <c r="O96" s="1263"/>
      <c r="P96" s="1263"/>
      <c r="Q96" s="1263"/>
      <c r="R96" s="1263"/>
      <c r="S96" s="1263"/>
      <c r="T96" s="1263"/>
      <c r="V96" s="494"/>
      <c r="W96" s="999"/>
      <c r="X96" s="999"/>
      <c r="Y96" s="999"/>
      <c r="Z96" s="999"/>
      <c r="AA96" s="999"/>
      <c r="AB96" s="999"/>
      <c r="AC96" s="999"/>
      <c r="AD96" s="999"/>
      <c r="AE96" s="999"/>
      <c r="AF96" s="999"/>
      <c r="AG96" s="999"/>
      <c r="AH96" s="999"/>
      <c r="AI96" s="999"/>
      <c r="AJ96" s="999"/>
      <c r="AK96" s="999"/>
      <c r="AL96" s="999"/>
      <c r="AM96" s="999"/>
      <c r="AN96" s="999"/>
      <c r="AO96" s="999"/>
    </row>
    <row r="97" spans="1:41" s="5" customFormat="1" ht="15" customHeight="1">
      <c r="A97" s="1012"/>
      <c r="B97" s="1015"/>
      <c r="C97" s="1263"/>
      <c r="D97" s="1263"/>
      <c r="E97" s="1263"/>
      <c r="F97" s="1263"/>
      <c r="G97" s="1263"/>
      <c r="H97" s="1263"/>
      <c r="I97" s="1263"/>
      <c r="J97" s="1263"/>
      <c r="K97" s="1263"/>
      <c r="L97" s="1263"/>
      <c r="M97" s="1263"/>
      <c r="N97" s="1263"/>
      <c r="O97" s="1263"/>
      <c r="P97" s="1263"/>
      <c r="Q97" s="1263"/>
      <c r="R97" s="1263"/>
      <c r="S97" s="1263"/>
      <c r="T97" s="1263"/>
      <c r="V97" s="494"/>
      <c r="W97" s="999"/>
      <c r="X97" s="999"/>
      <c r="Y97" s="999"/>
      <c r="Z97" s="999"/>
      <c r="AA97" s="999"/>
      <c r="AB97" s="999"/>
      <c r="AC97" s="999"/>
      <c r="AD97" s="999"/>
      <c r="AE97" s="999"/>
      <c r="AF97" s="999"/>
      <c r="AG97" s="999"/>
      <c r="AH97" s="999"/>
      <c r="AI97" s="999"/>
      <c r="AJ97" s="999"/>
      <c r="AK97" s="999"/>
      <c r="AL97" s="999"/>
      <c r="AM97" s="999"/>
      <c r="AN97" s="999"/>
      <c r="AO97" s="999"/>
    </row>
    <row r="98" spans="1:41" s="5" customFormat="1" ht="15" customHeight="1">
      <c r="A98" s="1016"/>
      <c r="B98" s="1014"/>
      <c r="C98" s="1259" t="s">
        <v>1911</v>
      </c>
      <c r="D98" s="1259"/>
      <c r="E98" s="1259"/>
      <c r="F98" s="1259"/>
      <c r="G98" s="1259"/>
      <c r="H98" s="1259"/>
      <c r="I98" s="1259"/>
      <c r="J98" s="1259"/>
      <c r="K98" s="1259"/>
      <c r="L98" s="1259"/>
      <c r="M98" s="1259"/>
      <c r="N98" s="1259"/>
      <c r="O98" s="1259"/>
      <c r="P98" s="1259"/>
      <c r="Q98" s="1259"/>
      <c r="R98" s="1259"/>
      <c r="S98" s="1259"/>
      <c r="T98" s="1259"/>
      <c r="V98" s="494"/>
      <c r="W98" s="999"/>
      <c r="X98" s="999"/>
      <c r="Y98" s="999"/>
      <c r="Z98" s="999"/>
      <c r="AA98" s="999"/>
      <c r="AB98" s="999"/>
      <c r="AC98" s="999"/>
      <c r="AD98" s="999"/>
      <c r="AE98" s="999"/>
      <c r="AF98" s="999"/>
      <c r="AG98" s="999"/>
      <c r="AH98" s="999"/>
      <c r="AI98" s="999"/>
      <c r="AJ98" s="999"/>
      <c r="AK98" s="999"/>
      <c r="AL98" s="999"/>
      <c r="AM98" s="999"/>
      <c r="AN98" s="999"/>
      <c r="AO98" s="999"/>
    </row>
    <row r="99" spans="1:41" s="5" customFormat="1" ht="15" customHeight="1">
      <c r="A99" s="1016"/>
      <c r="B99" s="1014"/>
      <c r="C99" s="1259"/>
      <c r="D99" s="1259"/>
      <c r="E99" s="1259"/>
      <c r="F99" s="1259"/>
      <c r="G99" s="1259"/>
      <c r="H99" s="1259"/>
      <c r="I99" s="1259"/>
      <c r="J99" s="1259"/>
      <c r="K99" s="1259"/>
      <c r="L99" s="1259"/>
      <c r="M99" s="1259"/>
      <c r="N99" s="1259"/>
      <c r="O99" s="1259"/>
      <c r="P99" s="1259"/>
      <c r="Q99" s="1259"/>
      <c r="R99" s="1259"/>
      <c r="S99" s="1259"/>
      <c r="T99" s="1259"/>
      <c r="V99" s="494"/>
      <c r="W99" s="999"/>
      <c r="X99" s="999"/>
      <c r="Y99" s="999"/>
      <c r="Z99" s="999"/>
      <c r="AA99" s="999"/>
      <c r="AB99" s="999"/>
      <c r="AC99" s="999"/>
      <c r="AD99" s="999"/>
      <c r="AE99" s="999"/>
      <c r="AF99" s="999"/>
      <c r="AG99" s="999"/>
      <c r="AH99" s="999"/>
      <c r="AI99" s="999"/>
      <c r="AJ99" s="999"/>
      <c r="AK99" s="999"/>
      <c r="AL99" s="999"/>
      <c r="AM99" s="999"/>
      <c r="AN99" s="999"/>
      <c r="AO99" s="999"/>
    </row>
    <row r="100" spans="1:41" s="5" customFormat="1" ht="15" customHeight="1">
      <c r="A100" s="998"/>
      <c r="B100" s="1017" t="s">
        <v>570</v>
      </c>
      <c r="C100" s="1260" t="s">
        <v>1912</v>
      </c>
      <c r="D100" s="1260"/>
      <c r="E100" s="1260"/>
      <c r="F100" s="1260"/>
      <c r="G100" s="1260"/>
      <c r="H100" s="1260"/>
      <c r="I100" s="1260"/>
      <c r="J100" s="1260"/>
      <c r="K100" s="1260"/>
      <c r="L100" s="1260"/>
      <c r="M100" s="1260"/>
      <c r="N100" s="1260"/>
      <c r="O100" s="1260"/>
      <c r="P100" s="1260"/>
      <c r="Q100" s="1260"/>
      <c r="R100" s="1260"/>
      <c r="S100" s="1260"/>
      <c r="T100" s="1260"/>
      <c r="W100" s="494"/>
      <c r="X100" s="494"/>
      <c r="Y100" s="548"/>
      <c r="Z100" s="548"/>
    </row>
    <row r="101" spans="1:41" s="5" customFormat="1" ht="15" customHeight="1">
      <c r="A101" s="998"/>
      <c r="B101" s="1017"/>
      <c r="C101" s="1260"/>
      <c r="D101" s="1260"/>
      <c r="E101" s="1260"/>
      <c r="F101" s="1260"/>
      <c r="G101" s="1260"/>
      <c r="H101" s="1260"/>
      <c r="I101" s="1260"/>
      <c r="J101" s="1260"/>
      <c r="K101" s="1260"/>
      <c r="L101" s="1260"/>
      <c r="M101" s="1260"/>
      <c r="N101" s="1260"/>
      <c r="O101" s="1260"/>
      <c r="P101" s="1260"/>
      <c r="Q101" s="1260"/>
      <c r="R101" s="1260"/>
      <c r="S101" s="1260"/>
      <c r="T101" s="1260"/>
      <c r="W101" s="494"/>
      <c r="X101" s="494"/>
      <c r="Y101" s="548"/>
      <c r="Z101" s="548"/>
    </row>
    <row r="102" spans="1:41" s="5" customFormat="1" ht="15" customHeight="1">
      <c r="A102" s="998"/>
      <c r="B102" s="1017" t="s">
        <v>595</v>
      </c>
      <c r="C102" s="1260" t="s">
        <v>1913</v>
      </c>
      <c r="D102" s="1260"/>
      <c r="E102" s="1260"/>
      <c r="F102" s="1260"/>
      <c r="G102" s="1260"/>
      <c r="H102" s="1260"/>
      <c r="I102" s="1260"/>
      <c r="J102" s="1260"/>
      <c r="K102" s="1260"/>
      <c r="L102" s="1260"/>
      <c r="M102" s="1260"/>
      <c r="N102" s="1260"/>
      <c r="O102" s="1260"/>
      <c r="P102" s="1260"/>
      <c r="Q102" s="1260"/>
      <c r="R102" s="1260"/>
      <c r="S102" s="1260"/>
      <c r="T102" s="1260"/>
      <c r="W102" s="494"/>
      <c r="X102" s="494"/>
      <c r="Y102" s="548"/>
      <c r="Z102" s="548"/>
    </row>
    <row r="103" spans="1:41" s="5" customFormat="1" ht="15" customHeight="1">
      <c r="A103" s="998"/>
      <c r="B103" s="1017"/>
      <c r="C103" s="1260"/>
      <c r="D103" s="1260"/>
      <c r="E103" s="1260"/>
      <c r="F103" s="1260"/>
      <c r="G103" s="1260"/>
      <c r="H103" s="1260"/>
      <c r="I103" s="1260"/>
      <c r="J103" s="1260"/>
      <c r="K103" s="1260"/>
      <c r="L103" s="1260"/>
      <c r="M103" s="1260"/>
      <c r="N103" s="1260"/>
      <c r="O103" s="1260"/>
      <c r="P103" s="1260"/>
      <c r="Q103" s="1260"/>
      <c r="R103" s="1260"/>
      <c r="S103" s="1260"/>
      <c r="T103" s="1260"/>
      <c r="W103" s="494"/>
      <c r="X103" s="494"/>
      <c r="Y103" s="548"/>
      <c r="Z103" s="548"/>
    </row>
    <row r="104" spans="1:41" s="5" customFormat="1" ht="15" customHeight="1">
      <c r="A104" s="998"/>
      <c r="B104" s="1017"/>
      <c r="C104" s="1260"/>
      <c r="D104" s="1260"/>
      <c r="E104" s="1260"/>
      <c r="F104" s="1260"/>
      <c r="G104" s="1260"/>
      <c r="H104" s="1260"/>
      <c r="I104" s="1260"/>
      <c r="J104" s="1260"/>
      <c r="K104" s="1260"/>
      <c r="L104" s="1260"/>
      <c r="M104" s="1260"/>
      <c r="N104" s="1260"/>
      <c r="O104" s="1260"/>
      <c r="P104" s="1260"/>
      <c r="Q104" s="1260"/>
      <c r="R104" s="1260"/>
      <c r="S104" s="1260"/>
      <c r="T104" s="1260"/>
      <c r="W104" s="494"/>
      <c r="X104" s="494"/>
      <c r="Y104" s="548"/>
      <c r="Z104" s="548"/>
    </row>
    <row r="105" spans="1:41" s="5" customFormat="1" ht="15" customHeight="1">
      <c r="A105" s="1016"/>
      <c r="B105" s="1017" t="s">
        <v>597</v>
      </c>
      <c r="C105" s="1259" t="s">
        <v>1914</v>
      </c>
      <c r="D105" s="1259"/>
      <c r="E105" s="1259"/>
      <c r="F105" s="1259"/>
      <c r="G105" s="1259"/>
      <c r="H105" s="1259"/>
      <c r="I105" s="1259"/>
      <c r="J105" s="1259"/>
      <c r="K105" s="1259"/>
      <c r="L105" s="1259"/>
      <c r="M105" s="1259"/>
      <c r="N105" s="1259"/>
      <c r="O105" s="1259"/>
      <c r="P105" s="1259"/>
      <c r="Q105" s="1259"/>
      <c r="R105" s="1259"/>
      <c r="S105" s="1259"/>
      <c r="T105" s="1259"/>
      <c r="V105" s="494"/>
      <c r="W105" s="999"/>
      <c r="X105" s="999"/>
      <c r="Y105" s="999"/>
      <c r="Z105" s="999"/>
      <c r="AA105" s="999"/>
      <c r="AB105" s="999"/>
      <c r="AC105" s="999"/>
      <c r="AD105" s="999"/>
      <c r="AE105" s="999"/>
      <c r="AF105" s="999"/>
      <c r="AG105" s="999"/>
      <c r="AH105" s="999"/>
      <c r="AI105" s="999"/>
      <c r="AJ105" s="999"/>
      <c r="AK105" s="999"/>
      <c r="AL105" s="999"/>
      <c r="AM105" s="999"/>
      <c r="AN105" s="999"/>
      <c r="AO105" s="999"/>
    </row>
    <row r="106" spans="1:41" s="5" customFormat="1" ht="15" customHeight="1">
      <c r="A106" s="1016"/>
      <c r="B106" s="1014"/>
      <c r="C106" s="1259"/>
      <c r="D106" s="1259"/>
      <c r="E106" s="1259"/>
      <c r="F106" s="1259"/>
      <c r="G106" s="1259"/>
      <c r="H106" s="1259"/>
      <c r="I106" s="1259"/>
      <c r="J106" s="1259"/>
      <c r="K106" s="1259"/>
      <c r="L106" s="1259"/>
      <c r="M106" s="1259"/>
      <c r="N106" s="1259"/>
      <c r="O106" s="1259"/>
      <c r="P106" s="1259"/>
      <c r="Q106" s="1259"/>
      <c r="R106" s="1259"/>
      <c r="S106" s="1259"/>
      <c r="T106" s="1259"/>
      <c r="V106" s="494"/>
      <c r="W106" s="999"/>
      <c r="X106" s="999"/>
      <c r="Y106" s="999"/>
      <c r="Z106" s="999"/>
      <c r="AA106" s="999"/>
      <c r="AB106" s="999"/>
      <c r="AC106" s="999"/>
      <c r="AD106" s="999"/>
      <c r="AE106" s="999"/>
      <c r="AF106" s="999"/>
      <c r="AG106" s="999"/>
      <c r="AH106" s="999"/>
      <c r="AI106" s="999"/>
      <c r="AJ106" s="999"/>
      <c r="AK106" s="999"/>
      <c r="AL106" s="999"/>
      <c r="AM106" s="999"/>
      <c r="AN106" s="999"/>
      <c r="AO106" s="999"/>
    </row>
    <row r="107" spans="1:41" s="5" customFormat="1" ht="15" customHeight="1">
      <c r="A107" s="1016"/>
      <c r="B107" s="1014"/>
      <c r="C107" s="1014"/>
      <c r="D107" s="1014"/>
      <c r="E107" s="1014"/>
      <c r="F107" s="1014"/>
      <c r="G107" s="1014"/>
      <c r="H107" s="1014"/>
      <c r="I107" s="1014"/>
      <c r="J107" s="1014"/>
      <c r="K107" s="1014"/>
      <c r="L107" s="1014"/>
      <c r="M107" s="1014"/>
      <c r="N107" s="1014"/>
      <c r="O107" s="1014"/>
      <c r="P107" s="1014"/>
      <c r="Q107" s="1014"/>
      <c r="R107" s="1014"/>
      <c r="S107" s="1014"/>
      <c r="T107" s="1010"/>
      <c r="V107" s="494"/>
      <c r="W107" s="999"/>
      <c r="X107" s="999"/>
      <c r="Y107" s="999"/>
      <c r="Z107" s="999"/>
      <c r="AA107" s="999"/>
      <c r="AB107" s="999"/>
      <c r="AC107" s="999"/>
      <c r="AD107" s="999"/>
      <c r="AE107" s="999"/>
      <c r="AF107" s="999"/>
      <c r="AG107" s="999"/>
      <c r="AH107" s="999"/>
      <c r="AI107" s="999"/>
      <c r="AJ107" s="999"/>
      <c r="AK107" s="999"/>
      <c r="AL107" s="999"/>
      <c r="AM107" s="999"/>
      <c r="AN107" s="999"/>
      <c r="AO107" s="999"/>
    </row>
    <row r="108" spans="1:41" s="5" customFormat="1" ht="15" customHeight="1">
      <c r="A108" s="5" t="s">
        <v>642</v>
      </c>
      <c r="X108" s="494"/>
    </row>
    <row r="109" spans="1:41" s="5" customFormat="1" ht="15" customHeight="1">
      <c r="A109" s="5" t="s">
        <v>646</v>
      </c>
      <c r="C109" s="1258" t="s">
        <v>644</v>
      </c>
      <c r="D109" s="1258"/>
      <c r="E109" s="1258"/>
      <c r="F109" s="1258"/>
      <c r="G109" s="1258"/>
      <c r="H109" s="1258"/>
      <c r="I109" s="1258"/>
      <c r="J109" s="1258"/>
      <c r="K109" s="1258"/>
      <c r="L109" s="1258"/>
      <c r="M109" s="1258"/>
      <c r="N109" s="1258"/>
      <c r="O109" s="1258"/>
      <c r="P109" s="1258"/>
      <c r="Q109" s="1258"/>
      <c r="R109" s="1258"/>
      <c r="S109" s="1258"/>
      <c r="T109" s="1258"/>
      <c r="X109" s="494"/>
    </row>
    <row r="110" spans="1:41" s="5" customFormat="1" ht="15" customHeight="1">
      <c r="C110" s="1258"/>
      <c r="D110" s="1258"/>
      <c r="E110" s="1258"/>
      <c r="F110" s="1258"/>
      <c r="G110" s="1258"/>
      <c r="H110" s="1258"/>
      <c r="I110" s="1258"/>
      <c r="J110" s="1258"/>
      <c r="K110" s="1258"/>
      <c r="L110" s="1258"/>
      <c r="M110" s="1258"/>
      <c r="N110" s="1258"/>
      <c r="O110" s="1258"/>
      <c r="P110" s="1258"/>
      <c r="Q110" s="1258"/>
      <c r="R110" s="1258"/>
      <c r="S110" s="1258"/>
      <c r="T110" s="1258"/>
      <c r="X110" s="494"/>
    </row>
    <row r="111" spans="1:41" s="5" customFormat="1" ht="15" customHeight="1">
      <c r="C111" s="1258"/>
      <c r="D111" s="1258"/>
      <c r="E111" s="1258"/>
      <c r="F111" s="1258"/>
      <c r="G111" s="1258"/>
      <c r="H111" s="1258"/>
      <c r="I111" s="1258"/>
      <c r="J111" s="1258"/>
      <c r="K111" s="1258"/>
      <c r="L111" s="1258"/>
      <c r="M111" s="1258"/>
      <c r="N111" s="1258"/>
      <c r="O111" s="1258"/>
      <c r="P111" s="1258"/>
      <c r="Q111" s="1258"/>
      <c r="R111" s="1258"/>
      <c r="S111" s="1258"/>
      <c r="T111" s="1258"/>
      <c r="X111" s="494"/>
    </row>
    <row r="112" spans="1:41" s="5" customFormat="1" ht="15" customHeight="1">
      <c r="X112" s="494"/>
    </row>
    <row r="113" spans="1:24" s="5" customFormat="1" ht="15" customHeight="1">
      <c r="A113" s="5" t="s">
        <v>645</v>
      </c>
      <c r="X113" s="494"/>
    </row>
    <row r="114" spans="1:24" s="5" customFormat="1" ht="15" customHeight="1">
      <c r="A114" s="5" t="s">
        <v>671</v>
      </c>
      <c r="C114" s="1258" t="s">
        <v>647</v>
      </c>
      <c r="D114" s="1258"/>
      <c r="E114" s="1258"/>
      <c r="F114" s="1258"/>
      <c r="G114" s="1258"/>
      <c r="H114" s="1258"/>
      <c r="I114" s="1258"/>
      <c r="J114" s="1258"/>
      <c r="K114" s="1258"/>
      <c r="L114" s="1258"/>
      <c r="M114" s="1258"/>
      <c r="N114" s="1258"/>
      <c r="O114" s="1258"/>
      <c r="P114" s="1258"/>
      <c r="Q114" s="1258"/>
      <c r="R114" s="1258"/>
      <c r="S114" s="1258"/>
      <c r="T114" s="1258"/>
      <c r="X114" s="494"/>
    </row>
    <row r="115" spans="1:24" s="5" customFormat="1" ht="15" customHeight="1">
      <c r="C115" s="1258"/>
      <c r="D115" s="1258"/>
      <c r="E115" s="1258"/>
      <c r="F115" s="1258"/>
      <c r="G115" s="1258"/>
      <c r="H115" s="1258"/>
      <c r="I115" s="1258"/>
      <c r="J115" s="1258"/>
      <c r="K115" s="1258"/>
      <c r="L115" s="1258"/>
      <c r="M115" s="1258"/>
      <c r="N115" s="1258"/>
      <c r="O115" s="1258"/>
      <c r="P115" s="1258"/>
      <c r="Q115" s="1258"/>
      <c r="R115" s="1258"/>
      <c r="S115" s="1258"/>
      <c r="T115" s="1258"/>
      <c r="X115" s="494"/>
    </row>
    <row r="116" spans="1:24" s="5" customFormat="1" ht="15" customHeight="1">
      <c r="B116" s="5" t="s">
        <v>570</v>
      </c>
      <c r="C116" s="1258" t="s">
        <v>648</v>
      </c>
      <c r="D116" s="1258"/>
      <c r="E116" s="1258"/>
      <c r="F116" s="1258"/>
      <c r="G116" s="1258"/>
      <c r="H116" s="1258"/>
      <c r="I116" s="1258"/>
      <c r="J116" s="1258"/>
      <c r="K116" s="1258"/>
      <c r="L116" s="1258"/>
      <c r="M116" s="1258"/>
      <c r="N116" s="1258"/>
      <c r="O116" s="1258"/>
      <c r="P116" s="1258"/>
      <c r="Q116" s="1258"/>
      <c r="R116" s="1258"/>
      <c r="S116" s="1258"/>
      <c r="T116" s="1258"/>
      <c r="V116" s="494" t="s">
        <v>625</v>
      </c>
      <c r="X116" s="494"/>
    </row>
    <row r="117" spans="1:24" s="5" customFormat="1" ht="15" customHeight="1">
      <c r="C117" s="1258"/>
      <c r="D117" s="1258"/>
      <c r="E117" s="1258"/>
      <c r="F117" s="1258"/>
      <c r="G117" s="1258"/>
      <c r="H117" s="1258"/>
      <c r="I117" s="1258"/>
      <c r="J117" s="1258"/>
      <c r="K117" s="1258"/>
      <c r="L117" s="1258"/>
      <c r="M117" s="1258"/>
      <c r="N117" s="1258"/>
      <c r="O117" s="1258"/>
      <c r="P117" s="1258"/>
      <c r="Q117" s="1258"/>
      <c r="R117" s="1258"/>
      <c r="S117" s="1258"/>
      <c r="T117" s="1258"/>
      <c r="X117" s="494"/>
    </row>
    <row r="118" spans="1:24" s="5" customFormat="1" ht="15" customHeight="1">
      <c r="B118" s="5" t="s">
        <v>595</v>
      </c>
      <c r="C118" s="1258" t="s">
        <v>649</v>
      </c>
      <c r="D118" s="1258"/>
      <c r="E118" s="1258"/>
      <c r="F118" s="1258"/>
      <c r="G118" s="1258"/>
      <c r="H118" s="1258"/>
      <c r="I118" s="1258"/>
      <c r="J118" s="1258"/>
      <c r="K118" s="1258"/>
      <c r="L118" s="1258"/>
      <c r="M118" s="1258"/>
      <c r="N118" s="1258"/>
      <c r="O118" s="1258"/>
      <c r="P118" s="1258"/>
      <c r="Q118" s="1258"/>
      <c r="R118" s="1258"/>
      <c r="S118" s="1258"/>
      <c r="T118" s="1258"/>
      <c r="V118" s="494" t="s">
        <v>625</v>
      </c>
      <c r="X118" s="494"/>
    </row>
    <row r="119" spans="1:24" s="5" customFormat="1" ht="15" customHeight="1">
      <c r="C119" s="1258"/>
      <c r="D119" s="1258"/>
      <c r="E119" s="1258"/>
      <c r="F119" s="1258"/>
      <c r="G119" s="1258"/>
      <c r="H119" s="1258"/>
      <c r="I119" s="1258"/>
      <c r="J119" s="1258"/>
      <c r="K119" s="1258"/>
      <c r="L119" s="1258"/>
      <c r="M119" s="1258"/>
      <c r="N119" s="1258"/>
      <c r="O119" s="1258"/>
      <c r="P119" s="1258"/>
      <c r="Q119" s="1258"/>
      <c r="R119" s="1258"/>
      <c r="S119" s="1258"/>
      <c r="T119" s="1258"/>
      <c r="X119" s="494"/>
    </row>
    <row r="120" spans="1:24" s="5" customFormat="1" ht="15" customHeight="1">
      <c r="C120" s="1258"/>
      <c r="D120" s="1258"/>
      <c r="E120" s="1258"/>
      <c r="F120" s="1258"/>
      <c r="G120" s="1258"/>
      <c r="H120" s="1258"/>
      <c r="I120" s="1258"/>
      <c r="J120" s="1258"/>
      <c r="K120" s="1258"/>
      <c r="L120" s="1258"/>
      <c r="M120" s="1258"/>
      <c r="N120" s="1258"/>
      <c r="O120" s="1258"/>
      <c r="P120" s="1258"/>
      <c r="Q120" s="1258"/>
      <c r="R120" s="1258"/>
      <c r="S120" s="1258"/>
      <c r="T120" s="1258"/>
      <c r="X120" s="494"/>
    </row>
    <row r="121" spans="1:24" s="5" customFormat="1" ht="15" customHeight="1">
      <c r="B121" s="5" t="s">
        <v>597</v>
      </c>
      <c r="C121" s="1258" t="s">
        <v>650</v>
      </c>
      <c r="D121" s="1258"/>
      <c r="E121" s="1258"/>
      <c r="F121" s="1258"/>
      <c r="G121" s="1258"/>
      <c r="H121" s="1258"/>
      <c r="I121" s="1258"/>
      <c r="J121" s="1258"/>
      <c r="K121" s="1258"/>
      <c r="L121" s="1258"/>
      <c r="M121" s="1258"/>
      <c r="N121" s="1258"/>
      <c r="O121" s="1258"/>
      <c r="P121" s="1258"/>
      <c r="Q121" s="1258"/>
      <c r="R121" s="1258"/>
      <c r="S121" s="1258"/>
      <c r="T121" s="1258"/>
      <c r="X121" s="494"/>
    </row>
    <row r="122" spans="1:24" s="5" customFormat="1" ht="15" customHeight="1">
      <c r="C122" s="1258"/>
      <c r="D122" s="1258"/>
      <c r="E122" s="1258"/>
      <c r="F122" s="1258"/>
      <c r="G122" s="1258"/>
      <c r="H122" s="1258"/>
      <c r="I122" s="1258"/>
      <c r="J122" s="1258"/>
      <c r="K122" s="1258"/>
      <c r="L122" s="1258"/>
      <c r="M122" s="1258"/>
      <c r="N122" s="1258"/>
      <c r="O122" s="1258"/>
      <c r="P122" s="1258"/>
      <c r="Q122" s="1258"/>
      <c r="R122" s="1258"/>
      <c r="S122" s="1258"/>
      <c r="T122" s="1258"/>
      <c r="X122" s="494"/>
    </row>
    <row r="123" spans="1:24" s="5" customFormat="1" ht="15" customHeight="1">
      <c r="B123" s="1261" t="s">
        <v>599</v>
      </c>
      <c r="C123" s="1261"/>
      <c r="D123" s="1258" t="s">
        <v>651</v>
      </c>
      <c r="E123" s="1258"/>
      <c r="F123" s="1258"/>
      <c r="G123" s="1258"/>
      <c r="H123" s="1258"/>
      <c r="I123" s="1258"/>
      <c r="J123" s="1258"/>
      <c r="K123" s="1258"/>
      <c r="L123" s="1258"/>
      <c r="M123" s="1258"/>
      <c r="N123" s="1258"/>
      <c r="O123" s="1258"/>
      <c r="P123" s="1258"/>
      <c r="Q123" s="1258"/>
      <c r="R123" s="1258"/>
      <c r="S123" s="1258"/>
      <c r="T123" s="1258"/>
      <c r="V123" s="494" t="s">
        <v>614</v>
      </c>
      <c r="X123" s="494"/>
    </row>
    <row r="124" spans="1:24" s="5" customFormat="1" ht="15" customHeight="1">
      <c r="C124" s="999"/>
      <c r="D124" s="1258"/>
      <c r="E124" s="1258"/>
      <c r="F124" s="1258"/>
      <c r="G124" s="1258"/>
      <c r="H124" s="1258"/>
      <c r="I124" s="1258"/>
      <c r="J124" s="1258"/>
      <c r="K124" s="1258"/>
      <c r="L124" s="1258"/>
      <c r="M124" s="1258"/>
      <c r="N124" s="1258"/>
      <c r="O124" s="1258"/>
      <c r="P124" s="1258"/>
      <c r="Q124" s="1258"/>
      <c r="R124" s="1258"/>
      <c r="S124" s="1258"/>
      <c r="T124" s="1258"/>
      <c r="V124" s="1007" t="s">
        <v>652</v>
      </c>
      <c r="X124" s="494"/>
    </row>
    <row r="125" spans="1:24" s="5" customFormat="1" ht="15" customHeight="1">
      <c r="B125" s="1261" t="s">
        <v>601</v>
      </c>
      <c r="C125" s="1261"/>
      <c r="D125" s="1258" t="s">
        <v>653</v>
      </c>
      <c r="E125" s="1258"/>
      <c r="F125" s="1258"/>
      <c r="G125" s="1258"/>
      <c r="H125" s="1258"/>
      <c r="I125" s="1258"/>
      <c r="J125" s="1258"/>
      <c r="K125" s="1258"/>
      <c r="L125" s="1258"/>
      <c r="M125" s="1258"/>
      <c r="N125" s="1258"/>
      <c r="O125" s="1258"/>
      <c r="P125" s="1258"/>
      <c r="Q125" s="1258"/>
      <c r="R125" s="1258"/>
      <c r="S125" s="1258"/>
      <c r="T125" s="1258"/>
      <c r="X125" s="494"/>
    </row>
    <row r="126" spans="1:24" s="5" customFormat="1" ht="15" customHeight="1">
      <c r="C126" s="999"/>
      <c r="D126" s="1258"/>
      <c r="E126" s="1258"/>
      <c r="F126" s="1258"/>
      <c r="G126" s="1258"/>
      <c r="H126" s="1258"/>
      <c r="I126" s="1258"/>
      <c r="J126" s="1258"/>
      <c r="K126" s="1258"/>
      <c r="L126" s="1258"/>
      <c r="M126" s="1258"/>
      <c r="N126" s="1258"/>
      <c r="O126" s="1258"/>
      <c r="P126" s="1258"/>
      <c r="Q126" s="1258"/>
      <c r="R126" s="1258"/>
      <c r="S126" s="1258"/>
      <c r="T126" s="1258"/>
      <c r="X126" s="494"/>
    </row>
    <row r="127" spans="1:24" s="5" customFormat="1" ht="15" customHeight="1">
      <c r="B127" s="1261" t="s">
        <v>635</v>
      </c>
      <c r="C127" s="1261"/>
      <c r="D127" s="5" t="s">
        <v>654</v>
      </c>
      <c r="X127" s="494"/>
    </row>
    <row r="128" spans="1:24" s="5" customFormat="1" ht="15" customHeight="1">
      <c r="B128" s="1261" t="s">
        <v>655</v>
      </c>
      <c r="C128" s="1261"/>
      <c r="D128" s="5" t="s">
        <v>656</v>
      </c>
      <c r="X128" s="494"/>
    </row>
    <row r="129" spans="2:24" s="5" customFormat="1" ht="15" customHeight="1">
      <c r="B129" s="1261" t="s">
        <v>657</v>
      </c>
      <c r="C129" s="1261"/>
      <c r="D129" s="5" t="s">
        <v>658</v>
      </c>
      <c r="V129" s="5" t="s">
        <v>659</v>
      </c>
      <c r="X129" s="494"/>
    </row>
    <row r="130" spans="2:24" s="5" customFormat="1" ht="15" customHeight="1">
      <c r="C130" s="1008"/>
      <c r="D130" s="1258" t="s">
        <v>660</v>
      </c>
      <c r="E130" s="1258"/>
      <c r="F130" s="1258"/>
      <c r="G130" s="1258"/>
      <c r="H130" s="1258"/>
      <c r="I130" s="1258"/>
      <c r="J130" s="1258"/>
      <c r="K130" s="1258"/>
      <c r="L130" s="1258"/>
      <c r="M130" s="1258"/>
      <c r="N130" s="1258"/>
      <c r="O130" s="1258"/>
      <c r="P130" s="1258"/>
      <c r="Q130" s="1258"/>
      <c r="R130" s="1258"/>
      <c r="S130" s="1258"/>
      <c r="T130" s="1258"/>
      <c r="X130" s="494"/>
    </row>
    <row r="131" spans="2:24" s="5" customFormat="1" ht="15" customHeight="1">
      <c r="D131" s="1258"/>
      <c r="E131" s="1258"/>
      <c r="F131" s="1258"/>
      <c r="G131" s="1258"/>
      <c r="H131" s="1258"/>
      <c r="I131" s="1258"/>
      <c r="J131" s="1258"/>
      <c r="K131" s="1258"/>
      <c r="L131" s="1258"/>
      <c r="M131" s="1258"/>
      <c r="N131" s="1258"/>
      <c r="O131" s="1258"/>
      <c r="P131" s="1258"/>
      <c r="Q131" s="1258"/>
      <c r="R131" s="1258"/>
      <c r="S131" s="1258"/>
      <c r="T131" s="1258"/>
      <c r="X131" s="494"/>
    </row>
    <row r="132" spans="2:24" s="5" customFormat="1" ht="15" customHeight="1">
      <c r="D132" s="1258"/>
      <c r="E132" s="1258"/>
      <c r="F132" s="1258"/>
      <c r="G132" s="1258"/>
      <c r="H132" s="1258"/>
      <c r="I132" s="1258"/>
      <c r="J132" s="1258"/>
      <c r="K132" s="1258"/>
      <c r="L132" s="1258"/>
      <c r="M132" s="1258"/>
      <c r="N132" s="1258"/>
      <c r="O132" s="1258"/>
      <c r="P132" s="1258"/>
      <c r="Q132" s="1258"/>
      <c r="R132" s="1258"/>
      <c r="S132" s="1258"/>
      <c r="T132" s="1258"/>
      <c r="X132" s="494"/>
    </row>
    <row r="133" spans="2:24" s="5" customFormat="1" ht="15" customHeight="1">
      <c r="B133" s="5" t="s">
        <v>603</v>
      </c>
      <c r="C133" s="1258" t="s">
        <v>661</v>
      </c>
      <c r="D133" s="1258"/>
      <c r="E133" s="1258"/>
      <c r="F133" s="1258"/>
      <c r="G133" s="1258"/>
      <c r="H133" s="1258"/>
      <c r="I133" s="1258"/>
      <c r="J133" s="1258"/>
      <c r="K133" s="1258"/>
      <c r="L133" s="1258"/>
      <c r="M133" s="1258"/>
      <c r="N133" s="1258"/>
      <c r="O133" s="1258"/>
      <c r="P133" s="1258"/>
      <c r="Q133" s="1258"/>
      <c r="R133" s="1258"/>
      <c r="S133" s="1258"/>
      <c r="T133" s="1258"/>
      <c r="X133" s="494"/>
    </row>
    <row r="134" spans="2:24" s="5" customFormat="1" ht="15" customHeight="1">
      <c r="C134" s="1258"/>
      <c r="D134" s="1258"/>
      <c r="E134" s="1258"/>
      <c r="F134" s="1258"/>
      <c r="G134" s="1258"/>
      <c r="H134" s="1258"/>
      <c r="I134" s="1258"/>
      <c r="J134" s="1258"/>
      <c r="K134" s="1258"/>
      <c r="L134" s="1258"/>
      <c r="M134" s="1258"/>
      <c r="N134" s="1258"/>
      <c r="O134" s="1258"/>
      <c r="P134" s="1258"/>
      <c r="Q134" s="1258"/>
      <c r="R134" s="1258"/>
      <c r="S134" s="1258"/>
      <c r="T134" s="1258"/>
      <c r="X134" s="494"/>
    </row>
    <row r="135" spans="2:24" s="5" customFormat="1" ht="15" customHeight="1">
      <c r="C135" s="1258"/>
      <c r="D135" s="1258"/>
      <c r="E135" s="1258"/>
      <c r="F135" s="1258"/>
      <c r="G135" s="1258"/>
      <c r="H135" s="1258"/>
      <c r="I135" s="1258"/>
      <c r="J135" s="1258"/>
      <c r="K135" s="1258"/>
      <c r="L135" s="1258"/>
      <c r="M135" s="1258"/>
      <c r="N135" s="1258"/>
      <c r="O135" s="1258"/>
      <c r="P135" s="1258"/>
      <c r="Q135" s="1258"/>
      <c r="R135" s="1258"/>
      <c r="S135" s="1258"/>
      <c r="T135" s="1258"/>
      <c r="X135" s="494"/>
    </row>
    <row r="136" spans="2:24" s="5" customFormat="1" ht="15" customHeight="1">
      <c r="B136" s="5" t="s">
        <v>606</v>
      </c>
      <c r="C136" s="1258" t="s">
        <v>662</v>
      </c>
      <c r="D136" s="1258"/>
      <c r="E136" s="1258"/>
      <c r="F136" s="1258"/>
      <c r="G136" s="1258"/>
      <c r="H136" s="1258"/>
      <c r="I136" s="1258"/>
      <c r="J136" s="1258"/>
      <c r="K136" s="1258"/>
      <c r="L136" s="1258"/>
      <c r="M136" s="1258"/>
      <c r="N136" s="1258"/>
      <c r="O136" s="1258"/>
      <c r="P136" s="1258"/>
      <c r="Q136" s="1258"/>
      <c r="R136" s="1258"/>
      <c r="S136" s="1258"/>
      <c r="T136" s="1258"/>
      <c r="X136" s="494"/>
    </row>
    <row r="137" spans="2:24" s="5" customFormat="1" ht="15" customHeight="1">
      <c r="C137" s="1258"/>
      <c r="D137" s="1258"/>
      <c r="E137" s="1258"/>
      <c r="F137" s="1258"/>
      <c r="G137" s="1258"/>
      <c r="H137" s="1258"/>
      <c r="I137" s="1258"/>
      <c r="J137" s="1258"/>
      <c r="K137" s="1258"/>
      <c r="L137" s="1258"/>
      <c r="M137" s="1258"/>
      <c r="N137" s="1258"/>
      <c r="O137" s="1258"/>
      <c r="P137" s="1258"/>
      <c r="Q137" s="1258"/>
      <c r="R137" s="1258"/>
      <c r="S137" s="1258"/>
      <c r="T137" s="1258"/>
      <c r="X137" s="494"/>
    </row>
    <row r="138" spans="2:24" s="5" customFormat="1" ht="15" customHeight="1">
      <c r="B138" s="5" t="s">
        <v>663</v>
      </c>
      <c r="C138" s="1258" t="s">
        <v>664</v>
      </c>
      <c r="D138" s="1258"/>
      <c r="E138" s="1258"/>
      <c r="F138" s="1258"/>
      <c r="G138" s="1258"/>
      <c r="H138" s="1258"/>
      <c r="I138" s="1258"/>
      <c r="J138" s="1258"/>
      <c r="K138" s="1258"/>
      <c r="L138" s="1258"/>
      <c r="M138" s="1258"/>
      <c r="N138" s="1258"/>
      <c r="O138" s="1258"/>
      <c r="P138" s="1258"/>
      <c r="Q138" s="1258"/>
      <c r="R138" s="1258"/>
      <c r="S138" s="1258"/>
      <c r="T138" s="1258"/>
      <c r="X138" s="494"/>
    </row>
    <row r="139" spans="2:24" s="5" customFormat="1" ht="15" customHeight="1">
      <c r="C139" s="1258"/>
      <c r="D139" s="1258"/>
      <c r="E139" s="1258"/>
      <c r="F139" s="1258"/>
      <c r="G139" s="1258"/>
      <c r="H139" s="1258"/>
      <c r="I139" s="1258"/>
      <c r="J139" s="1258"/>
      <c r="K139" s="1258"/>
      <c r="L139" s="1258"/>
      <c r="M139" s="1258"/>
      <c r="N139" s="1258"/>
      <c r="O139" s="1258"/>
      <c r="P139" s="1258"/>
      <c r="Q139" s="1258"/>
      <c r="R139" s="1258"/>
      <c r="S139" s="1258"/>
      <c r="T139" s="1258"/>
      <c r="X139" s="494"/>
    </row>
    <row r="140" spans="2:24" s="5" customFormat="1" ht="15" customHeight="1">
      <c r="C140" s="1258"/>
      <c r="D140" s="1258"/>
      <c r="E140" s="1258"/>
      <c r="F140" s="1258"/>
      <c r="G140" s="1258"/>
      <c r="H140" s="1258"/>
      <c r="I140" s="1258"/>
      <c r="J140" s="1258"/>
      <c r="K140" s="1258"/>
      <c r="L140" s="1258"/>
      <c r="M140" s="1258"/>
      <c r="N140" s="1258"/>
      <c r="O140" s="1258"/>
      <c r="P140" s="1258"/>
      <c r="Q140" s="1258"/>
      <c r="R140" s="1258"/>
      <c r="S140" s="1258"/>
      <c r="T140" s="1258"/>
      <c r="X140" s="494"/>
    </row>
    <row r="141" spans="2:24" s="5" customFormat="1" ht="15" customHeight="1">
      <c r="B141" s="5" t="s">
        <v>665</v>
      </c>
      <c r="C141" s="1258" t="s">
        <v>666</v>
      </c>
      <c r="D141" s="1258"/>
      <c r="E141" s="1258"/>
      <c r="F141" s="1258"/>
      <c r="G141" s="1258"/>
      <c r="H141" s="1258"/>
      <c r="I141" s="1258"/>
      <c r="J141" s="1258"/>
      <c r="K141" s="1258"/>
      <c r="L141" s="1258"/>
      <c r="M141" s="1258"/>
      <c r="N141" s="1258"/>
      <c r="O141" s="1258"/>
      <c r="P141" s="1258"/>
      <c r="Q141" s="1258"/>
      <c r="R141" s="1258"/>
      <c r="S141" s="1258"/>
      <c r="T141" s="1258"/>
      <c r="X141" s="494"/>
    </row>
    <row r="142" spans="2:24" s="5" customFormat="1" ht="15" customHeight="1">
      <c r="C142" s="1258"/>
      <c r="D142" s="1258"/>
      <c r="E142" s="1258"/>
      <c r="F142" s="1258"/>
      <c r="G142" s="1258"/>
      <c r="H142" s="1258"/>
      <c r="I142" s="1258"/>
      <c r="J142" s="1258"/>
      <c r="K142" s="1258"/>
      <c r="L142" s="1258"/>
      <c r="M142" s="1258"/>
      <c r="N142" s="1258"/>
      <c r="O142" s="1258"/>
      <c r="P142" s="1258"/>
      <c r="Q142" s="1258"/>
      <c r="R142" s="1258"/>
      <c r="S142" s="1258"/>
      <c r="T142" s="1258"/>
      <c r="X142" s="494"/>
    </row>
    <row r="143" spans="2:24" s="5" customFormat="1" ht="15" customHeight="1">
      <c r="B143" s="1018" t="s">
        <v>667</v>
      </c>
      <c r="C143" s="1258" t="s">
        <v>668</v>
      </c>
      <c r="D143" s="1258"/>
      <c r="E143" s="1258"/>
      <c r="F143" s="1258"/>
      <c r="G143" s="1258"/>
      <c r="H143" s="1258"/>
      <c r="I143" s="1258"/>
      <c r="J143" s="1258"/>
      <c r="K143" s="1258"/>
      <c r="L143" s="1258"/>
      <c r="M143" s="1258"/>
      <c r="N143" s="1258"/>
      <c r="O143" s="1258"/>
      <c r="P143" s="1258"/>
      <c r="Q143" s="1258"/>
      <c r="R143" s="1258"/>
      <c r="S143" s="1258"/>
      <c r="T143" s="1258"/>
      <c r="V143" s="494" t="s">
        <v>669</v>
      </c>
      <c r="X143" s="494"/>
    </row>
    <row r="144" spans="2:24" s="5" customFormat="1" ht="15" customHeight="1">
      <c r="C144" s="1258"/>
      <c r="D144" s="1258"/>
      <c r="E144" s="1258"/>
      <c r="F144" s="1258"/>
      <c r="G144" s="1258"/>
      <c r="H144" s="1258"/>
      <c r="I144" s="1258"/>
      <c r="J144" s="1258"/>
      <c r="K144" s="1258"/>
      <c r="L144" s="1258"/>
      <c r="M144" s="1258"/>
      <c r="N144" s="1258"/>
      <c r="O144" s="1258"/>
      <c r="P144" s="1258"/>
      <c r="Q144" s="1258"/>
      <c r="R144" s="1258"/>
      <c r="S144" s="1258"/>
      <c r="T144" s="1258"/>
      <c r="X144" s="494"/>
    </row>
    <row r="145" spans="1:24" s="5" customFormat="1" ht="15" customHeight="1">
      <c r="X145" s="494"/>
    </row>
    <row r="146" spans="1:24" s="5" customFormat="1" ht="15" customHeight="1">
      <c r="A146" s="5" t="s">
        <v>670</v>
      </c>
      <c r="X146" s="494"/>
    </row>
    <row r="147" spans="1:24" s="5" customFormat="1" ht="15" customHeight="1">
      <c r="A147" s="5" t="s">
        <v>677</v>
      </c>
      <c r="C147" s="1258" t="s">
        <v>672</v>
      </c>
      <c r="D147" s="1258"/>
      <c r="E147" s="1258"/>
      <c r="F147" s="1258"/>
      <c r="G147" s="1258"/>
      <c r="H147" s="1258"/>
      <c r="I147" s="1258"/>
      <c r="J147" s="1258"/>
      <c r="K147" s="1258"/>
      <c r="L147" s="1258"/>
      <c r="M147" s="1258"/>
      <c r="N147" s="1258"/>
      <c r="O147" s="1258"/>
      <c r="P147" s="1258"/>
      <c r="Q147" s="1258"/>
      <c r="R147" s="1258"/>
      <c r="S147" s="1258"/>
      <c r="T147" s="1258"/>
      <c r="V147" s="494" t="s">
        <v>576</v>
      </c>
      <c r="X147" s="494"/>
    </row>
    <row r="148" spans="1:24" s="5" customFormat="1" ht="15" customHeight="1">
      <c r="C148" s="1258"/>
      <c r="D148" s="1258"/>
      <c r="E148" s="1258"/>
      <c r="F148" s="1258"/>
      <c r="G148" s="1258"/>
      <c r="H148" s="1258"/>
      <c r="I148" s="1258"/>
      <c r="J148" s="1258"/>
      <c r="K148" s="1258"/>
      <c r="L148" s="1258"/>
      <c r="M148" s="1258"/>
      <c r="N148" s="1258"/>
      <c r="O148" s="1258"/>
      <c r="P148" s="1258"/>
      <c r="Q148" s="1258"/>
      <c r="R148" s="1258"/>
      <c r="S148" s="1258"/>
      <c r="T148" s="1258"/>
      <c r="X148" s="494"/>
    </row>
    <row r="149" spans="1:24" s="5" customFormat="1" ht="15" customHeight="1">
      <c r="C149" s="1258"/>
      <c r="D149" s="1258"/>
      <c r="E149" s="1258"/>
      <c r="F149" s="1258"/>
      <c r="G149" s="1258"/>
      <c r="H149" s="1258"/>
      <c r="I149" s="1258"/>
      <c r="J149" s="1258"/>
      <c r="K149" s="1258"/>
      <c r="L149" s="1258"/>
      <c r="M149" s="1258"/>
      <c r="N149" s="1258"/>
      <c r="O149" s="1258"/>
      <c r="P149" s="1258"/>
      <c r="Q149" s="1258"/>
      <c r="R149" s="1258"/>
      <c r="S149" s="1258"/>
      <c r="T149" s="1258"/>
      <c r="X149" s="494"/>
    </row>
    <row r="150" spans="1:24" s="5" customFormat="1" ht="15" customHeight="1">
      <c r="C150" s="1258"/>
      <c r="D150" s="1258"/>
      <c r="E150" s="1258"/>
      <c r="F150" s="1258"/>
      <c r="G150" s="1258"/>
      <c r="H150" s="1258"/>
      <c r="I150" s="1258"/>
      <c r="J150" s="1258"/>
      <c r="K150" s="1258"/>
      <c r="L150" s="1258"/>
      <c r="M150" s="1258"/>
      <c r="N150" s="1258"/>
      <c r="O150" s="1258"/>
      <c r="P150" s="1258"/>
      <c r="Q150" s="1258"/>
      <c r="R150" s="1258"/>
      <c r="S150" s="1258"/>
      <c r="T150" s="1258"/>
      <c r="X150" s="494"/>
    </row>
    <row r="151" spans="1:24" s="5" customFormat="1" ht="15" customHeight="1">
      <c r="B151" s="5" t="s">
        <v>570</v>
      </c>
      <c r="C151" s="1258" t="s">
        <v>673</v>
      </c>
      <c r="D151" s="1258"/>
      <c r="E151" s="1258"/>
      <c r="F151" s="1258"/>
      <c r="G151" s="1258"/>
      <c r="H151" s="1258"/>
      <c r="I151" s="1258"/>
      <c r="J151" s="1258"/>
      <c r="K151" s="1258"/>
      <c r="L151" s="1258"/>
      <c r="M151" s="1258"/>
      <c r="N151" s="1258"/>
      <c r="O151" s="1258"/>
      <c r="P151" s="1258"/>
      <c r="Q151" s="1258"/>
      <c r="R151" s="1258"/>
      <c r="S151" s="1258"/>
      <c r="T151" s="1258"/>
      <c r="V151" s="494" t="s">
        <v>576</v>
      </c>
      <c r="X151" s="494"/>
    </row>
    <row r="152" spans="1:24" s="5" customFormat="1" ht="15" customHeight="1">
      <c r="C152" s="1258"/>
      <c r="D152" s="1258"/>
      <c r="E152" s="1258"/>
      <c r="F152" s="1258"/>
      <c r="G152" s="1258"/>
      <c r="H152" s="1258"/>
      <c r="I152" s="1258"/>
      <c r="J152" s="1258"/>
      <c r="K152" s="1258"/>
      <c r="L152" s="1258"/>
      <c r="M152" s="1258"/>
      <c r="N152" s="1258"/>
      <c r="O152" s="1258"/>
      <c r="P152" s="1258"/>
      <c r="Q152" s="1258"/>
      <c r="R152" s="1258"/>
      <c r="S152" s="1258"/>
      <c r="T152" s="1258"/>
      <c r="X152" s="494"/>
    </row>
    <row r="153" spans="1:24" s="5" customFormat="1" ht="15" customHeight="1">
      <c r="C153" s="1258"/>
      <c r="D153" s="1258"/>
      <c r="E153" s="1258"/>
      <c r="F153" s="1258"/>
      <c r="G153" s="1258"/>
      <c r="H153" s="1258"/>
      <c r="I153" s="1258"/>
      <c r="J153" s="1258"/>
      <c r="K153" s="1258"/>
      <c r="L153" s="1258"/>
      <c r="M153" s="1258"/>
      <c r="N153" s="1258"/>
      <c r="O153" s="1258"/>
      <c r="P153" s="1258"/>
      <c r="Q153" s="1258"/>
      <c r="R153" s="1258"/>
      <c r="S153" s="1258"/>
      <c r="T153" s="1258"/>
      <c r="X153" s="494"/>
    </row>
    <row r="154" spans="1:24" s="5" customFormat="1" ht="15" customHeight="1">
      <c r="B154" s="5" t="s">
        <v>595</v>
      </c>
      <c r="C154" s="1258" t="s">
        <v>674</v>
      </c>
      <c r="D154" s="1258"/>
      <c r="E154" s="1258"/>
      <c r="F154" s="1258"/>
      <c r="G154" s="1258"/>
      <c r="H154" s="1258"/>
      <c r="I154" s="1258"/>
      <c r="J154" s="1258"/>
      <c r="K154" s="1258"/>
      <c r="L154" s="1258"/>
      <c r="M154" s="1258"/>
      <c r="N154" s="1258"/>
      <c r="O154" s="1258"/>
      <c r="P154" s="1258"/>
      <c r="Q154" s="1258"/>
      <c r="R154" s="1258"/>
      <c r="S154" s="1258"/>
      <c r="T154" s="1258"/>
      <c r="X154" s="494"/>
    </row>
    <row r="155" spans="1:24" s="5" customFormat="1" ht="15" customHeight="1">
      <c r="C155" s="1258"/>
      <c r="D155" s="1258"/>
      <c r="E155" s="1258"/>
      <c r="F155" s="1258"/>
      <c r="G155" s="1258"/>
      <c r="H155" s="1258"/>
      <c r="I155" s="1258"/>
      <c r="J155" s="1258"/>
      <c r="K155" s="1258"/>
      <c r="L155" s="1258"/>
      <c r="M155" s="1258"/>
      <c r="N155" s="1258"/>
      <c r="O155" s="1258"/>
      <c r="P155" s="1258"/>
      <c r="Q155" s="1258"/>
      <c r="R155" s="1258"/>
      <c r="S155" s="1258"/>
      <c r="T155" s="1258"/>
      <c r="X155" s="494"/>
    </row>
    <row r="156" spans="1:24" s="5" customFormat="1" ht="15" customHeight="1">
      <c r="B156" s="5" t="s">
        <v>597</v>
      </c>
      <c r="C156" s="1258" t="s">
        <v>675</v>
      </c>
      <c r="D156" s="1258"/>
      <c r="E156" s="1258"/>
      <c r="F156" s="1258"/>
      <c r="G156" s="1258"/>
      <c r="H156" s="1258"/>
      <c r="I156" s="1258"/>
      <c r="J156" s="1258"/>
      <c r="K156" s="1258"/>
      <c r="L156" s="1258"/>
      <c r="M156" s="1258"/>
      <c r="N156" s="1258"/>
      <c r="O156" s="1258"/>
      <c r="P156" s="1258"/>
      <c r="Q156" s="1258"/>
      <c r="R156" s="1258"/>
      <c r="S156" s="1258"/>
      <c r="T156" s="1258"/>
      <c r="X156" s="494"/>
    </row>
    <row r="157" spans="1:24" s="5" customFormat="1" ht="15" customHeight="1">
      <c r="C157" s="1258"/>
      <c r="D157" s="1258"/>
      <c r="E157" s="1258"/>
      <c r="F157" s="1258"/>
      <c r="G157" s="1258"/>
      <c r="H157" s="1258"/>
      <c r="I157" s="1258"/>
      <c r="J157" s="1258"/>
      <c r="K157" s="1258"/>
      <c r="L157" s="1258"/>
      <c r="M157" s="1258"/>
      <c r="N157" s="1258"/>
      <c r="O157" s="1258"/>
      <c r="P157" s="1258"/>
      <c r="Q157" s="1258"/>
      <c r="R157" s="1258"/>
      <c r="S157" s="1258"/>
      <c r="T157" s="1258"/>
      <c r="X157" s="494"/>
    </row>
    <row r="158" spans="1:24" s="5" customFormat="1" ht="15" customHeight="1">
      <c r="X158" s="494"/>
    </row>
    <row r="159" spans="1:24" s="5" customFormat="1" ht="15" customHeight="1">
      <c r="A159" s="5" t="s">
        <v>676</v>
      </c>
      <c r="X159" s="494"/>
    </row>
    <row r="160" spans="1:24" s="5" customFormat="1" ht="15" customHeight="1">
      <c r="A160" s="5" t="s">
        <v>685</v>
      </c>
      <c r="C160" s="1258" t="s">
        <v>678</v>
      </c>
      <c r="D160" s="1258"/>
      <c r="E160" s="1258"/>
      <c r="F160" s="1258"/>
      <c r="G160" s="1258"/>
      <c r="H160" s="1258"/>
      <c r="I160" s="1258"/>
      <c r="J160" s="1258"/>
      <c r="K160" s="1258"/>
      <c r="L160" s="1258"/>
      <c r="M160" s="1258"/>
      <c r="N160" s="1258"/>
      <c r="O160" s="1258"/>
      <c r="P160" s="1258"/>
      <c r="Q160" s="1258"/>
      <c r="R160" s="1258"/>
      <c r="S160" s="1258"/>
      <c r="T160" s="1258"/>
      <c r="V160" s="494" t="s">
        <v>679</v>
      </c>
      <c r="X160" s="494"/>
    </row>
    <row r="161" spans="1:24" s="5" customFormat="1" ht="15" customHeight="1">
      <c r="C161" s="1258"/>
      <c r="D161" s="1258"/>
      <c r="E161" s="1258"/>
      <c r="F161" s="1258"/>
      <c r="G161" s="1258"/>
      <c r="H161" s="1258"/>
      <c r="I161" s="1258"/>
      <c r="J161" s="1258"/>
      <c r="K161" s="1258"/>
      <c r="L161" s="1258"/>
      <c r="M161" s="1258"/>
      <c r="N161" s="1258"/>
      <c r="O161" s="1258"/>
      <c r="P161" s="1258"/>
      <c r="Q161" s="1258"/>
      <c r="R161" s="1258"/>
      <c r="S161" s="1258"/>
      <c r="T161" s="1258"/>
      <c r="X161" s="494"/>
    </row>
    <row r="162" spans="1:24" s="5" customFormat="1" ht="15" customHeight="1">
      <c r="B162" s="5" t="s">
        <v>570</v>
      </c>
      <c r="C162" s="1258" t="s">
        <v>680</v>
      </c>
      <c r="D162" s="1258"/>
      <c r="E162" s="1258"/>
      <c r="F162" s="1258"/>
      <c r="G162" s="1258"/>
      <c r="H162" s="1258"/>
      <c r="I162" s="1258"/>
      <c r="J162" s="1258"/>
      <c r="K162" s="1258"/>
      <c r="L162" s="1258"/>
      <c r="M162" s="1258"/>
      <c r="N162" s="1258"/>
      <c r="O162" s="1258"/>
      <c r="P162" s="1258"/>
      <c r="Q162" s="1258"/>
      <c r="R162" s="1258"/>
      <c r="S162" s="1258"/>
      <c r="T162" s="1258"/>
      <c r="V162" s="494" t="s">
        <v>614</v>
      </c>
      <c r="X162" s="494"/>
    </row>
    <row r="163" spans="1:24" s="5" customFormat="1" ht="15" customHeight="1">
      <c r="C163" s="1258"/>
      <c r="D163" s="1258"/>
      <c r="E163" s="1258"/>
      <c r="F163" s="1258"/>
      <c r="G163" s="1258"/>
      <c r="H163" s="1258"/>
      <c r="I163" s="1258"/>
      <c r="J163" s="1258"/>
      <c r="K163" s="1258"/>
      <c r="L163" s="1258"/>
      <c r="M163" s="1258"/>
      <c r="N163" s="1258"/>
      <c r="O163" s="1258"/>
      <c r="P163" s="1258"/>
      <c r="Q163" s="1258"/>
      <c r="R163" s="1258"/>
      <c r="S163" s="1258"/>
      <c r="T163" s="1258"/>
      <c r="V163" s="1007" t="s">
        <v>681</v>
      </c>
      <c r="X163" s="494"/>
    </row>
    <row r="164" spans="1:24" s="5" customFormat="1" ht="15" customHeight="1">
      <c r="C164" s="1258"/>
      <c r="D164" s="1258"/>
      <c r="E164" s="1258"/>
      <c r="F164" s="1258"/>
      <c r="G164" s="1258"/>
      <c r="H164" s="1258"/>
      <c r="I164" s="1258"/>
      <c r="J164" s="1258"/>
      <c r="K164" s="1258"/>
      <c r="L164" s="1258"/>
      <c r="M164" s="1258"/>
      <c r="N164" s="1258"/>
      <c r="O164" s="1258"/>
      <c r="P164" s="1258"/>
      <c r="Q164" s="1258"/>
      <c r="R164" s="1258"/>
      <c r="S164" s="1258"/>
      <c r="T164" s="1258"/>
      <c r="X164" s="494"/>
    </row>
    <row r="165" spans="1:24" s="5" customFormat="1" ht="15" customHeight="1">
      <c r="B165" s="5" t="s">
        <v>595</v>
      </c>
      <c r="C165" s="1258" t="s">
        <v>682</v>
      </c>
      <c r="D165" s="1258"/>
      <c r="E165" s="1258"/>
      <c r="F165" s="1258"/>
      <c r="G165" s="1258"/>
      <c r="H165" s="1258"/>
      <c r="I165" s="1258"/>
      <c r="J165" s="1258"/>
      <c r="K165" s="1258"/>
      <c r="L165" s="1258"/>
      <c r="M165" s="1258"/>
      <c r="N165" s="1258"/>
      <c r="O165" s="1258"/>
      <c r="P165" s="1258"/>
      <c r="Q165" s="1258"/>
      <c r="R165" s="1258"/>
      <c r="S165" s="1258"/>
      <c r="T165" s="1258"/>
      <c r="V165" s="494" t="s">
        <v>683</v>
      </c>
      <c r="X165" s="494"/>
    </row>
    <row r="166" spans="1:24" s="5" customFormat="1" ht="15" customHeight="1">
      <c r="C166" s="1258"/>
      <c r="D166" s="1258"/>
      <c r="E166" s="1258"/>
      <c r="F166" s="1258"/>
      <c r="G166" s="1258"/>
      <c r="H166" s="1258"/>
      <c r="I166" s="1258"/>
      <c r="J166" s="1258"/>
      <c r="K166" s="1258"/>
      <c r="L166" s="1258"/>
      <c r="M166" s="1258"/>
      <c r="N166" s="1258"/>
      <c r="O166" s="1258"/>
      <c r="P166" s="1258"/>
      <c r="Q166" s="1258"/>
      <c r="R166" s="1258"/>
      <c r="S166" s="1258"/>
      <c r="T166" s="1258"/>
      <c r="X166" s="494"/>
    </row>
    <row r="167" spans="1:24" s="5" customFormat="1" ht="15" customHeight="1">
      <c r="C167" s="1258"/>
      <c r="D167" s="1258"/>
      <c r="E167" s="1258"/>
      <c r="F167" s="1258"/>
      <c r="G167" s="1258"/>
      <c r="H167" s="1258"/>
      <c r="I167" s="1258"/>
      <c r="J167" s="1258"/>
      <c r="K167" s="1258"/>
      <c r="L167" s="1258"/>
      <c r="M167" s="1258"/>
      <c r="N167" s="1258"/>
      <c r="O167" s="1258"/>
      <c r="P167" s="1258"/>
      <c r="Q167" s="1258"/>
      <c r="R167" s="1258"/>
      <c r="S167" s="1258"/>
      <c r="T167" s="1258"/>
      <c r="X167" s="494"/>
    </row>
    <row r="168" spans="1:24" s="5" customFormat="1" ht="15" customHeight="1">
      <c r="C168" s="548"/>
      <c r="D168" s="548"/>
      <c r="E168" s="548"/>
      <c r="F168" s="548"/>
      <c r="G168" s="548"/>
      <c r="H168" s="548"/>
      <c r="I168" s="548"/>
      <c r="J168" s="548"/>
      <c r="K168" s="548"/>
      <c r="L168" s="548"/>
      <c r="M168" s="548"/>
      <c r="N168" s="548"/>
      <c r="O168" s="548"/>
      <c r="P168" s="548"/>
      <c r="Q168" s="548"/>
      <c r="R168" s="548"/>
      <c r="S168" s="548"/>
      <c r="T168" s="548"/>
      <c r="X168" s="494"/>
    </row>
    <row r="169" spans="1:24" s="5" customFormat="1" ht="15" customHeight="1">
      <c r="A169" s="5" t="s">
        <v>684</v>
      </c>
      <c r="C169" s="548"/>
      <c r="D169" s="548"/>
      <c r="E169" s="548"/>
      <c r="F169" s="548"/>
      <c r="G169" s="548"/>
      <c r="H169" s="548"/>
      <c r="I169" s="548"/>
      <c r="J169" s="548"/>
      <c r="K169" s="548"/>
      <c r="L169" s="548"/>
      <c r="M169" s="548"/>
      <c r="N169" s="548"/>
      <c r="O169" s="548"/>
      <c r="P169" s="548"/>
      <c r="Q169" s="548"/>
      <c r="R169" s="548"/>
      <c r="S169" s="548"/>
      <c r="T169" s="548"/>
      <c r="X169" s="494"/>
    </row>
    <row r="170" spans="1:24" s="5" customFormat="1" ht="15" customHeight="1">
      <c r="A170" s="5" t="s">
        <v>688</v>
      </c>
      <c r="C170" s="1258" t="s">
        <v>686</v>
      </c>
      <c r="D170" s="1258"/>
      <c r="E170" s="1258"/>
      <c r="F170" s="1258"/>
      <c r="G170" s="1258"/>
      <c r="H170" s="1258"/>
      <c r="I170" s="1258"/>
      <c r="J170" s="1258"/>
      <c r="K170" s="1258"/>
      <c r="L170" s="1258"/>
      <c r="M170" s="1258"/>
      <c r="N170" s="1258"/>
      <c r="O170" s="1258"/>
      <c r="P170" s="1258"/>
      <c r="Q170" s="1258"/>
      <c r="R170" s="1258"/>
      <c r="S170" s="1258"/>
      <c r="T170" s="1258"/>
      <c r="X170" s="494"/>
    </row>
    <row r="171" spans="1:24" s="5" customFormat="1" ht="15" customHeight="1">
      <c r="C171" s="1258"/>
      <c r="D171" s="1258"/>
      <c r="E171" s="1258"/>
      <c r="F171" s="1258"/>
      <c r="G171" s="1258"/>
      <c r="H171" s="1258"/>
      <c r="I171" s="1258"/>
      <c r="J171" s="1258"/>
      <c r="K171" s="1258"/>
      <c r="L171" s="1258"/>
      <c r="M171" s="1258"/>
      <c r="N171" s="1258"/>
      <c r="O171" s="1258"/>
      <c r="P171" s="1258"/>
      <c r="Q171" s="1258"/>
      <c r="R171" s="1258"/>
      <c r="S171" s="1258"/>
      <c r="T171" s="1258"/>
      <c r="X171" s="494"/>
    </row>
    <row r="172" spans="1:24" s="5" customFormat="1" ht="15" customHeight="1">
      <c r="C172" s="548"/>
      <c r="D172" s="548"/>
      <c r="E172" s="548"/>
      <c r="F172" s="548"/>
      <c r="G172" s="548"/>
      <c r="H172" s="548"/>
      <c r="I172" s="548"/>
      <c r="J172" s="548"/>
      <c r="K172" s="548"/>
      <c r="L172" s="548"/>
      <c r="M172" s="548"/>
      <c r="N172" s="548"/>
      <c r="O172" s="548"/>
      <c r="P172" s="548"/>
      <c r="Q172" s="548"/>
      <c r="R172" s="548"/>
      <c r="S172" s="548"/>
      <c r="T172" s="548"/>
      <c r="X172" s="494"/>
    </row>
    <row r="173" spans="1:24" s="5" customFormat="1" ht="15" customHeight="1">
      <c r="A173" s="5" t="s">
        <v>687</v>
      </c>
      <c r="X173" s="494"/>
    </row>
    <row r="174" spans="1:24" s="5" customFormat="1" ht="15" customHeight="1">
      <c r="A174" s="5" t="s">
        <v>692</v>
      </c>
      <c r="C174" s="1258" t="s">
        <v>689</v>
      </c>
      <c r="D174" s="1258"/>
      <c r="E174" s="1258"/>
      <c r="F174" s="1258"/>
      <c r="G174" s="1258"/>
      <c r="H174" s="1258"/>
      <c r="I174" s="1258"/>
      <c r="J174" s="1258"/>
      <c r="K174" s="1258"/>
      <c r="L174" s="1258"/>
      <c r="M174" s="1258"/>
      <c r="N174" s="1258"/>
      <c r="O174" s="1258"/>
      <c r="P174" s="1258"/>
      <c r="Q174" s="1258"/>
      <c r="R174" s="1258"/>
      <c r="S174" s="1258"/>
      <c r="T174" s="1258"/>
      <c r="V174" s="494" t="s">
        <v>576</v>
      </c>
      <c r="W174" s="494"/>
      <c r="X174" s="494"/>
    </row>
    <row r="175" spans="1:24" s="5" customFormat="1" ht="15" customHeight="1">
      <c r="C175" s="1258"/>
      <c r="D175" s="1258"/>
      <c r="E175" s="1258"/>
      <c r="F175" s="1258"/>
      <c r="G175" s="1258"/>
      <c r="H175" s="1258"/>
      <c r="I175" s="1258"/>
      <c r="J175" s="1258"/>
      <c r="K175" s="1258"/>
      <c r="L175" s="1258"/>
      <c r="M175" s="1258"/>
      <c r="N175" s="1258"/>
      <c r="O175" s="1258"/>
      <c r="P175" s="1258"/>
      <c r="Q175" s="1258"/>
      <c r="R175" s="1258"/>
      <c r="S175" s="1258"/>
      <c r="T175" s="1258"/>
      <c r="X175" s="494"/>
    </row>
    <row r="176" spans="1:24" s="5" customFormat="1" ht="15" customHeight="1">
      <c r="C176" s="1258"/>
      <c r="D176" s="1258"/>
      <c r="E176" s="1258"/>
      <c r="F176" s="1258"/>
      <c r="G176" s="1258"/>
      <c r="H176" s="1258"/>
      <c r="I176" s="1258"/>
      <c r="J176" s="1258"/>
      <c r="K176" s="1258"/>
      <c r="L176" s="1258"/>
      <c r="M176" s="1258"/>
      <c r="N176" s="1258"/>
      <c r="O176" s="1258"/>
      <c r="P176" s="1258"/>
      <c r="Q176" s="1258"/>
      <c r="R176" s="1258"/>
      <c r="S176" s="1258"/>
      <c r="T176" s="1258"/>
      <c r="X176" s="494"/>
    </row>
    <row r="177" spans="1:24" s="5" customFormat="1" ht="15" customHeight="1">
      <c r="C177" s="1258"/>
      <c r="D177" s="1258"/>
      <c r="E177" s="1258"/>
      <c r="F177" s="1258"/>
      <c r="G177" s="1258"/>
      <c r="H177" s="1258"/>
      <c r="I177" s="1258"/>
      <c r="J177" s="1258"/>
      <c r="K177" s="1258"/>
      <c r="L177" s="1258"/>
      <c r="M177" s="1258"/>
      <c r="N177" s="1258"/>
      <c r="O177" s="1258"/>
      <c r="P177" s="1258"/>
      <c r="Q177" s="1258"/>
      <c r="R177" s="1258"/>
      <c r="S177" s="1258"/>
      <c r="T177" s="1258"/>
      <c r="X177" s="494"/>
    </row>
    <row r="178" spans="1:24" s="5" customFormat="1" ht="15" customHeight="1">
      <c r="B178" s="5" t="s">
        <v>570</v>
      </c>
      <c r="C178" s="1258" t="s">
        <v>690</v>
      </c>
      <c r="D178" s="1258"/>
      <c r="E178" s="1258"/>
      <c r="F178" s="1258"/>
      <c r="G178" s="1258"/>
      <c r="H178" s="1258"/>
      <c r="I178" s="1258"/>
      <c r="J178" s="1258"/>
      <c r="K178" s="1258"/>
      <c r="L178" s="1258"/>
      <c r="M178" s="1258"/>
      <c r="N178" s="1258"/>
      <c r="O178" s="1258"/>
      <c r="P178" s="1258"/>
      <c r="Q178" s="1258"/>
      <c r="R178" s="1258"/>
      <c r="S178" s="1258"/>
      <c r="T178" s="1258"/>
      <c r="X178" s="494"/>
    </row>
    <row r="179" spans="1:24" s="5" customFormat="1" ht="15" customHeight="1">
      <c r="C179" s="1258"/>
      <c r="D179" s="1258"/>
      <c r="E179" s="1258"/>
      <c r="F179" s="1258"/>
      <c r="G179" s="1258"/>
      <c r="H179" s="1258"/>
      <c r="I179" s="1258"/>
      <c r="J179" s="1258"/>
      <c r="K179" s="1258"/>
      <c r="L179" s="1258"/>
      <c r="M179" s="1258"/>
      <c r="N179" s="1258"/>
      <c r="O179" s="1258"/>
      <c r="P179" s="1258"/>
      <c r="Q179" s="1258"/>
      <c r="R179" s="1258"/>
      <c r="S179" s="1258"/>
      <c r="T179" s="1258"/>
      <c r="X179" s="494"/>
    </row>
    <row r="180" spans="1:24" s="5" customFormat="1" ht="15" customHeight="1">
      <c r="C180" s="548"/>
      <c r="D180" s="548"/>
      <c r="E180" s="548"/>
      <c r="F180" s="548"/>
      <c r="G180" s="548"/>
      <c r="H180" s="548"/>
      <c r="I180" s="548"/>
      <c r="J180" s="548"/>
      <c r="K180" s="548"/>
      <c r="L180" s="548"/>
      <c r="M180" s="548"/>
      <c r="N180" s="548"/>
      <c r="O180" s="548"/>
      <c r="P180" s="548"/>
      <c r="Q180" s="548"/>
      <c r="R180" s="548"/>
      <c r="S180" s="548"/>
      <c r="T180" s="548"/>
      <c r="X180" s="494"/>
    </row>
    <row r="181" spans="1:24" s="5" customFormat="1" ht="15" customHeight="1">
      <c r="A181" s="5" t="s">
        <v>691</v>
      </c>
      <c r="X181" s="494"/>
    </row>
    <row r="182" spans="1:24" s="5" customFormat="1" ht="15" customHeight="1">
      <c r="A182" s="5" t="s">
        <v>706</v>
      </c>
      <c r="C182" s="1258" t="s">
        <v>693</v>
      </c>
      <c r="D182" s="1258"/>
      <c r="E182" s="1258"/>
      <c r="F182" s="1258"/>
      <c r="G182" s="1258"/>
      <c r="H182" s="1258"/>
      <c r="I182" s="1258"/>
      <c r="J182" s="1258"/>
      <c r="K182" s="1258"/>
      <c r="L182" s="1258"/>
      <c r="M182" s="1258"/>
      <c r="N182" s="1258"/>
      <c r="O182" s="1258"/>
      <c r="P182" s="1258"/>
      <c r="Q182" s="1258"/>
      <c r="R182" s="1258"/>
      <c r="S182" s="1258"/>
      <c r="T182" s="1258"/>
      <c r="X182" s="494"/>
    </row>
    <row r="183" spans="1:24" s="5" customFormat="1" ht="15" customHeight="1">
      <c r="C183" s="1258"/>
      <c r="D183" s="1258"/>
      <c r="E183" s="1258"/>
      <c r="F183" s="1258"/>
      <c r="G183" s="1258"/>
      <c r="H183" s="1258"/>
      <c r="I183" s="1258"/>
      <c r="J183" s="1258"/>
      <c r="K183" s="1258"/>
      <c r="L183" s="1258"/>
      <c r="M183" s="1258"/>
      <c r="N183" s="1258"/>
      <c r="O183" s="1258"/>
      <c r="P183" s="1258"/>
      <c r="Q183" s="1258"/>
      <c r="R183" s="1258"/>
      <c r="S183" s="1258"/>
      <c r="T183" s="1258"/>
      <c r="X183" s="494"/>
    </row>
    <row r="184" spans="1:24" s="5" customFormat="1" ht="15" customHeight="1">
      <c r="B184" s="1261" t="s">
        <v>599</v>
      </c>
      <c r="C184" s="1261"/>
      <c r="D184" s="5" t="s">
        <v>694</v>
      </c>
      <c r="X184" s="494"/>
    </row>
    <row r="185" spans="1:24" s="5" customFormat="1" ht="15" customHeight="1">
      <c r="B185" s="1261" t="s">
        <v>601</v>
      </c>
      <c r="C185" s="1261"/>
      <c r="D185" s="1258" t="s">
        <v>695</v>
      </c>
      <c r="E185" s="1258"/>
      <c r="F185" s="1258"/>
      <c r="G185" s="1258"/>
      <c r="H185" s="1258"/>
      <c r="I185" s="1258"/>
      <c r="J185" s="1258"/>
      <c r="K185" s="1258"/>
      <c r="L185" s="1258"/>
      <c r="M185" s="1258"/>
      <c r="N185" s="1258"/>
      <c r="O185" s="1258"/>
      <c r="P185" s="1258"/>
      <c r="Q185" s="1258"/>
      <c r="R185" s="1258"/>
      <c r="S185" s="1258"/>
      <c r="T185" s="1258"/>
      <c r="V185" s="494" t="s">
        <v>696</v>
      </c>
      <c r="X185" s="494"/>
    </row>
    <row r="186" spans="1:24" s="5" customFormat="1" ht="15" customHeight="1">
      <c r="D186" s="1258"/>
      <c r="E186" s="1258"/>
      <c r="F186" s="1258"/>
      <c r="G186" s="1258"/>
      <c r="H186" s="1258"/>
      <c r="I186" s="1258"/>
      <c r="J186" s="1258"/>
      <c r="K186" s="1258"/>
      <c r="L186" s="1258"/>
      <c r="M186" s="1258"/>
      <c r="N186" s="1258"/>
      <c r="O186" s="1258"/>
      <c r="P186" s="1258"/>
      <c r="Q186" s="1258"/>
      <c r="R186" s="1258"/>
      <c r="S186" s="1258"/>
      <c r="T186" s="1258"/>
      <c r="X186" s="494"/>
    </row>
    <row r="187" spans="1:24" s="5" customFormat="1" ht="15" customHeight="1">
      <c r="B187" s="1261" t="s">
        <v>635</v>
      </c>
      <c r="C187" s="1261"/>
      <c r="D187" s="5" t="s">
        <v>1915</v>
      </c>
      <c r="X187" s="494"/>
    </row>
    <row r="188" spans="1:24" s="5" customFormat="1" ht="15" customHeight="1">
      <c r="B188" s="1261" t="s">
        <v>655</v>
      </c>
      <c r="C188" s="1261"/>
      <c r="D188" s="5" t="s">
        <v>1916</v>
      </c>
      <c r="X188" s="494"/>
    </row>
    <row r="189" spans="1:24" s="5" customFormat="1" ht="15" customHeight="1">
      <c r="B189" s="1261" t="s">
        <v>657</v>
      </c>
      <c r="C189" s="1261"/>
      <c r="D189" s="5" t="s">
        <v>697</v>
      </c>
      <c r="V189" s="494" t="s">
        <v>698</v>
      </c>
      <c r="X189" s="494"/>
    </row>
    <row r="190" spans="1:24" s="5" customFormat="1" ht="15" customHeight="1">
      <c r="B190" s="1008"/>
      <c r="C190" s="1008"/>
      <c r="D190" s="5" t="s">
        <v>699</v>
      </c>
      <c r="V190" s="494"/>
      <c r="X190" s="494"/>
    </row>
    <row r="191" spans="1:24" s="5" customFormat="1" ht="15" customHeight="1">
      <c r="B191" s="1261" t="s">
        <v>700</v>
      </c>
      <c r="C191" s="1261"/>
      <c r="D191" s="5" t="s">
        <v>701</v>
      </c>
      <c r="X191" s="494"/>
    </row>
    <row r="192" spans="1:24" s="5" customFormat="1" ht="15" customHeight="1">
      <c r="B192" s="1262" t="s">
        <v>702</v>
      </c>
      <c r="C192" s="1261"/>
      <c r="D192" s="5" t="s">
        <v>703</v>
      </c>
      <c r="V192" s="494" t="s">
        <v>704</v>
      </c>
      <c r="X192" s="494"/>
    </row>
    <row r="193" spans="1:24" s="5" customFormat="1" ht="15" customHeight="1">
      <c r="B193" s="1008"/>
      <c r="C193" s="1008"/>
      <c r="X193" s="494"/>
    </row>
    <row r="194" spans="1:24" s="5" customFormat="1" ht="15" customHeight="1">
      <c r="A194" s="5" t="s">
        <v>705</v>
      </c>
      <c r="X194" s="494"/>
    </row>
    <row r="195" spans="1:24" s="5" customFormat="1" ht="15" customHeight="1">
      <c r="A195" s="5" t="s">
        <v>716</v>
      </c>
      <c r="C195" s="1258" t="s">
        <v>707</v>
      </c>
      <c r="D195" s="1258"/>
      <c r="E195" s="1258"/>
      <c r="F195" s="1258"/>
      <c r="G195" s="1258"/>
      <c r="H195" s="1258"/>
      <c r="I195" s="1258"/>
      <c r="J195" s="1258"/>
      <c r="K195" s="1258"/>
      <c r="L195" s="1258"/>
      <c r="M195" s="1258"/>
      <c r="N195" s="1258"/>
      <c r="O195" s="1258"/>
      <c r="P195" s="1258"/>
      <c r="Q195" s="1258"/>
      <c r="R195" s="1258"/>
      <c r="S195" s="1258"/>
      <c r="T195" s="1258"/>
      <c r="X195" s="494"/>
    </row>
    <row r="196" spans="1:24" s="5" customFormat="1" ht="15" customHeight="1">
      <c r="C196" s="1258"/>
      <c r="D196" s="1258"/>
      <c r="E196" s="1258"/>
      <c r="F196" s="1258"/>
      <c r="G196" s="1258"/>
      <c r="H196" s="1258"/>
      <c r="I196" s="1258"/>
      <c r="J196" s="1258"/>
      <c r="K196" s="1258"/>
      <c r="L196" s="1258"/>
      <c r="M196" s="1258"/>
      <c r="N196" s="1258"/>
      <c r="O196" s="1258"/>
      <c r="P196" s="1258"/>
      <c r="Q196" s="1258"/>
      <c r="R196" s="1258"/>
      <c r="S196" s="1258"/>
      <c r="T196" s="1258"/>
      <c r="X196" s="494"/>
    </row>
    <row r="197" spans="1:24" s="5" customFormat="1" ht="15" customHeight="1">
      <c r="B197" s="5" t="s">
        <v>570</v>
      </c>
      <c r="C197" s="1258" t="s">
        <v>708</v>
      </c>
      <c r="D197" s="1258"/>
      <c r="E197" s="1258"/>
      <c r="F197" s="1258"/>
      <c r="G197" s="1258"/>
      <c r="H197" s="1258"/>
      <c r="I197" s="1258"/>
      <c r="J197" s="1258"/>
      <c r="K197" s="1258"/>
      <c r="L197" s="1258"/>
      <c r="M197" s="1258"/>
      <c r="N197" s="1258"/>
      <c r="O197" s="1258"/>
      <c r="P197" s="1258"/>
      <c r="Q197" s="1258"/>
      <c r="R197" s="1258"/>
      <c r="S197" s="1258"/>
      <c r="T197" s="1258"/>
      <c r="V197" s="494" t="s">
        <v>709</v>
      </c>
      <c r="X197" s="494"/>
    </row>
    <row r="198" spans="1:24" s="5" customFormat="1" ht="15" customHeight="1">
      <c r="C198" s="1258"/>
      <c r="D198" s="1258"/>
      <c r="E198" s="1258"/>
      <c r="F198" s="1258"/>
      <c r="G198" s="1258"/>
      <c r="H198" s="1258"/>
      <c r="I198" s="1258"/>
      <c r="J198" s="1258"/>
      <c r="K198" s="1258"/>
      <c r="L198" s="1258"/>
      <c r="M198" s="1258"/>
      <c r="N198" s="1258"/>
      <c r="O198" s="1258"/>
      <c r="P198" s="1258"/>
      <c r="Q198" s="1258"/>
      <c r="R198" s="1258"/>
      <c r="S198" s="1258"/>
      <c r="T198" s="1258"/>
      <c r="X198" s="494"/>
    </row>
    <row r="199" spans="1:24" s="5" customFormat="1" ht="15" customHeight="1">
      <c r="C199" s="1258"/>
      <c r="D199" s="1258"/>
      <c r="E199" s="1258"/>
      <c r="F199" s="1258"/>
      <c r="G199" s="1258"/>
      <c r="H199" s="1258"/>
      <c r="I199" s="1258"/>
      <c r="J199" s="1258"/>
      <c r="K199" s="1258"/>
      <c r="L199" s="1258"/>
      <c r="M199" s="1258"/>
      <c r="N199" s="1258"/>
      <c r="O199" s="1258"/>
      <c r="P199" s="1258"/>
      <c r="Q199" s="1258"/>
      <c r="R199" s="1258"/>
      <c r="S199" s="1258"/>
      <c r="T199" s="1258"/>
      <c r="X199" s="494"/>
    </row>
    <row r="200" spans="1:24" s="5" customFormat="1" ht="15" customHeight="1">
      <c r="B200" s="5" t="s">
        <v>595</v>
      </c>
      <c r="C200" s="1258" t="s">
        <v>710</v>
      </c>
      <c r="D200" s="1258"/>
      <c r="E200" s="1258"/>
      <c r="F200" s="1258"/>
      <c r="G200" s="1258"/>
      <c r="H200" s="1258"/>
      <c r="I200" s="1258"/>
      <c r="J200" s="1258"/>
      <c r="K200" s="1258"/>
      <c r="L200" s="1258"/>
      <c r="M200" s="1258"/>
      <c r="N200" s="1258"/>
      <c r="O200" s="1258"/>
      <c r="P200" s="1258"/>
      <c r="Q200" s="1258"/>
      <c r="R200" s="1258"/>
      <c r="S200" s="1258"/>
      <c r="T200" s="1258"/>
      <c r="X200" s="494"/>
    </row>
    <row r="201" spans="1:24" s="5" customFormat="1" ht="15" customHeight="1">
      <c r="C201" s="1258"/>
      <c r="D201" s="1258"/>
      <c r="E201" s="1258"/>
      <c r="F201" s="1258"/>
      <c r="G201" s="1258"/>
      <c r="H201" s="1258"/>
      <c r="I201" s="1258"/>
      <c r="J201" s="1258"/>
      <c r="K201" s="1258"/>
      <c r="L201" s="1258"/>
      <c r="M201" s="1258"/>
      <c r="N201" s="1258"/>
      <c r="O201" s="1258"/>
      <c r="P201" s="1258"/>
      <c r="Q201" s="1258"/>
      <c r="R201" s="1258"/>
      <c r="S201" s="1258"/>
      <c r="T201" s="1258"/>
      <c r="X201" s="494"/>
    </row>
    <row r="202" spans="1:24" s="5" customFormat="1" ht="15" customHeight="1">
      <c r="B202" s="5" t="s">
        <v>597</v>
      </c>
      <c r="C202" s="1258" t="s">
        <v>711</v>
      </c>
      <c r="D202" s="1258"/>
      <c r="E202" s="1258"/>
      <c r="F202" s="1258"/>
      <c r="G202" s="1258"/>
      <c r="H202" s="1258"/>
      <c r="I202" s="1258"/>
      <c r="J202" s="1258"/>
      <c r="K202" s="1258"/>
      <c r="L202" s="1258"/>
      <c r="M202" s="1258"/>
      <c r="N202" s="1258"/>
      <c r="O202" s="1258"/>
      <c r="P202" s="1258"/>
      <c r="Q202" s="1258"/>
      <c r="R202" s="1258"/>
      <c r="S202" s="1258"/>
      <c r="T202" s="1258"/>
      <c r="V202" s="494" t="s">
        <v>712</v>
      </c>
      <c r="X202" s="494"/>
    </row>
    <row r="203" spans="1:24" s="5" customFormat="1" ht="15" customHeight="1">
      <c r="C203" s="1258"/>
      <c r="D203" s="1258"/>
      <c r="E203" s="1258"/>
      <c r="F203" s="1258"/>
      <c r="G203" s="1258"/>
      <c r="H203" s="1258"/>
      <c r="I203" s="1258"/>
      <c r="J203" s="1258"/>
      <c r="K203" s="1258"/>
      <c r="L203" s="1258"/>
      <c r="M203" s="1258"/>
      <c r="N203" s="1258"/>
      <c r="O203" s="1258"/>
      <c r="P203" s="1258"/>
      <c r="Q203" s="1258"/>
      <c r="R203" s="1258"/>
      <c r="S203" s="1258"/>
      <c r="T203" s="1258"/>
      <c r="X203" s="494"/>
    </row>
    <row r="204" spans="1:24" s="5" customFormat="1" ht="15" customHeight="1">
      <c r="C204" s="1258"/>
      <c r="D204" s="1258"/>
      <c r="E204" s="1258"/>
      <c r="F204" s="1258"/>
      <c r="G204" s="1258"/>
      <c r="H204" s="1258"/>
      <c r="I204" s="1258"/>
      <c r="J204" s="1258"/>
      <c r="K204" s="1258"/>
      <c r="L204" s="1258"/>
      <c r="M204" s="1258"/>
      <c r="N204" s="1258"/>
      <c r="O204" s="1258"/>
      <c r="P204" s="1258"/>
      <c r="Q204" s="1258"/>
      <c r="R204" s="1258"/>
      <c r="S204" s="1258"/>
      <c r="T204" s="1258"/>
      <c r="X204" s="494"/>
    </row>
    <row r="205" spans="1:24" s="5" customFormat="1" ht="15" customHeight="1">
      <c r="B205" s="1018" t="s">
        <v>603</v>
      </c>
      <c r="C205" s="1258" t="s">
        <v>713</v>
      </c>
      <c r="D205" s="1258"/>
      <c r="E205" s="1258"/>
      <c r="F205" s="1258"/>
      <c r="G205" s="1258"/>
      <c r="H205" s="1258"/>
      <c r="I205" s="1258"/>
      <c r="J205" s="1258"/>
      <c r="K205" s="1258"/>
      <c r="L205" s="1258"/>
      <c r="M205" s="1258"/>
      <c r="N205" s="1258"/>
      <c r="O205" s="1258"/>
      <c r="P205" s="1258"/>
      <c r="Q205" s="1258"/>
      <c r="R205" s="1258"/>
      <c r="S205" s="1258"/>
      <c r="T205" s="1258"/>
      <c r="V205" s="494" t="s">
        <v>714</v>
      </c>
      <c r="X205" s="494"/>
    </row>
    <row r="206" spans="1:24" s="5" customFormat="1" ht="15" customHeight="1">
      <c r="C206" s="1258"/>
      <c r="D206" s="1258"/>
      <c r="E206" s="1258"/>
      <c r="F206" s="1258"/>
      <c r="G206" s="1258"/>
      <c r="H206" s="1258"/>
      <c r="I206" s="1258"/>
      <c r="J206" s="1258"/>
      <c r="K206" s="1258"/>
      <c r="L206" s="1258"/>
      <c r="M206" s="1258"/>
      <c r="N206" s="1258"/>
      <c r="O206" s="1258"/>
      <c r="P206" s="1258"/>
      <c r="Q206" s="1258"/>
      <c r="R206" s="1258"/>
      <c r="S206" s="1258"/>
      <c r="T206" s="1258"/>
      <c r="X206" s="494"/>
    </row>
    <row r="207" spans="1:24" s="5" customFormat="1" ht="15" customHeight="1">
      <c r="X207" s="494"/>
    </row>
    <row r="208" spans="1:24" s="5" customFormat="1" ht="15" customHeight="1">
      <c r="A208" s="5" t="s">
        <v>715</v>
      </c>
      <c r="X208" s="494"/>
    </row>
    <row r="209" spans="1:24" s="5" customFormat="1" ht="15" customHeight="1">
      <c r="A209" s="5" t="s">
        <v>720</v>
      </c>
      <c r="C209" s="1258" t="s">
        <v>717</v>
      </c>
      <c r="D209" s="1258"/>
      <c r="E209" s="1258"/>
      <c r="F209" s="1258"/>
      <c r="G209" s="1258"/>
      <c r="H209" s="1258"/>
      <c r="I209" s="1258"/>
      <c r="J209" s="1258"/>
      <c r="K209" s="1258"/>
      <c r="L209" s="1258"/>
      <c r="M209" s="1258"/>
      <c r="N209" s="1258"/>
      <c r="O209" s="1258"/>
      <c r="P209" s="1258"/>
      <c r="Q209" s="1258"/>
      <c r="R209" s="1258"/>
      <c r="S209" s="1258"/>
      <c r="T209" s="1258"/>
      <c r="V209" s="494" t="s">
        <v>576</v>
      </c>
      <c r="X209" s="494"/>
    </row>
    <row r="210" spans="1:24" s="5" customFormat="1" ht="15" customHeight="1">
      <c r="C210" s="1258"/>
      <c r="D210" s="1258"/>
      <c r="E210" s="1258"/>
      <c r="F210" s="1258"/>
      <c r="G210" s="1258"/>
      <c r="H210" s="1258"/>
      <c r="I210" s="1258"/>
      <c r="J210" s="1258"/>
      <c r="K210" s="1258"/>
      <c r="L210" s="1258"/>
      <c r="M210" s="1258"/>
      <c r="N210" s="1258"/>
      <c r="O210" s="1258"/>
      <c r="P210" s="1258"/>
      <c r="Q210" s="1258"/>
      <c r="R210" s="1258"/>
      <c r="S210" s="1258"/>
      <c r="T210" s="1258"/>
      <c r="X210" s="494"/>
    </row>
    <row r="211" spans="1:24" s="5" customFormat="1" ht="15" customHeight="1">
      <c r="B211" s="5" t="s">
        <v>570</v>
      </c>
      <c r="C211" s="1258" t="s">
        <v>718</v>
      </c>
      <c r="D211" s="1258"/>
      <c r="E211" s="1258"/>
      <c r="F211" s="1258"/>
      <c r="G211" s="1258"/>
      <c r="H211" s="1258"/>
      <c r="I211" s="1258"/>
      <c r="J211" s="1258"/>
      <c r="K211" s="1258"/>
      <c r="L211" s="1258"/>
      <c r="M211" s="1258"/>
      <c r="N211" s="1258"/>
      <c r="O211" s="1258"/>
      <c r="P211" s="1258"/>
      <c r="Q211" s="1258"/>
      <c r="R211" s="1258"/>
      <c r="S211" s="1258"/>
      <c r="T211" s="1258"/>
      <c r="X211" s="494"/>
    </row>
    <row r="212" spans="1:24" s="5" customFormat="1" ht="15" customHeight="1">
      <c r="C212" s="1258"/>
      <c r="D212" s="1258"/>
      <c r="E212" s="1258"/>
      <c r="F212" s="1258"/>
      <c r="G212" s="1258"/>
      <c r="H212" s="1258"/>
      <c r="I212" s="1258"/>
      <c r="J212" s="1258"/>
      <c r="K212" s="1258"/>
      <c r="L212" s="1258"/>
      <c r="M212" s="1258"/>
      <c r="N212" s="1258"/>
      <c r="O212" s="1258"/>
      <c r="P212" s="1258"/>
      <c r="Q212" s="1258"/>
      <c r="R212" s="1258"/>
      <c r="S212" s="1258"/>
      <c r="T212" s="1258"/>
      <c r="X212" s="494"/>
    </row>
    <row r="213" spans="1:24" s="5" customFormat="1" ht="15" customHeight="1">
      <c r="X213" s="494"/>
    </row>
    <row r="214" spans="1:24" s="5" customFormat="1" ht="15" customHeight="1">
      <c r="A214" s="5" t="s">
        <v>719</v>
      </c>
      <c r="X214" s="494"/>
    </row>
    <row r="215" spans="1:24" s="5" customFormat="1" ht="15" customHeight="1">
      <c r="A215" s="5" t="s">
        <v>725</v>
      </c>
      <c r="C215" s="1258" t="s">
        <v>721</v>
      </c>
      <c r="D215" s="1258"/>
      <c r="E215" s="1258"/>
      <c r="F215" s="1258"/>
      <c r="G215" s="1258"/>
      <c r="H215" s="1258"/>
      <c r="I215" s="1258"/>
      <c r="J215" s="1258"/>
      <c r="K215" s="1258"/>
      <c r="L215" s="1258"/>
      <c r="M215" s="1258"/>
      <c r="N215" s="1258"/>
      <c r="O215" s="1258"/>
      <c r="P215" s="1258"/>
      <c r="Q215" s="1258"/>
      <c r="R215" s="1258"/>
      <c r="S215" s="1258"/>
      <c r="T215" s="1258"/>
      <c r="V215" s="5" t="s">
        <v>722</v>
      </c>
      <c r="X215" s="494"/>
    </row>
    <row r="216" spans="1:24" s="5" customFormat="1" ht="15" customHeight="1">
      <c r="C216" s="1258"/>
      <c r="D216" s="1258"/>
      <c r="E216" s="1258"/>
      <c r="F216" s="1258"/>
      <c r="G216" s="1258"/>
      <c r="H216" s="1258"/>
      <c r="I216" s="1258"/>
      <c r="J216" s="1258"/>
      <c r="K216" s="1258"/>
      <c r="L216" s="1258"/>
      <c r="M216" s="1258"/>
      <c r="N216" s="1258"/>
      <c r="O216" s="1258"/>
      <c r="P216" s="1258"/>
      <c r="Q216" s="1258"/>
      <c r="R216" s="1258"/>
      <c r="S216" s="1258"/>
      <c r="T216" s="1258"/>
      <c r="V216" s="494" t="s">
        <v>723</v>
      </c>
      <c r="X216" s="494"/>
    </row>
    <row r="217" spans="1:24" s="5" customFormat="1" ht="15" customHeight="1">
      <c r="X217" s="494"/>
    </row>
    <row r="218" spans="1:24" s="5" customFormat="1" ht="15" customHeight="1">
      <c r="A218" s="5" t="s">
        <v>724</v>
      </c>
      <c r="X218" s="494"/>
    </row>
    <row r="219" spans="1:24" s="5" customFormat="1" ht="15" customHeight="1">
      <c r="A219" s="5" t="s">
        <v>728</v>
      </c>
      <c r="C219" s="1258" t="s">
        <v>726</v>
      </c>
      <c r="D219" s="1258"/>
      <c r="E219" s="1258"/>
      <c r="F219" s="1258"/>
      <c r="G219" s="1258"/>
      <c r="H219" s="1258"/>
      <c r="I219" s="1258"/>
      <c r="J219" s="1258"/>
      <c r="K219" s="1258"/>
      <c r="L219" s="1258"/>
      <c r="M219" s="1258"/>
      <c r="N219" s="1258"/>
      <c r="O219" s="1258"/>
      <c r="P219" s="1258"/>
      <c r="Q219" s="1258"/>
      <c r="R219" s="1258"/>
      <c r="S219" s="1258"/>
      <c r="T219" s="1258"/>
      <c r="V219" s="494" t="s">
        <v>576</v>
      </c>
      <c r="X219" s="494"/>
    </row>
    <row r="220" spans="1:24" s="5" customFormat="1" ht="15" customHeight="1">
      <c r="C220" s="1258"/>
      <c r="D220" s="1258"/>
      <c r="E220" s="1258"/>
      <c r="F220" s="1258"/>
      <c r="G220" s="1258"/>
      <c r="H220" s="1258"/>
      <c r="I220" s="1258"/>
      <c r="J220" s="1258"/>
      <c r="K220" s="1258"/>
      <c r="L220" s="1258"/>
      <c r="M220" s="1258"/>
      <c r="N220" s="1258"/>
      <c r="O220" s="1258"/>
      <c r="P220" s="1258"/>
      <c r="Q220" s="1258"/>
      <c r="R220" s="1258"/>
      <c r="S220" s="1258"/>
      <c r="T220" s="1258"/>
      <c r="X220" s="494"/>
    </row>
    <row r="221" spans="1:24" s="5" customFormat="1" ht="15" customHeight="1">
      <c r="X221" s="494"/>
    </row>
    <row r="222" spans="1:24" s="494" customFormat="1" ht="15" customHeight="1">
      <c r="A222" s="5" t="s">
        <v>727</v>
      </c>
      <c r="B222" s="5"/>
      <c r="C222" s="5"/>
      <c r="D222" s="5"/>
      <c r="E222" s="5"/>
      <c r="F222" s="5"/>
      <c r="G222" s="5"/>
      <c r="H222" s="5"/>
      <c r="I222" s="5"/>
      <c r="J222" s="5"/>
      <c r="K222" s="5"/>
      <c r="L222" s="5"/>
      <c r="M222" s="5"/>
      <c r="N222" s="5"/>
      <c r="O222" s="5"/>
      <c r="P222" s="5"/>
      <c r="Q222" s="5"/>
      <c r="R222" s="5"/>
      <c r="S222" s="5"/>
      <c r="T222" s="5"/>
    </row>
    <row r="223" spans="1:24" s="494" customFormat="1" ht="50.1" customHeight="1">
      <c r="A223" s="5" t="s">
        <v>1699</v>
      </c>
      <c r="B223" s="5"/>
      <c r="C223" s="1258" t="s">
        <v>729</v>
      </c>
      <c r="D223" s="1258"/>
      <c r="E223" s="1258"/>
      <c r="F223" s="1258"/>
      <c r="G223" s="1258"/>
      <c r="H223" s="1258"/>
      <c r="I223" s="1258"/>
      <c r="J223" s="1258"/>
      <c r="K223" s="1258"/>
      <c r="L223" s="1258"/>
      <c r="M223" s="1258"/>
      <c r="N223" s="1258"/>
      <c r="O223" s="1258"/>
      <c r="P223" s="1258"/>
      <c r="Q223" s="1258"/>
      <c r="R223" s="1258"/>
      <c r="S223" s="1258"/>
      <c r="T223" s="1258"/>
      <c r="V223" s="494" t="s">
        <v>576</v>
      </c>
    </row>
    <row r="224" spans="1:24" s="494" customFormat="1" ht="60" customHeight="1">
      <c r="A224" s="5"/>
      <c r="B224" s="5" t="s">
        <v>570</v>
      </c>
      <c r="C224" s="1258" t="s">
        <v>730</v>
      </c>
      <c r="D224" s="1258"/>
      <c r="E224" s="1258"/>
      <c r="F224" s="1258"/>
      <c r="G224" s="1258"/>
      <c r="H224" s="1258"/>
      <c r="I224" s="1258"/>
      <c r="J224" s="1258"/>
      <c r="K224" s="1258"/>
      <c r="L224" s="1258"/>
      <c r="M224" s="1258"/>
      <c r="N224" s="1258"/>
      <c r="O224" s="1258"/>
      <c r="P224" s="1258"/>
      <c r="Q224" s="1258"/>
      <c r="R224" s="1258"/>
      <c r="S224" s="1258"/>
      <c r="T224" s="1258"/>
      <c r="V224" s="494" t="s">
        <v>576</v>
      </c>
    </row>
    <row r="225" spans="1:24" s="494" customFormat="1" ht="37.35" customHeight="1">
      <c r="A225" s="5"/>
      <c r="B225" s="5" t="s">
        <v>1538</v>
      </c>
      <c r="C225" s="1258" t="s">
        <v>2028</v>
      </c>
      <c r="D225" s="1258"/>
      <c r="E225" s="1258"/>
      <c r="F225" s="1258"/>
      <c r="G225" s="1258"/>
      <c r="H225" s="1258"/>
      <c r="I225" s="1258"/>
      <c r="J225" s="1258"/>
      <c r="K225" s="1258"/>
      <c r="L225" s="1258"/>
      <c r="M225" s="1258"/>
      <c r="N225" s="1258"/>
      <c r="O225" s="1258"/>
      <c r="P225" s="1258"/>
      <c r="Q225" s="1258"/>
      <c r="R225" s="1258"/>
      <c r="S225" s="1258"/>
      <c r="T225" s="1258"/>
    </row>
    <row r="226" spans="1:24" s="494" customFormat="1" ht="15" customHeight="1">
      <c r="A226" s="5"/>
      <c r="B226" s="5"/>
      <c r="C226" s="548"/>
      <c r="D226" s="548"/>
      <c r="E226" s="548"/>
      <c r="F226" s="548"/>
      <c r="G226" s="548"/>
      <c r="H226" s="548"/>
      <c r="I226" s="548"/>
      <c r="J226" s="548"/>
      <c r="K226" s="548"/>
      <c r="L226" s="548"/>
      <c r="M226" s="548"/>
      <c r="N226" s="548"/>
      <c r="O226" s="548"/>
      <c r="P226" s="548"/>
      <c r="Q226" s="548"/>
      <c r="R226" s="548"/>
      <c r="S226" s="548"/>
      <c r="T226" s="548"/>
    </row>
    <row r="227" spans="1:24" s="5" customFormat="1" ht="15" customHeight="1">
      <c r="T227" s="1019" t="s">
        <v>731</v>
      </c>
      <c r="X227" s="494"/>
    </row>
    <row r="228" spans="1:24" s="5" customFormat="1" ht="15" customHeight="1">
      <c r="X228" s="494"/>
    </row>
    <row r="229" spans="1:24" s="5" customFormat="1" ht="15" customHeight="1">
      <c r="X229" s="494"/>
    </row>
    <row r="230" spans="1:24" s="5" customFormat="1" ht="15" customHeight="1">
      <c r="X230" s="494"/>
    </row>
    <row r="231" spans="1:24" s="5" customFormat="1" ht="15" customHeight="1">
      <c r="A231" s="1006"/>
      <c r="B231" s="1006"/>
      <c r="C231" s="1006"/>
      <c r="D231" s="1006"/>
      <c r="E231" s="1006"/>
      <c r="F231" s="1006"/>
      <c r="G231" s="1006"/>
      <c r="H231" s="1006"/>
      <c r="I231" s="1006"/>
      <c r="J231" s="1006"/>
      <c r="K231" s="1006"/>
      <c r="L231" s="1006"/>
      <c r="M231" s="1006"/>
      <c r="N231" s="1006"/>
      <c r="O231" s="1006"/>
      <c r="P231" s="1006"/>
      <c r="Q231" s="1006"/>
      <c r="R231" s="1006"/>
      <c r="S231" s="1006"/>
      <c r="T231" s="1006"/>
      <c r="X231" s="494"/>
    </row>
  </sheetData>
  <sheetProtection selectLockedCells="1"/>
  <mergeCells count="101">
    <mergeCell ref="C223:T223"/>
    <mergeCell ref="C224:T224"/>
    <mergeCell ref="A3:T3"/>
    <mergeCell ref="C55:T56"/>
    <mergeCell ref="C27:T28"/>
    <mergeCell ref="B29:C29"/>
    <mergeCell ref="D29:T30"/>
    <mergeCell ref="B31:C31"/>
    <mergeCell ref="C32:T33"/>
    <mergeCell ref="C34:T35"/>
    <mergeCell ref="C39:T41"/>
    <mergeCell ref="C42:T43"/>
    <mergeCell ref="C44:T46"/>
    <mergeCell ref="C49:T51"/>
    <mergeCell ref="C52:T52"/>
    <mergeCell ref="C118:T120"/>
    <mergeCell ref="C59:T61"/>
    <mergeCell ref="C62:T63"/>
    <mergeCell ref="A1:T2"/>
    <mergeCell ref="C25:T26"/>
    <mergeCell ref="C6:T6"/>
    <mergeCell ref="C7:T7"/>
    <mergeCell ref="D11:I11"/>
    <mergeCell ref="D12:I12"/>
    <mergeCell ref="K11:S11"/>
    <mergeCell ref="C13:T13"/>
    <mergeCell ref="C14:T14"/>
    <mergeCell ref="C17:T18"/>
    <mergeCell ref="C21:T22"/>
    <mergeCell ref="C23:T24"/>
    <mergeCell ref="B67:C67"/>
    <mergeCell ref="B69:C69"/>
    <mergeCell ref="B71:C71"/>
    <mergeCell ref="C72:T74"/>
    <mergeCell ref="C77:T79"/>
    <mergeCell ref="C80:T83"/>
    <mergeCell ref="C109:T111"/>
    <mergeCell ref="C114:T115"/>
    <mergeCell ref="C116:T117"/>
    <mergeCell ref="C91:T91"/>
    <mergeCell ref="C94:T95"/>
    <mergeCell ref="C96:T97"/>
    <mergeCell ref="D86:U86"/>
    <mergeCell ref="D87:U87"/>
    <mergeCell ref="D88:U88"/>
    <mergeCell ref="B85:C85"/>
    <mergeCell ref="B86:C86"/>
    <mergeCell ref="B87:C87"/>
    <mergeCell ref="B88:C88"/>
    <mergeCell ref="B68:C68"/>
    <mergeCell ref="B70:C70"/>
    <mergeCell ref="D71:H71"/>
    <mergeCell ref="C84:T84"/>
    <mergeCell ref="D85:U85"/>
    <mergeCell ref="B127:C127"/>
    <mergeCell ref="B128:C128"/>
    <mergeCell ref="B129:C129"/>
    <mergeCell ref="D130:T132"/>
    <mergeCell ref="C133:T135"/>
    <mergeCell ref="C121:T122"/>
    <mergeCell ref="B123:C123"/>
    <mergeCell ref="D123:T124"/>
    <mergeCell ref="B125:C125"/>
    <mergeCell ref="D125:T126"/>
    <mergeCell ref="D185:T186"/>
    <mergeCell ref="C211:T212"/>
    <mergeCell ref="B187:C187"/>
    <mergeCell ref="B188:C188"/>
    <mergeCell ref="B189:C189"/>
    <mergeCell ref="B191:C191"/>
    <mergeCell ref="B192:C192"/>
    <mergeCell ref="C195:T196"/>
    <mergeCell ref="C197:T199"/>
    <mergeCell ref="C200:T201"/>
    <mergeCell ref="C202:T204"/>
    <mergeCell ref="C205:T206"/>
    <mergeCell ref="C209:T210"/>
    <mergeCell ref="C225:T225"/>
    <mergeCell ref="C98:T99"/>
    <mergeCell ref="C100:T101"/>
    <mergeCell ref="C102:T104"/>
    <mergeCell ref="C105:T106"/>
    <mergeCell ref="C215:T216"/>
    <mergeCell ref="C170:T171"/>
    <mergeCell ref="C174:T177"/>
    <mergeCell ref="C178:T179"/>
    <mergeCell ref="C182:T183"/>
    <mergeCell ref="B184:C184"/>
    <mergeCell ref="C154:T155"/>
    <mergeCell ref="C156:T157"/>
    <mergeCell ref="C160:T161"/>
    <mergeCell ref="C162:T164"/>
    <mergeCell ref="C165:T167"/>
    <mergeCell ref="C141:T142"/>
    <mergeCell ref="C143:T144"/>
    <mergeCell ref="C147:T150"/>
    <mergeCell ref="C151:T153"/>
    <mergeCell ref="C136:T137"/>
    <mergeCell ref="C138:T140"/>
    <mergeCell ref="C219:T220"/>
    <mergeCell ref="B185:C185"/>
  </mergeCells>
  <phoneticPr fontId="17"/>
  <printOptions horizontalCentered="1"/>
  <pageMargins left="0.70866141732283472" right="0.70866141732283472" top="0.74803149606299213" bottom="0.74803149606299213" header="0.31496062992125984" footer="0.31496062992125984"/>
  <pageSetup paperSize="9" scale="96" fitToHeight="0" orientation="portrait" r:id="rId1"/>
  <headerFooter>
    <oddFooter>&amp;L 【通所介護_BMC】&amp;C&amp;P</oddFooter>
    <firstFooter>&amp;L【通所介護】BMC</firstFooter>
  </headerFooter>
  <rowBreaks count="5" manualBreakCount="5">
    <brk id="43" max="19" man="1"/>
    <brk id="101" max="19" man="1"/>
    <brk id="145" max="19" man="1"/>
    <brk id="193" max="19" man="1"/>
    <brk id="230"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D0C7"/>
    <pageSetUpPr fitToPage="1"/>
  </sheetPr>
  <dimension ref="A1:X60"/>
  <sheetViews>
    <sheetView view="pageBreakPreview" zoomScaleNormal="100" zoomScaleSheetLayoutView="100" workbookViewId="0"/>
  </sheetViews>
  <sheetFormatPr defaultColWidth="9" defaultRowHeight="15" customHeight="1"/>
  <cols>
    <col min="1" max="20" width="4.625" style="299" customWidth="1"/>
    <col min="21" max="22" width="0" style="299" hidden="1" customWidth="1"/>
    <col min="23" max="23" width="9" style="299"/>
    <col min="24" max="24" width="9" style="313"/>
    <col min="25" max="16384" width="9" style="299"/>
  </cols>
  <sheetData>
    <row r="1" spans="1:24" s="301" customFormat="1" ht="15" customHeight="1">
      <c r="A1" s="558"/>
      <c r="B1" s="558"/>
      <c r="C1" s="558"/>
      <c r="D1" s="558"/>
      <c r="E1" s="558"/>
      <c r="F1" s="558"/>
      <c r="G1" s="558"/>
      <c r="H1" s="558"/>
      <c r="I1" s="558"/>
      <c r="J1" s="558"/>
      <c r="K1" s="558"/>
      <c r="L1" s="558"/>
      <c r="M1" s="558"/>
      <c r="N1" s="558"/>
      <c r="O1" s="558"/>
      <c r="P1" s="558"/>
      <c r="Q1" s="558"/>
      <c r="R1" s="558"/>
      <c r="S1" s="558"/>
      <c r="T1" s="558"/>
      <c r="X1" s="315"/>
    </row>
    <row r="2" spans="1:24" s="301" customFormat="1" ht="15" customHeight="1">
      <c r="A2" s="558"/>
      <c r="B2" s="558"/>
      <c r="C2" s="558"/>
      <c r="D2" s="558"/>
      <c r="E2" s="558"/>
      <c r="F2" s="558"/>
      <c r="G2" s="558"/>
      <c r="H2" s="558"/>
      <c r="I2" s="558"/>
      <c r="J2" s="558"/>
      <c r="K2" s="558"/>
      <c r="L2" s="558"/>
      <c r="M2" s="558"/>
      <c r="N2" s="558"/>
      <c r="O2" s="558"/>
      <c r="P2" s="558"/>
      <c r="Q2" s="558"/>
      <c r="R2" s="558"/>
      <c r="S2" s="558"/>
      <c r="T2" s="558"/>
      <c r="X2" s="315"/>
    </row>
    <row r="3" spans="1:24" s="301" customFormat="1" ht="15" customHeight="1">
      <c r="B3" s="1271" t="s">
        <v>732</v>
      </c>
      <c r="C3" s="1271"/>
      <c r="D3" s="1271"/>
      <c r="E3" s="1271"/>
      <c r="F3" s="1271"/>
      <c r="G3" s="1271"/>
      <c r="H3" s="1271"/>
      <c r="I3" s="1271"/>
      <c r="J3" s="1271"/>
      <c r="K3" s="1271"/>
      <c r="L3" s="1271"/>
      <c r="M3" s="1271"/>
      <c r="N3" s="1271"/>
      <c r="O3" s="1271"/>
      <c r="P3" s="1271"/>
      <c r="Q3" s="1271"/>
      <c r="R3" s="1271"/>
      <c r="S3" s="1271"/>
      <c r="T3" s="1271"/>
      <c r="V3" s="315" t="s">
        <v>733</v>
      </c>
      <c r="X3" s="315"/>
    </row>
    <row r="4" spans="1:24" s="301" customFormat="1" ht="15" customHeight="1">
      <c r="X4" s="315"/>
    </row>
    <row r="5" spans="1:24" s="301" customFormat="1" ht="15" customHeight="1">
      <c r="A5" s="301" t="s">
        <v>734</v>
      </c>
      <c r="X5" s="474"/>
    </row>
    <row r="6" spans="1:24" s="301" customFormat="1" ht="15" customHeight="1">
      <c r="X6" s="315"/>
    </row>
    <row r="7" spans="1:24" s="301" customFormat="1" ht="15" customHeight="1">
      <c r="B7" s="301" t="s">
        <v>735</v>
      </c>
      <c r="H7" s="301" t="s">
        <v>736</v>
      </c>
      <c r="K7" s="1270" t="str">
        <f>DBCS(【マスター】!B162)</f>
        <v/>
      </c>
      <c r="L7" s="1270"/>
      <c r="M7" s="1270"/>
      <c r="N7" s="1270"/>
      <c r="O7" s="1270"/>
      <c r="P7" s="1270"/>
      <c r="Q7" s="1270"/>
      <c r="R7" s="1270"/>
      <c r="S7" s="1270"/>
      <c r="T7" s="1270"/>
      <c r="X7" s="315"/>
    </row>
    <row r="8" spans="1:24" s="301" customFormat="1" ht="15" customHeight="1">
      <c r="K8" s="1270" t="str">
        <f>DBCS(【マスター】!B163)</f>
        <v/>
      </c>
      <c r="L8" s="1270"/>
      <c r="M8" s="1270"/>
      <c r="N8" s="1270"/>
      <c r="O8" s="1270"/>
      <c r="P8" s="1270"/>
      <c r="Q8" s="1270"/>
      <c r="R8" s="1270"/>
      <c r="S8" s="1270"/>
      <c r="T8" s="1270"/>
      <c r="X8" s="315"/>
    </row>
    <row r="9" spans="1:24" s="301" customFormat="1" ht="15" customHeight="1">
      <c r="K9" s="1270"/>
      <c r="L9" s="1270"/>
      <c r="M9" s="1270"/>
      <c r="N9" s="1270"/>
      <c r="O9" s="1270"/>
      <c r="P9" s="1270"/>
      <c r="Q9" s="1270"/>
      <c r="R9" s="1270"/>
      <c r="S9" s="1270"/>
      <c r="T9" s="1270"/>
      <c r="X9" s="315"/>
    </row>
    <row r="10" spans="1:24" s="301" customFormat="1" ht="15" customHeight="1">
      <c r="H10" s="301" t="s">
        <v>737</v>
      </c>
      <c r="K10" s="319"/>
      <c r="L10" s="319"/>
      <c r="M10" s="319"/>
      <c r="N10" s="319"/>
      <c r="O10" s="319"/>
      <c r="P10" s="319"/>
      <c r="Q10" s="319"/>
      <c r="R10" s="319"/>
      <c r="S10" s="319"/>
      <c r="T10" s="320" t="s">
        <v>493</v>
      </c>
      <c r="X10" s="315"/>
    </row>
    <row r="11" spans="1:24" s="301" customFormat="1" ht="15" customHeight="1">
      <c r="X11" s="315"/>
    </row>
    <row r="12" spans="1:24" s="301" customFormat="1" ht="15" customHeight="1">
      <c r="B12" s="301" t="s">
        <v>738</v>
      </c>
      <c r="H12" s="301" t="s">
        <v>736</v>
      </c>
      <c r="K12" s="1270" t="str">
        <f>DBCS(【マスター】!B164)</f>
        <v/>
      </c>
      <c r="L12" s="1270"/>
      <c r="M12" s="1270"/>
      <c r="N12" s="1270"/>
      <c r="O12" s="1270"/>
      <c r="P12" s="1270"/>
      <c r="Q12" s="1270"/>
      <c r="R12" s="1270"/>
      <c r="S12" s="1270"/>
      <c r="T12" s="1270"/>
      <c r="V12" s="315" t="s">
        <v>739</v>
      </c>
      <c r="X12" s="315"/>
    </row>
    <row r="13" spans="1:24" s="301" customFormat="1" ht="15" customHeight="1">
      <c r="B13" s="301" t="s">
        <v>740</v>
      </c>
      <c r="K13" s="1270" t="str">
        <f>DBCS(【マスター】!B165)</f>
        <v/>
      </c>
      <c r="L13" s="1270"/>
      <c r="M13" s="1270"/>
      <c r="N13" s="1270"/>
      <c r="O13" s="1270"/>
      <c r="P13" s="1270"/>
      <c r="Q13" s="1270"/>
      <c r="R13" s="1270"/>
      <c r="S13" s="1270"/>
      <c r="T13" s="1270"/>
      <c r="X13" s="315"/>
    </row>
    <row r="14" spans="1:24" s="301" customFormat="1" ht="15" customHeight="1">
      <c r="K14" s="549"/>
      <c r="L14" s="549"/>
      <c r="M14" s="549"/>
      <c r="N14" s="549"/>
      <c r="O14" s="549"/>
      <c r="P14" s="549"/>
      <c r="Q14" s="549"/>
      <c r="R14" s="549"/>
      <c r="S14" s="549"/>
      <c r="T14" s="549"/>
      <c r="X14" s="315"/>
    </row>
    <row r="15" spans="1:24" s="301" customFormat="1" ht="15" customHeight="1">
      <c r="H15" s="301" t="s">
        <v>737</v>
      </c>
      <c r="K15" s="319"/>
      <c r="L15" s="319"/>
      <c r="M15" s="319"/>
      <c r="N15" s="319"/>
      <c r="O15" s="319"/>
      <c r="P15" s="319"/>
      <c r="Q15" s="319"/>
      <c r="R15" s="319"/>
      <c r="S15" s="319"/>
      <c r="T15" s="320" t="s">
        <v>493</v>
      </c>
      <c r="X15" s="315"/>
    </row>
    <row r="16" spans="1:24" s="301" customFormat="1" ht="15" customHeight="1">
      <c r="N16" s="317" t="s">
        <v>500</v>
      </c>
      <c r="O16" s="559"/>
      <c r="P16" s="559"/>
      <c r="Q16" s="559"/>
      <c r="R16" s="559"/>
      <c r="S16" s="559"/>
      <c r="T16" s="316" t="s">
        <v>501</v>
      </c>
      <c r="U16" s="316" t="s">
        <v>501</v>
      </c>
      <c r="V16" s="301" t="s">
        <v>741</v>
      </c>
      <c r="X16" s="315"/>
    </row>
    <row r="17" spans="2:24" s="5" customFormat="1" ht="15" customHeight="1">
      <c r="X17" s="494"/>
    </row>
    <row r="18" spans="2:24" s="315" customFormat="1" ht="15" customHeight="1">
      <c r="B18" s="301" t="s">
        <v>742</v>
      </c>
      <c r="C18" s="301"/>
      <c r="D18" s="301"/>
      <c r="E18" s="301"/>
      <c r="F18" s="301"/>
      <c r="G18" s="301"/>
      <c r="H18" s="301" t="s">
        <v>736</v>
      </c>
      <c r="I18" s="301"/>
      <c r="J18" s="301"/>
      <c r="K18" s="1270" t="str">
        <f>DBCS(【マスター】!B166)</f>
        <v/>
      </c>
      <c r="L18" s="1270"/>
      <c r="M18" s="1270"/>
      <c r="N18" s="1270"/>
      <c r="O18" s="1270"/>
      <c r="P18" s="1270"/>
      <c r="Q18" s="1270"/>
      <c r="R18" s="1270"/>
      <c r="S18" s="1270"/>
      <c r="T18" s="1270"/>
      <c r="V18" s="315" t="s">
        <v>739</v>
      </c>
    </row>
    <row r="19" spans="2:24" s="315" customFormat="1" ht="15" customHeight="1">
      <c r="B19" s="301"/>
      <c r="C19" s="301"/>
      <c r="D19" s="301"/>
      <c r="E19" s="301"/>
      <c r="F19" s="301"/>
      <c r="G19" s="301"/>
      <c r="H19" s="301"/>
      <c r="I19" s="301"/>
      <c r="J19" s="301"/>
      <c r="K19" s="1270" t="str">
        <f>DBCS(【マスター】!B167)</f>
        <v/>
      </c>
      <c r="L19" s="1270"/>
      <c r="M19" s="1270"/>
      <c r="N19" s="1270"/>
      <c r="O19" s="1270"/>
      <c r="P19" s="1270"/>
      <c r="Q19" s="1270"/>
      <c r="R19" s="1270"/>
      <c r="S19" s="1270"/>
      <c r="T19" s="1270"/>
    </row>
    <row r="20" spans="2:24" s="315" customFormat="1" ht="15" customHeight="1">
      <c r="B20" s="301"/>
      <c r="C20" s="301"/>
      <c r="D20" s="301"/>
      <c r="E20" s="301"/>
      <c r="F20" s="301"/>
      <c r="G20" s="301"/>
      <c r="H20" s="301"/>
      <c r="I20" s="301"/>
      <c r="J20" s="301"/>
      <c r="K20" s="549"/>
      <c r="L20" s="549"/>
      <c r="M20" s="549"/>
      <c r="N20" s="549"/>
      <c r="O20" s="549"/>
      <c r="P20" s="549"/>
      <c r="Q20" s="549"/>
      <c r="R20" s="549"/>
      <c r="S20" s="549"/>
      <c r="T20" s="549"/>
    </row>
    <row r="21" spans="2:24" s="315" customFormat="1" ht="15" customHeight="1">
      <c r="B21" s="301"/>
      <c r="C21" s="301"/>
      <c r="D21" s="301"/>
      <c r="E21" s="301"/>
      <c r="F21" s="301"/>
      <c r="G21" s="301"/>
      <c r="H21" s="301" t="s">
        <v>737</v>
      </c>
      <c r="I21" s="301"/>
      <c r="J21" s="301"/>
      <c r="K21" s="515"/>
      <c r="L21" s="515"/>
      <c r="M21" s="515"/>
      <c r="N21" s="515"/>
      <c r="O21" s="515"/>
      <c r="P21" s="515"/>
      <c r="Q21" s="515"/>
      <c r="R21" s="515"/>
      <c r="S21" s="515"/>
      <c r="T21" s="516" t="s">
        <v>493</v>
      </c>
    </row>
    <row r="22" spans="2:24" s="315" customFormat="1" ht="15" customHeight="1">
      <c r="B22" s="301"/>
      <c r="C22" s="301"/>
      <c r="D22" s="301"/>
      <c r="E22" s="301"/>
      <c r="F22" s="301"/>
      <c r="G22" s="301"/>
      <c r="H22" s="301"/>
      <c r="I22" s="301"/>
      <c r="J22" s="301"/>
      <c r="K22" s="301"/>
      <c r="L22" s="301"/>
      <c r="M22" s="301"/>
      <c r="N22" s="317" t="s">
        <v>500</v>
      </c>
      <c r="O22" s="559"/>
      <c r="P22" s="559"/>
      <c r="Q22" s="559"/>
      <c r="R22" s="559"/>
      <c r="S22" s="559"/>
      <c r="T22" s="316" t="s">
        <v>501</v>
      </c>
      <c r="U22" s="517" t="s">
        <v>501</v>
      </c>
      <c r="V22" s="315" t="s">
        <v>741</v>
      </c>
    </row>
    <row r="23" spans="2:24" s="301" customFormat="1" ht="15" customHeight="1">
      <c r="N23" s="317"/>
      <c r="O23" s="559"/>
      <c r="P23" s="559"/>
      <c r="Q23" s="559"/>
      <c r="R23" s="559"/>
      <c r="S23" s="559"/>
      <c r="T23" s="316"/>
      <c r="U23" s="316"/>
      <c r="X23" s="315"/>
    </row>
    <row r="24" spans="2:24" s="301" customFormat="1" ht="15" customHeight="1">
      <c r="B24" s="301" t="s">
        <v>743</v>
      </c>
      <c r="H24" s="301" t="s">
        <v>736</v>
      </c>
      <c r="K24" s="1270" t="str">
        <f>DBCS(【マスター】!F22)</f>
        <v>愛知県豊川市大堀町２９３番地</v>
      </c>
      <c r="L24" s="1270"/>
      <c r="M24" s="1270"/>
      <c r="N24" s="1270"/>
      <c r="O24" s="1270"/>
      <c r="P24" s="1270"/>
      <c r="Q24" s="1270"/>
      <c r="R24" s="1270"/>
      <c r="S24" s="1270"/>
      <c r="T24" s="1270"/>
      <c r="X24" s="315"/>
    </row>
    <row r="25" spans="2:24" s="301" customFormat="1" ht="15" customHeight="1">
      <c r="H25" s="301" t="s">
        <v>744</v>
      </c>
      <c r="K25" s="1270" t="str">
        <f>DBCS(【マスター】!C21)</f>
        <v>株式会社ケアサポート</v>
      </c>
      <c r="L25" s="1270"/>
      <c r="M25" s="1270"/>
      <c r="N25" s="1270"/>
      <c r="O25" s="1270"/>
      <c r="P25" s="1270"/>
      <c r="Q25" s="1270"/>
      <c r="R25" s="1270"/>
      <c r="S25" s="1270"/>
      <c r="T25" s="1270"/>
      <c r="X25" s="315"/>
    </row>
    <row r="26" spans="2:24" s="301" customFormat="1" ht="15" customHeight="1">
      <c r="H26" s="301" t="s">
        <v>745</v>
      </c>
      <c r="K26" s="1270" t="str">
        <f>DBCS(【マスター】!C25&amp;" "&amp;【マスター】!I25)</f>
        <v>代表取締役　本多康夫</v>
      </c>
      <c r="L26" s="1270"/>
      <c r="M26" s="1270"/>
      <c r="N26" s="1270"/>
      <c r="O26" s="1270"/>
      <c r="P26" s="1270"/>
      <c r="Q26" s="1270"/>
      <c r="R26" s="1270"/>
      <c r="S26" s="1270"/>
      <c r="T26" s="321" t="s">
        <v>493</v>
      </c>
      <c r="X26" s="315"/>
    </row>
    <row r="27" spans="2:24" s="301" customFormat="1" ht="15" customHeight="1">
      <c r="L27" s="549"/>
      <c r="M27" s="549"/>
      <c r="N27" s="549"/>
      <c r="O27" s="549"/>
      <c r="P27" s="549"/>
      <c r="Q27" s="549"/>
      <c r="R27" s="549"/>
      <c r="S27" s="549"/>
      <c r="T27" s="321"/>
      <c r="X27" s="315"/>
    </row>
    <row r="28" spans="2:24" s="301" customFormat="1" ht="15" customHeight="1">
      <c r="L28" s="549"/>
      <c r="M28" s="549"/>
      <c r="N28" s="549"/>
      <c r="O28" s="549"/>
      <c r="P28" s="549"/>
      <c r="Q28" s="549"/>
      <c r="R28" s="549"/>
      <c r="S28" s="549"/>
      <c r="T28" s="321"/>
      <c r="X28" s="315"/>
    </row>
    <row r="29" spans="2:24" s="301" customFormat="1" ht="15" customHeight="1">
      <c r="L29" s="549"/>
      <c r="M29" s="549"/>
      <c r="N29" s="549"/>
      <c r="O29" s="549"/>
      <c r="P29" s="549"/>
      <c r="Q29" s="549"/>
      <c r="R29" s="549"/>
      <c r="S29" s="549"/>
      <c r="T29" s="321"/>
      <c r="X29" s="315"/>
    </row>
    <row r="30" spans="2:24" s="301" customFormat="1" ht="15" customHeight="1">
      <c r="L30" s="549"/>
      <c r="M30" s="549"/>
      <c r="N30" s="549"/>
      <c r="O30" s="549"/>
      <c r="P30" s="549"/>
      <c r="Q30" s="549"/>
      <c r="R30" s="549"/>
      <c r="S30" s="549"/>
      <c r="T30" s="321"/>
      <c r="X30" s="315"/>
    </row>
    <row r="31" spans="2:24" s="301" customFormat="1" ht="15" customHeight="1">
      <c r="L31" s="549"/>
      <c r="M31" s="549"/>
      <c r="N31" s="549"/>
      <c r="O31" s="549"/>
      <c r="P31" s="549"/>
      <c r="Q31" s="549"/>
      <c r="R31" s="549"/>
      <c r="S31" s="549"/>
      <c r="T31" s="321"/>
      <c r="X31" s="315"/>
    </row>
    <row r="32" spans="2:24" s="301" customFormat="1" ht="15" customHeight="1">
      <c r="L32" s="549"/>
      <c r="M32" s="549"/>
      <c r="N32" s="549"/>
      <c r="O32" s="549"/>
      <c r="P32" s="549"/>
      <c r="Q32" s="549"/>
      <c r="R32" s="549"/>
      <c r="S32" s="549"/>
      <c r="T32" s="321"/>
      <c r="X32" s="315"/>
    </row>
    <row r="33" spans="12:24" s="301" customFormat="1" ht="15" customHeight="1">
      <c r="L33" s="549"/>
      <c r="M33" s="549"/>
      <c r="N33" s="549"/>
      <c r="O33" s="549"/>
      <c r="P33" s="549"/>
      <c r="Q33" s="549"/>
      <c r="R33" s="549"/>
      <c r="S33" s="549"/>
      <c r="T33" s="321"/>
      <c r="X33" s="315"/>
    </row>
    <row r="34" spans="12:24" s="301" customFormat="1" ht="15" customHeight="1">
      <c r="L34" s="549"/>
      <c r="M34" s="549"/>
      <c r="N34" s="549"/>
      <c r="O34" s="549"/>
      <c r="P34" s="549"/>
      <c r="Q34" s="549"/>
      <c r="R34" s="549"/>
      <c r="S34" s="549"/>
      <c r="T34" s="321"/>
      <c r="X34" s="315"/>
    </row>
    <row r="35" spans="12:24" s="301" customFormat="1" ht="15" customHeight="1">
      <c r="L35" s="549"/>
      <c r="M35" s="549"/>
      <c r="N35" s="549"/>
      <c r="O35" s="549"/>
      <c r="P35" s="549"/>
      <c r="Q35" s="549"/>
      <c r="R35" s="549"/>
      <c r="S35" s="549"/>
      <c r="T35" s="321"/>
      <c r="X35" s="315"/>
    </row>
    <row r="36" spans="12:24" s="301" customFormat="1" ht="15" customHeight="1">
      <c r="L36" s="549"/>
      <c r="M36" s="549"/>
      <c r="N36" s="549"/>
      <c r="O36" s="549"/>
      <c r="P36" s="549"/>
      <c r="Q36" s="549"/>
      <c r="R36" s="549"/>
      <c r="S36" s="549"/>
      <c r="T36" s="321"/>
      <c r="X36" s="315"/>
    </row>
    <row r="37" spans="12:24" s="301" customFormat="1" ht="15" customHeight="1">
      <c r="L37" s="549"/>
      <c r="M37" s="549"/>
      <c r="N37" s="549"/>
      <c r="O37" s="549"/>
      <c r="P37" s="549"/>
      <c r="Q37" s="549"/>
      <c r="R37" s="549"/>
      <c r="S37" s="549"/>
      <c r="T37" s="321"/>
      <c r="X37" s="315"/>
    </row>
    <row r="38" spans="12:24" s="301" customFormat="1" ht="15" customHeight="1">
      <c r="L38" s="549"/>
      <c r="M38" s="549"/>
      <c r="N38" s="549"/>
      <c r="O38" s="549"/>
      <c r="P38" s="549"/>
      <c r="Q38" s="549"/>
      <c r="R38" s="549"/>
      <c r="S38" s="549"/>
      <c r="T38" s="321"/>
      <c r="X38" s="315"/>
    </row>
    <row r="39" spans="12:24" s="301" customFormat="1" ht="15" customHeight="1">
      <c r="L39" s="549"/>
      <c r="M39" s="549"/>
      <c r="N39" s="549"/>
      <c r="O39" s="549"/>
      <c r="P39" s="549"/>
      <c r="Q39" s="549"/>
      <c r="R39" s="549"/>
      <c r="S39" s="549"/>
      <c r="T39" s="321"/>
      <c r="X39" s="315"/>
    </row>
    <row r="40" spans="12:24" s="301" customFormat="1" ht="15" customHeight="1">
      <c r="L40" s="549"/>
      <c r="M40" s="549"/>
      <c r="N40" s="549"/>
      <c r="O40" s="549"/>
      <c r="P40" s="549"/>
      <c r="Q40" s="549"/>
      <c r="R40" s="549"/>
      <c r="S40" s="549"/>
      <c r="T40" s="321"/>
      <c r="X40" s="315"/>
    </row>
    <row r="41" spans="12:24" s="301" customFormat="1" ht="15" customHeight="1">
      <c r="L41" s="549"/>
      <c r="M41" s="549"/>
      <c r="N41" s="549"/>
      <c r="O41" s="549"/>
      <c r="P41" s="549"/>
      <c r="Q41" s="549"/>
      <c r="R41" s="549"/>
      <c r="S41" s="549"/>
      <c r="T41" s="321"/>
      <c r="X41" s="315"/>
    </row>
    <row r="42" spans="12:24" s="301" customFormat="1" ht="15" customHeight="1">
      <c r="L42" s="549"/>
      <c r="M42" s="549"/>
      <c r="N42" s="549"/>
      <c r="O42" s="549"/>
      <c r="P42" s="549"/>
      <c r="Q42" s="549"/>
      <c r="R42" s="549"/>
      <c r="S42" s="549"/>
      <c r="T42" s="321"/>
      <c r="X42" s="315"/>
    </row>
    <row r="43" spans="12:24" s="301" customFormat="1" ht="15" customHeight="1">
      <c r="L43" s="549"/>
      <c r="M43" s="549"/>
      <c r="N43" s="549"/>
      <c r="O43" s="549"/>
      <c r="P43" s="549"/>
      <c r="Q43" s="549"/>
      <c r="R43" s="549"/>
      <c r="S43" s="549"/>
      <c r="T43" s="321"/>
      <c r="X43" s="315"/>
    </row>
    <row r="44" spans="12:24" s="301" customFormat="1" ht="15" customHeight="1">
      <c r="L44" s="549"/>
      <c r="M44" s="549"/>
      <c r="N44" s="549"/>
      <c r="O44" s="549"/>
      <c r="P44" s="549"/>
      <c r="Q44" s="549"/>
      <c r="R44" s="549"/>
      <c r="S44" s="549"/>
      <c r="T44" s="321"/>
      <c r="X44" s="315"/>
    </row>
    <row r="45" spans="12:24" s="301" customFormat="1" ht="15" customHeight="1">
      <c r="L45" s="549"/>
      <c r="M45" s="549"/>
      <c r="N45" s="549"/>
      <c r="O45" s="549"/>
      <c r="P45" s="549"/>
      <c r="Q45" s="549"/>
      <c r="R45" s="549"/>
      <c r="S45" s="549"/>
      <c r="T45" s="321"/>
      <c r="X45" s="315"/>
    </row>
    <row r="46" spans="12:24" s="301" customFormat="1" ht="15" customHeight="1">
      <c r="L46" s="549"/>
      <c r="M46" s="549"/>
      <c r="N46" s="549"/>
      <c r="O46" s="549"/>
      <c r="P46" s="549"/>
      <c r="Q46" s="549"/>
      <c r="R46" s="549"/>
      <c r="S46" s="549"/>
      <c r="T46" s="321"/>
      <c r="X46" s="315"/>
    </row>
    <row r="47" spans="12:24" s="301" customFormat="1" ht="15" customHeight="1">
      <c r="L47" s="549"/>
      <c r="M47" s="549"/>
      <c r="N47" s="549"/>
      <c r="O47" s="549"/>
      <c r="P47" s="549"/>
      <c r="Q47" s="549"/>
      <c r="R47" s="549"/>
      <c r="S47" s="549"/>
      <c r="T47" s="321"/>
      <c r="X47" s="315"/>
    </row>
    <row r="48" spans="12:24" s="301" customFormat="1" ht="15" customHeight="1">
      <c r="L48" s="549"/>
      <c r="M48" s="549"/>
      <c r="N48" s="549"/>
      <c r="O48" s="549"/>
      <c r="P48" s="549"/>
      <c r="Q48" s="549"/>
      <c r="R48" s="549"/>
      <c r="S48" s="549"/>
      <c r="T48" s="321"/>
      <c r="X48" s="315"/>
    </row>
    <row r="49" spans="1:24" s="301" customFormat="1" ht="15" customHeight="1">
      <c r="L49" s="549"/>
      <c r="M49" s="549"/>
      <c r="N49" s="549"/>
      <c r="O49" s="549"/>
      <c r="P49" s="549"/>
      <c r="Q49" s="549"/>
      <c r="R49" s="549"/>
      <c r="S49" s="549"/>
      <c r="T49" s="321"/>
      <c r="X49" s="315"/>
    </row>
    <row r="50" spans="1:24" s="301" customFormat="1" ht="15" customHeight="1">
      <c r="L50" s="549"/>
      <c r="M50" s="549"/>
      <c r="N50" s="549"/>
      <c r="O50" s="549"/>
      <c r="P50" s="549"/>
      <c r="Q50" s="549"/>
      <c r="R50" s="549"/>
      <c r="S50" s="549"/>
      <c r="T50" s="321"/>
      <c r="X50" s="315"/>
    </row>
    <row r="51" spans="1:24" s="301" customFormat="1" ht="15" customHeight="1">
      <c r="L51" s="549"/>
      <c r="M51" s="549"/>
      <c r="N51" s="549"/>
      <c r="O51" s="549"/>
      <c r="P51" s="549"/>
      <c r="Q51" s="549"/>
      <c r="R51" s="549"/>
      <c r="S51" s="549"/>
      <c r="T51" s="321"/>
      <c r="X51" s="315"/>
    </row>
    <row r="52" spans="1:24" s="301" customFormat="1" ht="15" customHeight="1">
      <c r="L52" s="549"/>
      <c r="M52" s="549"/>
      <c r="N52" s="549"/>
      <c r="O52" s="549"/>
      <c r="P52" s="549"/>
      <c r="Q52" s="549"/>
      <c r="R52" s="549"/>
      <c r="S52" s="549"/>
      <c r="T52" s="321"/>
      <c r="X52" s="315"/>
    </row>
    <row r="53" spans="1:24" s="301" customFormat="1" ht="15" customHeight="1">
      <c r="L53" s="549"/>
      <c r="M53" s="549"/>
      <c r="N53" s="549"/>
      <c r="O53" s="549"/>
      <c r="P53" s="549"/>
      <c r="Q53" s="549"/>
      <c r="R53" s="549"/>
      <c r="S53" s="549"/>
      <c r="T53" s="321"/>
      <c r="X53" s="315"/>
    </row>
    <row r="54" spans="1:24" s="301" customFormat="1" ht="15" customHeight="1">
      <c r="L54" s="549"/>
      <c r="M54" s="549"/>
      <c r="N54" s="549"/>
      <c r="O54" s="549"/>
      <c r="P54" s="549"/>
      <c r="Q54" s="549"/>
      <c r="R54" s="549"/>
      <c r="S54" s="549"/>
      <c r="T54" s="321"/>
      <c r="X54" s="315"/>
    </row>
    <row r="55" spans="1:24" s="301" customFormat="1" ht="15" customHeight="1">
      <c r="L55" s="549"/>
      <c r="M55" s="549"/>
      <c r="N55" s="549"/>
      <c r="O55" s="549"/>
      <c r="P55" s="549"/>
      <c r="Q55" s="549"/>
      <c r="R55" s="549"/>
      <c r="S55" s="549"/>
      <c r="T55" s="321"/>
      <c r="X55" s="315"/>
    </row>
    <row r="56" spans="1:24" s="301" customFormat="1" ht="15" customHeight="1">
      <c r="L56" s="549"/>
      <c r="M56" s="549"/>
      <c r="N56" s="549"/>
      <c r="O56" s="549"/>
      <c r="P56" s="549"/>
      <c r="Q56" s="549"/>
      <c r="R56" s="549"/>
      <c r="S56" s="549"/>
      <c r="T56" s="321"/>
      <c r="X56" s="315"/>
    </row>
    <row r="57" spans="1:24" s="301" customFormat="1" ht="15" customHeight="1">
      <c r="L57" s="549"/>
      <c r="M57" s="549"/>
      <c r="N57" s="549"/>
      <c r="O57" s="549"/>
      <c r="P57" s="549"/>
      <c r="Q57" s="549"/>
      <c r="R57" s="549"/>
      <c r="S57" s="549"/>
      <c r="T57" s="321"/>
      <c r="X57" s="315"/>
    </row>
    <row r="58" spans="1:24" s="301" customFormat="1" ht="15" customHeight="1">
      <c r="L58" s="549"/>
      <c r="M58" s="549"/>
      <c r="N58" s="549"/>
      <c r="O58" s="549"/>
      <c r="P58" s="549"/>
      <c r="Q58" s="549"/>
      <c r="R58" s="549"/>
      <c r="S58" s="549"/>
      <c r="T58" s="321"/>
      <c r="X58" s="315"/>
    </row>
    <row r="59" spans="1:24" s="301" customFormat="1" ht="15" customHeight="1">
      <c r="L59" s="549"/>
      <c r="M59" s="549"/>
      <c r="N59" s="549"/>
      <c r="O59" s="549"/>
      <c r="P59" s="549"/>
      <c r="Q59" s="549"/>
      <c r="R59" s="549"/>
      <c r="S59" s="549"/>
      <c r="T59" s="321"/>
      <c r="X59" s="315"/>
    </row>
    <row r="60" spans="1:24" s="301" customFormat="1" ht="15" customHeight="1">
      <c r="A60" s="558"/>
      <c r="B60" s="558"/>
      <c r="C60" s="558"/>
      <c r="D60" s="558"/>
      <c r="E60" s="558"/>
      <c r="F60" s="558"/>
      <c r="G60" s="558"/>
      <c r="H60" s="558"/>
      <c r="I60" s="558"/>
      <c r="J60" s="558"/>
      <c r="K60" s="558"/>
      <c r="L60" s="558"/>
      <c r="M60" s="558"/>
      <c r="N60" s="558"/>
      <c r="O60" s="558"/>
      <c r="P60" s="558"/>
      <c r="Q60" s="558"/>
      <c r="R60" s="558"/>
      <c r="S60" s="558"/>
      <c r="T60" s="558"/>
      <c r="X60" s="315"/>
    </row>
  </sheetData>
  <sheetProtection selectLockedCells="1"/>
  <mergeCells count="11">
    <mergeCell ref="K24:T24"/>
    <mergeCell ref="K25:T25"/>
    <mergeCell ref="K26:S26"/>
    <mergeCell ref="B3:T3"/>
    <mergeCell ref="K7:T7"/>
    <mergeCell ref="K8:T8"/>
    <mergeCell ref="K9:T9"/>
    <mergeCell ref="K12:T12"/>
    <mergeCell ref="K13:T13"/>
    <mergeCell ref="K18:T18"/>
    <mergeCell ref="K19:T19"/>
  </mergeCells>
  <phoneticPr fontId="17"/>
  <printOptions horizontalCentered="1"/>
  <pageMargins left="0.70866141732283472" right="0.70866141732283472" top="0.74803149606299213" bottom="0.74803149606299213" header="0.31496062992125984" footer="0.31496062992125984"/>
  <pageSetup paperSize="9" scale="96" fitToHeight="0" orientation="portrait" r:id="rId1"/>
  <headerFooter>
    <oddFooter>&amp;L【通所介護_BMC】</oddFooter>
    <firstFooter>&amp;L【通所介護】BMC</firstFooter>
  </headerFooter>
  <rowBreaks count="1" manualBreakCount="1">
    <brk id="59"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DD0C7"/>
    <pageSetUpPr fitToPage="1"/>
  </sheetPr>
  <dimension ref="A1:X58"/>
  <sheetViews>
    <sheetView topLeftCell="A23" workbookViewId="0"/>
  </sheetViews>
  <sheetFormatPr defaultColWidth="9" defaultRowHeight="15" customHeight="1"/>
  <cols>
    <col min="1" max="1" width="4.625" style="299" customWidth="1"/>
    <col min="2" max="3" width="4.625" style="298" customWidth="1"/>
    <col min="4" max="20" width="4.625" style="299" customWidth="1"/>
    <col min="21" max="21" width="0" style="299" hidden="1" customWidth="1"/>
    <col min="22" max="23" width="4.625" style="299" customWidth="1"/>
    <col min="24" max="24" width="4.625" style="313" customWidth="1"/>
    <col min="25" max="42" width="4.625" style="299" customWidth="1"/>
    <col min="43" max="16384" width="9" style="299"/>
  </cols>
  <sheetData>
    <row r="1" spans="1:20" ht="15" customHeight="1">
      <c r="T1" s="312"/>
    </row>
    <row r="9" spans="1:20" ht="15" customHeight="1">
      <c r="A9" s="1255" t="s">
        <v>2057</v>
      </c>
      <c r="B9" s="1255"/>
      <c r="C9" s="1255"/>
      <c r="D9" s="1255"/>
      <c r="E9" s="1255"/>
      <c r="F9" s="1255"/>
      <c r="G9" s="1255"/>
      <c r="H9" s="1255"/>
      <c r="I9" s="1255"/>
      <c r="J9" s="1255"/>
      <c r="K9" s="1255"/>
      <c r="L9" s="1255"/>
      <c r="M9" s="1255"/>
      <c r="N9" s="1255"/>
      <c r="O9" s="1255"/>
      <c r="P9" s="1255"/>
      <c r="Q9" s="1255"/>
      <c r="R9" s="1255"/>
      <c r="S9" s="1255"/>
      <c r="T9" s="1255"/>
    </row>
    <row r="10" spans="1:20" ht="15" customHeight="1">
      <c r="A10" s="1255"/>
      <c r="B10" s="1255"/>
      <c r="C10" s="1255"/>
      <c r="D10" s="1255"/>
      <c r="E10" s="1255"/>
      <c r="F10" s="1255"/>
      <c r="G10" s="1255"/>
      <c r="H10" s="1255"/>
      <c r="I10" s="1255"/>
      <c r="J10" s="1255"/>
      <c r="K10" s="1255"/>
      <c r="L10" s="1255"/>
      <c r="M10" s="1255"/>
      <c r="N10" s="1255"/>
      <c r="O10" s="1255"/>
      <c r="P10" s="1255"/>
      <c r="Q10" s="1255"/>
      <c r="R10" s="1255"/>
      <c r="S10" s="1255"/>
      <c r="T10" s="1255"/>
    </row>
    <row r="11" spans="1:20" ht="15" customHeight="1">
      <c r="A11" s="1255"/>
      <c r="B11" s="1255"/>
      <c r="C11" s="1255"/>
      <c r="D11" s="1255"/>
      <c r="E11" s="1255"/>
      <c r="F11" s="1255"/>
      <c r="G11" s="1255"/>
      <c r="H11" s="1255"/>
      <c r="I11" s="1255"/>
      <c r="J11" s="1255"/>
      <c r="K11" s="1255"/>
      <c r="L11" s="1255"/>
      <c r="M11" s="1255"/>
      <c r="N11" s="1255"/>
      <c r="O11" s="1255"/>
      <c r="P11" s="1255"/>
      <c r="Q11" s="1255"/>
      <c r="R11" s="1255"/>
      <c r="S11" s="1255"/>
      <c r="T11" s="1255"/>
    </row>
    <row r="12" spans="1:20" ht="15" customHeight="1">
      <c r="A12" s="1272" t="s">
        <v>297</v>
      </c>
      <c r="B12" s="1272"/>
      <c r="C12" s="1272"/>
      <c r="D12" s="1272"/>
      <c r="E12" s="1272"/>
      <c r="F12" s="1272"/>
      <c r="G12" s="1272"/>
      <c r="H12" s="1272"/>
      <c r="I12" s="1272"/>
      <c r="J12" s="1272"/>
      <c r="K12" s="1272"/>
      <c r="L12" s="1272"/>
      <c r="M12" s="1272"/>
      <c r="N12" s="1272"/>
      <c r="O12" s="1272"/>
      <c r="P12" s="1272"/>
      <c r="Q12" s="1272"/>
      <c r="R12" s="1272"/>
      <c r="S12" s="1272"/>
      <c r="T12" s="1272"/>
    </row>
    <row r="13" spans="1:20" ht="15" customHeight="1">
      <c r="A13" s="1272"/>
      <c r="B13" s="1272"/>
      <c r="C13" s="1272"/>
      <c r="D13" s="1272"/>
      <c r="E13" s="1272"/>
      <c r="F13" s="1272"/>
      <c r="G13" s="1272"/>
      <c r="H13" s="1272"/>
      <c r="I13" s="1272"/>
      <c r="J13" s="1272"/>
      <c r="K13" s="1272"/>
      <c r="L13" s="1272"/>
      <c r="M13" s="1272"/>
      <c r="N13" s="1272"/>
      <c r="O13" s="1272"/>
      <c r="P13" s="1272"/>
      <c r="Q13" s="1272"/>
      <c r="R13" s="1272"/>
      <c r="S13" s="1272"/>
      <c r="T13" s="1272"/>
    </row>
    <row r="14" spans="1:20" ht="15" customHeight="1">
      <c r="A14" s="1272"/>
      <c r="B14" s="1272"/>
      <c r="C14" s="1272"/>
      <c r="D14" s="1272"/>
      <c r="E14" s="1272"/>
      <c r="F14" s="1272"/>
      <c r="G14" s="1272"/>
      <c r="H14" s="1272"/>
      <c r="I14" s="1272"/>
      <c r="J14" s="1272"/>
      <c r="K14" s="1272"/>
      <c r="L14" s="1272"/>
      <c r="M14" s="1272"/>
      <c r="N14" s="1272"/>
      <c r="O14" s="1272"/>
      <c r="P14" s="1272"/>
      <c r="Q14" s="1272"/>
      <c r="R14" s="1272"/>
      <c r="S14" s="1272"/>
      <c r="T14" s="1272"/>
    </row>
    <row r="20" spans="1:20" ht="15" customHeight="1">
      <c r="B20" s="1256" t="str">
        <f>【マスター】!C7</f>
        <v>デイサービスさつきの湯</v>
      </c>
      <c r="C20" s="1256"/>
      <c r="D20" s="1256"/>
      <c r="E20" s="1256"/>
      <c r="F20" s="1256"/>
      <c r="G20" s="1256"/>
      <c r="H20" s="1256"/>
      <c r="I20" s="1256"/>
      <c r="J20" s="1256"/>
      <c r="K20" s="1256"/>
      <c r="L20" s="1256"/>
      <c r="M20" s="1256"/>
      <c r="N20" s="1256"/>
      <c r="O20" s="1256"/>
      <c r="P20" s="1256"/>
      <c r="Q20" s="1256"/>
      <c r="R20" s="1256"/>
      <c r="S20" s="1256"/>
      <c r="T20" s="314"/>
    </row>
    <row r="21" spans="1:20" ht="15" customHeight="1">
      <c r="A21" s="314"/>
      <c r="B21" s="1256"/>
      <c r="C21" s="1256"/>
      <c r="D21" s="1256"/>
      <c r="E21" s="1256"/>
      <c r="F21" s="1256"/>
      <c r="G21" s="1256"/>
      <c r="H21" s="1256"/>
      <c r="I21" s="1256"/>
      <c r="J21" s="1256"/>
      <c r="K21" s="1256"/>
      <c r="L21" s="1256"/>
      <c r="M21" s="1256"/>
      <c r="N21" s="1256"/>
      <c r="O21" s="1256"/>
      <c r="P21" s="1256"/>
      <c r="Q21" s="1256"/>
      <c r="R21" s="1256"/>
      <c r="S21" s="1256"/>
      <c r="T21" s="314"/>
    </row>
    <row r="22" spans="1:20" ht="15" customHeight="1">
      <c r="A22" s="314"/>
      <c r="B22" s="1256"/>
      <c r="C22" s="1256"/>
      <c r="D22" s="1256"/>
      <c r="E22" s="1256"/>
      <c r="F22" s="1256"/>
      <c r="G22" s="1256"/>
      <c r="H22" s="1256"/>
      <c r="I22" s="1256"/>
      <c r="J22" s="1256"/>
      <c r="K22" s="1256"/>
      <c r="L22" s="1256"/>
      <c r="M22" s="1256"/>
      <c r="N22" s="1256"/>
      <c r="O22" s="1256"/>
      <c r="P22" s="1256"/>
      <c r="Q22" s="1256"/>
      <c r="R22" s="1256"/>
      <c r="S22" s="1256"/>
      <c r="T22" s="314"/>
    </row>
    <row r="53" spans="1:24" ht="15" customHeight="1">
      <c r="A53" s="1257" t="str">
        <f>【マスター】!C21</f>
        <v>株式会社ケアサポート</v>
      </c>
      <c r="B53" s="1257"/>
      <c r="C53" s="1257"/>
      <c r="D53" s="1257"/>
      <c r="E53" s="1257"/>
      <c r="F53" s="1257"/>
      <c r="G53" s="1257"/>
      <c r="H53" s="1257"/>
      <c r="I53" s="1257"/>
      <c r="J53" s="1257"/>
      <c r="K53" s="1257"/>
      <c r="L53" s="1257"/>
      <c r="M53" s="1257"/>
      <c r="N53" s="1257"/>
      <c r="O53" s="1257"/>
      <c r="P53" s="1257"/>
      <c r="Q53" s="1257"/>
      <c r="R53" s="1257"/>
      <c r="S53" s="1257"/>
      <c r="T53" s="1257"/>
    </row>
    <row r="55" spans="1:24" s="301" customFormat="1" ht="15" customHeight="1">
      <c r="B55" s="300"/>
      <c r="C55" s="300"/>
      <c r="X55" s="315"/>
    </row>
    <row r="56" spans="1:24" s="301" customFormat="1" ht="15" customHeight="1">
      <c r="B56" s="300"/>
      <c r="C56" s="300"/>
      <c r="X56" s="315"/>
    </row>
    <row r="57" spans="1:24" s="301" customFormat="1" ht="15" customHeight="1">
      <c r="B57" s="300"/>
      <c r="C57" s="300"/>
      <c r="X57" s="315"/>
    </row>
    <row r="58" spans="1:24" ht="15" customHeight="1">
      <c r="A58" s="301"/>
      <c r="B58" s="300"/>
      <c r="C58" s="300"/>
      <c r="D58" s="301"/>
      <c r="E58" s="301"/>
      <c r="F58" s="301"/>
      <c r="G58" s="301"/>
      <c r="H58" s="301"/>
      <c r="I58" s="301"/>
      <c r="J58" s="301"/>
      <c r="K58" s="301"/>
      <c r="L58" s="301"/>
      <c r="M58" s="301"/>
      <c r="N58" s="301"/>
      <c r="O58" s="301"/>
      <c r="P58" s="301"/>
      <c r="Q58" s="301"/>
      <c r="R58" s="301"/>
      <c r="S58" s="301"/>
      <c r="T58" s="301"/>
    </row>
  </sheetData>
  <sheetProtection selectLockedCells="1"/>
  <mergeCells count="4">
    <mergeCell ref="A9:T11"/>
    <mergeCell ref="A12:T14"/>
    <mergeCell ref="B20:S22"/>
    <mergeCell ref="A53:T53"/>
  </mergeCells>
  <phoneticPr fontId="17"/>
  <printOptions horizontalCentered="1"/>
  <pageMargins left="0.70866141732283472" right="0.70866141732283472" top="0.74803149606299213" bottom="0.74803149606299213" header="0.31496062992125984" footer="0.31496062992125984"/>
  <pageSetup paperSize="9" scale="95" fitToHeight="0" orientation="portrait" r:id="rId1"/>
  <headerFooter differentFirst="1" scaleWithDoc="0">
    <oddFooter>&amp;L【通所介護_BMC】&amp;C&amp;P</oddFooter>
    <firstFooter>&amp;L【通所介護】BMC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pageSetUpPr fitToPage="1"/>
  </sheetPr>
  <dimension ref="A1:AO277"/>
  <sheetViews>
    <sheetView view="pageBreakPreview" zoomScale="97" zoomScaleNormal="100" zoomScaleSheetLayoutView="97" workbookViewId="0">
      <selection sqref="A1:T2"/>
    </sheetView>
  </sheetViews>
  <sheetFormatPr defaultColWidth="9" defaultRowHeight="15" customHeight="1"/>
  <cols>
    <col min="1" max="1" width="4.625" style="1041" customWidth="1"/>
    <col min="2" max="3" width="4.625" style="1050" customWidth="1"/>
    <col min="4" max="20" width="4.625" style="1041" customWidth="1"/>
    <col min="21" max="21" width="0" style="1003" hidden="1" customWidth="1"/>
    <col min="22" max="23" width="4.625" style="1003" customWidth="1"/>
    <col min="24" max="24" width="4.625" style="1004" customWidth="1"/>
    <col min="25" max="42" width="4.625" style="1003" customWidth="1"/>
    <col min="43" max="16384" width="9" style="1003"/>
  </cols>
  <sheetData>
    <row r="1" spans="1:24" ht="15" customHeight="1">
      <c r="A1" s="1416" t="s">
        <v>298</v>
      </c>
      <c r="B1" s="1416"/>
      <c r="C1" s="1416"/>
      <c r="D1" s="1416"/>
      <c r="E1" s="1416"/>
      <c r="F1" s="1416"/>
      <c r="G1" s="1416"/>
      <c r="H1" s="1416"/>
      <c r="I1" s="1416"/>
      <c r="J1" s="1416"/>
      <c r="K1" s="1416"/>
      <c r="L1" s="1416"/>
      <c r="M1" s="1416"/>
      <c r="N1" s="1416"/>
      <c r="O1" s="1416"/>
      <c r="P1" s="1416"/>
      <c r="Q1" s="1416"/>
      <c r="R1" s="1416"/>
      <c r="S1" s="1416"/>
      <c r="T1" s="1416"/>
    </row>
    <row r="2" spans="1:24" ht="15" customHeight="1">
      <c r="A2" s="1416"/>
      <c r="B2" s="1416"/>
      <c r="C2" s="1416"/>
      <c r="D2" s="1416"/>
      <c r="E2" s="1416"/>
      <c r="F2" s="1416"/>
      <c r="G2" s="1416"/>
      <c r="H2" s="1416"/>
      <c r="I2" s="1416"/>
      <c r="J2" s="1416"/>
      <c r="K2" s="1416"/>
      <c r="L2" s="1416"/>
      <c r="M2" s="1416"/>
      <c r="N2" s="1416"/>
      <c r="O2" s="1416"/>
      <c r="P2" s="1416"/>
      <c r="Q2" s="1416"/>
      <c r="R2" s="1416"/>
      <c r="S2" s="1416"/>
      <c r="T2" s="1416"/>
    </row>
    <row r="3" spans="1:24" s="5" customFormat="1" ht="15" customHeight="1">
      <c r="A3" s="1417" t="str">
        <f>DBCS("＜　"&amp;【マスター】!C4&amp;" "&amp;【マスター】!D4&amp;【マスター】!E4&amp;" "&amp;【マスター】!F4&amp;【マスター】!G4&amp;" "&amp;【マスター】!H4&amp;【マスター】!I4&amp;" ＞")</f>
        <v>＜　令和　６年　６月　１日現在　＞</v>
      </c>
      <c r="B3" s="1417"/>
      <c r="C3" s="1417"/>
      <c r="D3" s="1417"/>
      <c r="E3" s="1417"/>
      <c r="F3" s="1417"/>
      <c r="G3" s="1417"/>
      <c r="H3" s="1417"/>
      <c r="I3" s="1417"/>
      <c r="J3" s="1417"/>
      <c r="K3" s="1417"/>
      <c r="L3" s="1417"/>
      <c r="M3" s="1417"/>
      <c r="N3" s="1417"/>
      <c r="O3" s="1417"/>
      <c r="P3" s="1417"/>
      <c r="Q3" s="1417"/>
      <c r="R3" s="1417"/>
      <c r="S3" s="1417"/>
      <c r="T3" s="1417"/>
      <c r="X3" s="494"/>
    </row>
    <row r="4" spans="1:24" s="5" customFormat="1" ht="15" customHeight="1">
      <c r="A4" s="1020"/>
      <c r="B4" s="1011"/>
      <c r="C4" s="1011"/>
      <c r="D4" s="1011"/>
      <c r="E4" s="1011"/>
      <c r="F4" s="1011"/>
      <c r="G4" s="1011"/>
      <c r="H4" s="1011"/>
      <c r="I4" s="1011"/>
      <c r="J4" s="1011"/>
      <c r="K4" s="1011"/>
      <c r="L4" s="1011"/>
      <c r="M4" s="1011"/>
      <c r="N4" s="1011"/>
      <c r="O4" s="1011"/>
      <c r="P4" s="1011"/>
      <c r="Q4" s="1011"/>
      <c r="R4" s="1011"/>
      <c r="S4" s="1011"/>
      <c r="T4" s="1011"/>
      <c r="X4" s="494"/>
    </row>
    <row r="5" spans="1:24" s="5" customFormat="1" ht="15" customHeight="1">
      <c r="A5" s="1020" t="s">
        <v>299</v>
      </c>
      <c r="B5" s="1012"/>
      <c r="C5" s="1012"/>
      <c r="D5" s="1020"/>
      <c r="E5" s="1020"/>
      <c r="F5" s="1020"/>
      <c r="G5" s="1020"/>
      <c r="H5" s="1020"/>
      <c r="I5" s="1020"/>
      <c r="J5" s="1020"/>
      <c r="K5" s="1020"/>
      <c r="L5" s="1020"/>
      <c r="M5" s="1020"/>
      <c r="N5" s="1020"/>
      <c r="O5" s="1020"/>
      <c r="P5" s="1020"/>
      <c r="Q5" s="1020"/>
      <c r="R5" s="1020"/>
      <c r="S5" s="1020"/>
      <c r="T5" s="1020"/>
      <c r="X5" s="494"/>
    </row>
    <row r="6" spans="1:24" s="5" customFormat="1" ht="15" customHeight="1">
      <c r="A6" s="1021"/>
      <c r="B6" s="1372" t="s">
        <v>300</v>
      </c>
      <c r="C6" s="1372"/>
      <c r="D6" s="1372"/>
      <c r="E6" s="1372"/>
      <c r="F6" s="1372"/>
      <c r="G6" s="1022"/>
      <c r="H6" s="1418" t="str">
        <f>【マスター】!C21</f>
        <v>株式会社ケアサポート</v>
      </c>
      <c r="I6" s="1419"/>
      <c r="J6" s="1419"/>
      <c r="K6" s="1419"/>
      <c r="L6" s="1419"/>
      <c r="M6" s="1419"/>
      <c r="N6" s="1419"/>
      <c r="O6" s="1419"/>
      <c r="P6" s="1419"/>
      <c r="Q6" s="1313" t="s">
        <v>301</v>
      </c>
      <c r="R6" s="1313"/>
      <c r="S6" s="1313"/>
      <c r="T6" s="1314"/>
      <c r="X6" s="494"/>
    </row>
    <row r="7" spans="1:24" s="5" customFormat="1" ht="15" customHeight="1">
      <c r="A7" s="1021"/>
      <c r="B7" s="1372" t="s">
        <v>302</v>
      </c>
      <c r="C7" s="1372"/>
      <c r="D7" s="1372"/>
      <c r="E7" s="1372"/>
      <c r="F7" s="1372"/>
      <c r="G7" s="1023"/>
      <c r="H7" s="1420" t="str">
        <f>""&amp;【マスター】!C25&amp;"  "&amp;【マスター】!I25&amp;""</f>
        <v>代表取締役  本多康夫</v>
      </c>
      <c r="I7" s="1421"/>
      <c r="J7" s="1421"/>
      <c r="K7" s="1421"/>
      <c r="L7" s="1421"/>
      <c r="M7" s="1421"/>
      <c r="N7" s="1421"/>
      <c r="O7" s="1421"/>
      <c r="P7" s="1421"/>
      <c r="Q7" s="1421"/>
      <c r="R7" s="1421"/>
      <c r="S7" s="1421"/>
      <c r="T7" s="1422"/>
      <c r="X7" s="494"/>
    </row>
    <row r="8" spans="1:24" s="5" customFormat="1" ht="15" customHeight="1">
      <c r="A8" s="1024"/>
      <c r="B8" s="1423" t="s">
        <v>303</v>
      </c>
      <c r="C8" s="1423"/>
      <c r="D8" s="1423"/>
      <c r="E8" s="1423"/>
      <c r="F8" s="1423"/>
      <c r="G8" s="1025"/>
      <c r="H8" s="1390" t="s">
        <v>304</v>
      </c>
      <c r="I8" s="1391"/>
      <c r="J8" s="1391"/>
      <c r="K8" s="1426" t="str">
        <f>DBCS(【マスター】!F22&amp;" "&amp;【マスター】!C23)</f>
        <v>愛知県豊川市大堀町２９３番地　</v>
      </c>
      <c r="L8" s="1426"/>
      <c r="M8" s="1426"/>
      <c r="N8" s="1426"/>
      <c r="O8" s="1426"/>
      <c r="P8" s="1426"/>
      <c r="Q8" s="1426"/>
      <c r="R8" s="1426"/>
      <c r="S8" s="1426"/>
      <c r="T8" s="1427"/>
      <c r="X8" s="494"/>
    </row>
    <row r="9" spans="1:24" s="5" customFormat="1" ht="15" customHeight="1">
      <c r="A9" s="1026"/>
      <c r="B9" s="1424"/>
      <c r="C9" s="1424"/>
      <c r="D9" s="1424"/>
      <c r="E9" s="1424"/>
      <c r="F9" s="1424"/>
      <c r="G9" s="1027"/>
      <c r="H9" s="1428" t="s">
        <v>305</v>
      </c>
      <c r="I9" s="1417"/>
      <c r="J9" s="1417"/>
      <c r="K9" s="1318" t="str">
        <f>DBCS(【マスター】!C24)</f>
        <v>０５３３－６５－８７０２</v>
      </c>
      <c r="L9" s="1318"/>
      <c r="M9" s="1318"/>
      <c r="N9" s="1318"/>
      <c r="O9" s="1318"/>
      <c r="P9" s="1318"/>
      <c r="Q9" s="1318"/>
      <c r="R9" s="1318"/>
      <c r="S9" s="1318"/>
      <c r="T9" s="1330"/>
      <c r="X9" s="494"/>
    </row>
    <row r="10" spans="1:24" s="5" customFormat="1" ht="15" customHeight="1">
      <c r="A10" s="1029"/>
      <c r="B10" s="1425"/>
      <c r="C10" s="1425"/>
      <c r="D10" s="1425"/>
      <c r="E10" s="1425"/>
      <c r="F10" s="1425"/>
      <c r="G10" s="1030"/>
      <c r="H10" s="1429" t="s">
        <v>306</v>
      </c>
      <c r="I10" s="1430"/>
      <c r="J10" s="1430"/>
      <c r="K10" s="1331" t="str">
        <f>DBCS(【マスター】!I24)</f>
        <v>０５３３－６５－８７０３</v>
      </c>
      <c r="L10" s="1331"/>
      <c r="M10" s="1331"/>
      <c r="N10" s="1331"/>
      <c r="O10" s="1331"/>
      <c r="P10" s="1331"/>
      <c r="Q10" s="1331"/>
      <c r="R10" s="1331"/>
      <c r="S10" s="1331"/>
      <c r="T10" s="1332"/>
      <c r="X10" s="494"/>
    </row>
    <row r="11" spans="1:24" s="5" customFormat="1" ht="15" customHeight="1">
      <c r="A11" s="1020"/>
      <c r="B11" s="1020"/>
      <c r="C11" s="1020"/>
      <c r="D11" s="1020"/>
      <c r="E11" s="1020"/>
      <c r="F11" s="1020"/>
      <c r="G11" s="1011"/>
      <c r="H11" s="1020"/>
      <c r="I11" s="1020"/>
      <c r="J11" s="1020"/>
      <c r="K11" s="1020"/>
      <c r="L11" s="1020"/>
      <c r="M11" s="1020"/>
      <c r="N11" s="1020"/>
      <c r="O11" s="1020"/>
      <c r="P11" s="1020"/>
      <c r="Q11" s="1020"/>
      <c r="R11" s="1020"/>
      <c r="S11" s="1020"/>
      <c r="T11" s="1020"/>
      <c r="X11" s="494"/>
    </row>
    <row r="12" spans="1:24" s="5" customFormat="1" ht="15" customHeight="1">
      <c r="A12" s="1020" t="s">
        <v>307</v>
      </c>
      <c r="B12" s="1012"/>
      <c r="C12" s="1011"/>
      <c r="D12" s="1011"/>
      <c r="E12" s="1011"/>
      <c r="F12" s="1011"/>
      <c r="G12" s="1011"/>
      <c r="H12" s="1020"/>
      <c r="I12" s="1020"/>
      <c r="J12" s="1020"/>
      <c r="K12" s="1020"/>
      <c r="L12" s="1020"/>
      <c r="M12" s="1020"/>
      <c r="N12" s="1020"/>
      <c r="O12" s="1020"/>
      <c r="P12" s="1020"/>
      <c r="Q12" s="1020"/>
      <c r="R12" s="1020"/>
      <c r="S12" s="1020"/>
      <c r="T12" s="1020"/>
      <c r="X12" s="494"/>
    </row>
    <row r="13" spans="1:24" s="5" customFormat="1" ht="15" customHeight="1">
      <c r="A13" s="1012" t="s">
        <v>308</v>
      </c>
      <c r="B13" s="1020"/>
      <c r="C13" s="1012" t="s">
        <v>309</v>
      </c>
      <c r="D13" s="1020"/>
      <c r="E13" s="1020"/>
      <c r="F13" s="1020"/>
      <c r="G13" s="1020"/>
      <c r="H13" s="1020"/>
      <c r="I13" s="1020"/>
      <c r="J13" s="1020"/>
      <c r="K13" s="1020"/>
      <c r="L13" s="1020"/>
      <c r="M13" s="1020"/>
      <c r="N13" s="1020"/>
      <c r="O13" s="1020"/>
      <c r="P13" s="1020"/>
      <c r="Q13" s="1020"/>
      <c r="R13" s="1020"/>
      <c r="S13" s="1020"/>
      <c r="T13" s="1020"/>
      <c r="X13" s="494"/>
    </row>
    <row r="14" spans="1:24" s="5" customFormat="1" ht="15" customHeight="1">
      <c r="A14" s="1021"/>
      <c r="B14" s="1372" t="s">
        <v>78</v>
      </c>
      <c r="C14" s="1372"/>
      <c r="D14" s="1372"/>
      <c r="E14" s="1372"/>
      <c r="F14" s="1372"/>
      <c r="G14" s="1022"/>
      <c r="H14" s="1431" t="str">
        <f>【マスター】!C7</f>
        <v>デイサービスさつきの湯</v>
      </c>
      <c r="I14" s="1431"/>
      <c r="J14" s="1431"/>
      <c r="K14" s="1431"/>
      <c r="L14" s="1431"/>
      <c r="M14" s="1431"/>
      <c r="N14" s="1431"/>
      <c r="O14" s="1431"/>
      <c r="P14" s="1431"/>
      <c r="Q14" s="1431"/>
      <c r="R14" s="1431"/>
      <c r="S14" s="1431"/>
      <c r="T14" s="1431"/>
      <c r="X14" s="494"/>
    </row>
    <row r="15" spans="1:24" s="5" customFormat="1" ht="15" customHeight="1">
      <c r="A15" s="1024"/>
      <c r="B15" s="1423" t="s">
        <v>303</v>
      </c>
      <c r="C15" s="1423"/>
      <c r="D15" s="1423"/>
      <c r="E15" s="1423"/>
      <c r="F15" s="1423"/>
      <c r="G15" s="1025"/>
      <c r="H15" s="1390" t="s">
        <v>304</v>
      </c>
      <c r="I15" s="1391"/>
      <c r="J15" s="1391"/>
      <c r="K15" s="1426" t="str">
        <f>DBCS(【マスター】!F8)</f>
        <v>愛知県豊川市八幡町本郷１４番地１</v>
      </c>
      <c r="L15" s="1426"/>
      <c r="M15" s="1426"/>
      <c r="N15" s="1426"/>
      <c r="O15" s="1426"/>
      <c r="P15" s="1426"/>
      <c r="Q15" s="1426"/>
      <c r="R15" s="1426"/>
      <c r="S15" s="1426"/>
      <c r="T15" s="1427"/>
      <c r="X15" s="494"/>
    </row>
    <row r="16" spans="1:24" s="5" customFormat="1" ht="15" customHeight="1">
      <c r="A16" s="1026"/>
      <c r="B16" s="1424"/>
      <c r="C16" s="1424"/>
      <c r="D16" s="1424"/>
      <c r="E16" s="1424"/>
      <c r="F16" s="1424"/>
      <c r="G16" s="1027"/>
      <c r="H16" s="1428" t="s">
        <v>305</v>
      </c>
      <c r="I16" s="1417"/>
      <c r="J16" s="1417"/>
      <c r="K16" s="1318" t="str">
        <f>DBCS(【マスター】!C9)</f>
        <v>０５３３－５６－７０８７</v>
      </c>
      <c r="L16" s="1318"/>
      <c r="M16" s="1318"/>
      <c r="N16" s="1318"/>
      <c r="O16" s="1318"/>
      <c r="P16" s="1318"/>
      <c r="Q16" s="1318"/>
      <c r="R16" s="1318"/>
      <c r="S16" s="1318"/>
      <c r="T16" s="1330"/>
      <c r="X16" s="494"/>
    </row>
    <row r="17" spans="1:24" s="5" customFormat="1" ht="15" customHeight="1">
      <c r="A17" s="1026"/>
      <c r="B17" s="1424"/>
      <c r="C17" s="1424"/>
      <c r="D17" s="1424"/>
      <c r="E17" s="1424"/>
      <c r="F17" s="1424"/>
      <c r="G17" s="1027"/>
      <c r="H17" s="1429" t="s">
        <v>306</v>
      </c>
      <c r="I17" s="1430"/>
      <c r="J17" s="1430"/>
      <c r="K17" s="1331" t="str">
        <f>DBCS(【マスター】!I9)</f>
        <v>０５３３－５６－７０８８</v>
      </c>
      <c r="L17" s="1331"/>
      <c r="M17" s="1331"/>
      <c r="N17" s="1331"/>
      <c r="O17" s="1331"/>
      <c r="P17" s="1331"/>
      <c r="Q17" s="1331"/>
      <c r="R17" s="1331"/>
      <c r="S17" s="1331"/>
      <c r="T17" s="1332"/>
      <c r="X17" s="494"/>
    </row>
    <row r="18" spans="1:24" s="5" customFormat="1" ht="15" customHeight="1">
      <c r="A18" s="1021"/>
      <c r="B18" s="1372" t="s">
        <v>89</v>
      </c>
      <c r="C18" s="1372"/>
      <c r="D18" s="1372"/>
      <c r="E18" s="1372"/>
      <c r="F18" s="1372"/>
      <c r="G18" s="1023"/>
      <c r="H18" s="1432" t="str">
        <f>DBCS(【マスター】!C10&amp;【マスター】!D10&amp;【マスター】!E10&amp;【マスター】!F10&amp;【マスター】!G10&amp;【マスター】!H10&amp;【マスター】!I10&amp;【マスター】!J10&amp;【マスター】!K10&amp;【マスター】!L10)</f>
        <v>２３７２６０２８６８</v>
      </c>
      <c r="I18" s="1432"/>
      <c r="J18" s="1432"/>
      <c r="K18" s="1432"/>
      <c r="L18" s="1432"/>
      <c r="M18" s="1432"/>
      <c r="N18" s="1432"/>
      <c r="O18" s="1432"/>
      <c r="P18" s="1432"/>
      <c r="Q18" s="1432"/>
      <c r="R18" s="1432"/>
      <c r="S18" s="1432"/>
      <c r="T18" s="1432"/>
      <c r="X18" s="494"/>
    </row>
    <row r="19" spans="1:24" s="5" customFormat="1" ht="15" customHeight="1">
      <c r="A19" s="1021"/>
      <c r="B19" s="1372" t="s">
        <v>310</v>
      </c>
      <c r="C19" s="1372"/>
      <c r="D19" s="1372"/>
      <c r="E19" s="1372"/>
      <c r="F19" s="1372"/>
      <c r="G19" s="1023"/>
      <c r="H19" s="1432" t="str">
        <f>【マスター】!C20</f>
        <v>繁原　秀章</v>
      </c>
      <c r="I19" s="1432"/>
      <c r="J19" s="1432"/>
      <c r="K19" s="1432"/>
      <c r="L19" s="1432"/>
      <c r="M19" s="1432"/>
      <c r="N19" s="1432"/>
      <c r="O19" s="1432"/>
      <c r="P19" s="1432"/>
      <c r="Q19" s="1432"/>
      <c r="R19" s="1432"/>
      <c r="S19" s="1432"/>
      <c r="T19" s="1432"/>
      <c r="X19" s="494"/>
    </row>
    <row r="20" spans="1:24" s="5" customFormat="1" ht="15" customHeight="1">
      <c r="A20" s="1021"/>
      <c r="B20" s="1372" t="s">
        <v>311</v>
      </c>
      <c r="C20" s="1372"/>
      <c r="D20" s="1372"/>
      <c r="E20" s="1372"/>
      <c r="F20" s="1372"/>
      <c r="G20" s="1023"/>
      <c r="H20" s="1404" t="s">
        <v>312</v>
      </c>
      <c r="I20" s="1405"/>
      <c r="J20" s="1405"/>
      <c r="K20" s="1405"/>
      <c r="L20" s="1405"/>
      <c r="M20" s="1405"/>
      <c r="N20" s="1405"/>
      <c r="O20" s="1405"/>
      <c r="P20" s="1381" t="str">
        <f>DBCS(【マスター】!C17)</f>
        <v>２０</v>
      </c>
      <c r="Q20" s="1381"/>
      <c r="R20" s="1381" t="s">
        <v>313</v>
      </c>
      <c r="S20" s="1381"/>
      <c r="T20" s="1031"/>
      <c r="X20" s="494"/>
    </row>
    <row r="21" spans="1:24" s="5" customFormat="1" ht="15" customHeight="1">
      <c r="A21" s="1012" t="s">
        <v>314</v>
      </c>
      <c r="B21" s="1020"/>
      <c r="C21" s="1012" t="s">
        <v>315</v>
      </c>
      <c r="D21" s="1020"/>
      <c r="E21" s="1020"/>
      <c r="F21" s="1020"/>
      <c r="G21" s="1020"/>
      <c r="H21" s="1020"/>
      <c r="I21" s="1020"/>
      <c r="J21" s="1020"/>
      <c r="K21" s="1020"/>
      <c r="L21" s="1020"/>
      <c r="M21" s="1020"/>
      <c r="N21" s="1020"/>
      <c r="O21" s="1020"/>
      <c r="P21" s="1020"/>
      <c r="Q21" s="1020"/>
      <c r="R21" s="1020"/>
      <c r="S21" s="1020"/>
      <c r="T21" s="1020"/>
      <c r="X21" s="494"/>
    </row>
    <row r="22" spans="1:24" s="5" customFormat="1" ht="15" customHeight="1">
      <c r="A22" s="1302" t="s">
        <v>145</v>
      </c>
      <c r="B22" s="1302"/>
      <c r="C22" s="1302"/>
      <c r="D22" s="1302"/>
      <c r="E22" s="1302"/>
      <c r="F22" s="1409" t="s">
        <v>146</v>
      </c>
      <c r="G22" s="1410"/>
      <c r="H22" s="1302" t="s">
        <v>316</v>
      </c>
      <c r="I22" s="1302"/>
      <c r="J22" s="1302"/>
      <c r="K22" s="1302"/>
      <c r="L22" s="1302"/>
      <c r="M22" s="1302"/>
      <c r="N22" s="1302"/>
      <c r="O22" s="1302"/>
      <c r="P22" s="1409" t="s">
        <v>317</v>
      </c>
      <c r="Q22" s="1410"/>
      <c r="R22" s="1410"/>
      <c r="S22" s="1410"/>
      <c r="T22" s="1413"/>
      <c r="X22" s="494"/>
    </row>
    <row r="23" spans="1:24" s="5" customFormat="1" ht="15" customHeight="1">
      <c r="A23" s="1302"/>
      <c r="B23" s="1302"/>
      <c r="C23" s="1302"/>
      <c r="D23" s="1302"/>
      <c r="E23" s="1302"/>
      <c r="F23" s="1411"/>
      <c r="G23" s="1412"/>
      <c r="H23" s="1403" t="s">
        <v>318</v>
      </c>
      <c r="I23" s="1403"/>
      <c r="J23" s="1403" t="s">
        <v>319</v>
      </c>
      <c r="K23" s="1403"/>
      <c r="L23" s="1403" t="s">
        <v>320</v>
      </c>
      <c r="M23" s="1403"/>
      <c r="N23" s="1403" t="s">
        <v>321</v>
      </c>
      <c r="O23" s="1403"/>
      <c r="P23" s="1411"/>
      <c r="Q23" s="1412"/>
      <c r="R23" s="1412"/>
      <c r="S23" s="1412"/>
      <c r="T23" s="1414"/>
      <c r="X23" s="494"/>
    </row>
    <row r="24" spans="1:24" s="5" customFormat="1" ht="15" customHeight="1">
      <c r="A24" s="1302"/>
      <c r="B24" s="1302"/>
      <c r="C24" s="1302"/>
      <c r="D24" s="1302"/>
      <c r="E24" s="1302"/>
      <c r="F24" s="1406" t="s">
        <v>148</v>
      </c>
      <c r="G24" s="1407"/>
      <c r="H24" s="1406" t="s">
        <v>148</v>
      </c>
      <c r="I24" s="1407"/>
      <c r="J24" s="1406" t="s">
        <v>148</v>
      </c>
      <c r="K24" s="1407"/>
      <c r="L24" s="1406" t="s">
        <v>148</v>
      </c>
      <c r="M24" s="1407"/>
      <c r="N24" s="1406" t="s">
        <v>148</v>
      </c>
      <c r="O24" s="1407"/>
      <c r="P24" s="1406"/>
      <c r="Q24" s="1415"/>
      <c r="R24" s="1415"/>
      <c r="S24" s="1415"/>
      <c r="T24" s="1407"/>
      <c r="X24" s="494"/>
    </row>
    <row r="25" spans="1:24" s="5" customFormat="1" ht="15" customHeight="1">
      <c r="A25" s="1376" t="s">
        <v>322</v>
      </c>
      <c r="B25" s="1376"/>
      <c r="C25" s="1376"/>
      <c r="D25" s="1376"/>
      <c r="E25" s="1376"/>
      <c r="F25" s="1402" t="str">
        <f>DBCS(【マスター】!C31)</f>
        <v>０</v>
      </c>
      <c r="G25" s="1402"/>
      <c r="H25" s="1402" t="str">
        <f>DBCS(【マスター】!D31)</f>
        <v/>
      </c>
      <c r="I25" s="1402"/>
      <c r="J25" s="1402" t="str">
        <f>DBCS(【マスター】!F31)</f>
        <v/>
      </c>
      <c r="K25" s="1402"/>
      <c r="L25" s="1408"/>
      <c r="M25" s="1408"/>
      <c r="N25" s="1408"/>
      <c r="O25" s="1408"/>
      <c r="P25" s="1396" t="s">
        <v>323</v>
      </c>
      <c r="Q25" s="1397"/>
      <c r="R25" s="1397"/>
      <c r="S25" s="1397"/>
      <c r="T25" s="1398"/>
      <c r="X25" s="494"/>
    </row>
    <row r="26" spans="1:24" s="5" customFormat="1" ht="15" customHeight="1">
      <c r="A26" s="1376" t="s">
        <v>154</v>
      </c>
      <c r="B26" s="1376"/>
      <c r="C26" s="1376"/>
      <c r="D26" s="1376"/>
      <c r="E26" s="1376"/>
      <c r="F26" s="1402" t="str">
        <f>DBCS(【マスター】!C32)</f>
        <v>０</v>
      </c>
      <c r="G26" s="1402"/>
      <c r="H26" s="1402" t="str">
        <f>DBCS(【マスター】!D32)</f>
        <v/>
      </c>
      <c r="I26" s="1402"/>
      <c r="J26" s="1402" t="str">
        <f>DBCS(【マスター】!F32)</f>
        <v/>
      </c>
      <c r="K26" s="1402"/>
      <c r="L26" s="1402" t="str">
        <f>DBCS(【マスター】!H32)</f>
        <v/>
      </c>
      <c r="M26" s="1402"/>
      <c r="N26" s="1402" t="str">
        <f>DBCS(【マスター】!J32)</f>
        <v/>
      </c>
      <c r="O26" s="1402"/>
      <c r="P26" s="1396" t="s">
        <v>324</v>
      </c>
      <c r="Q26" s="1397"/>
      <c r="R26" s="1397"/>
      <c r="S26" s="1397"/>
      <c r="T26" s="1398"/>
      <c r="X26" s="494"/>
    </row>
    <row r="27" spans="1:24" s="5" customFormat="1" ht="15" customHeight="1">
      <c r="A27" s="1376" t="s">
        <v>325</v>
      </c>
      <c r="B27" s="1376"/>
      <c r="C27" s="1376"/>
      <c r="D27" s="1376"/>
      <c r="E27" s="1376"/>
      <c r="F27" s="1402" t="str">
        <f>DBCS(【マスター】!C33)</f>
        <v>０</v>
      </c>
      <c r="G27" s="1402"/>
      <c r="H27" s="1402" t="str">
        <f>DBCS(【マスター】!D33)</f>
        <v/>
      </c>
      <c r="I27" s="1402"/>
      <c r="J27" s="1402" t="str">
        <f>DBCS(【マスター】!F33)</f>
        <v/>
      </c>
      <c r="K27" s="1402"/>
      <c r="L27" s="1402" t="str">
        <f>DBCS(【マスター】!H33)</f>
        <v/>
      </c>
      <c r="M27" s="1402"/>
      <c r="N27" s="1402" t="str">
        <f>DBCS(【マスター】!J33)</f>
        <v/>
      </c>
      <c r="O27" s="1402"/>
      <c r="P27" s="1396" t="s">
        <v>326</v>
      </c>
      <c r="Q27" s="1397"/>
      <c r="R27" s="1397"/>
      <c r="S27" s="1397"/>
      <c r="T27" s="1398"/>
      <c r="X27" s="494"/>
    </row>
    <row r="28" spans="1:24" s="5" customFormat="1" ht="15" customHeight="1">
      <c r="A28" s="1376" t="s">
        <v>156</v>
      </c>
      <c r="B28" s="1376"/>
      <c r="C28" s="1376"/>
      <c r="D28" s="1376"/>
      <c r="E28" s="1376"/>
      <c r="F28" s="1402" t="str">
        <f>DBCS(【マスター】!C34)</f>
        <v>０</v>
      </c>
      <c r="G28" s="1402"/>
      <c r="H28" s="1402" t="str">
        <f>DBCS(【マスター】!D34)</f>
        <v/>
      </c>
      <c r="I28" s="1402"/>
      <c r="J28" s="1402" t="str">
        <f>DBCS(【マスター】!F34)</f>
        <v/>
      </c>
      <c r="K28" s="1402"/>
      <c r="L28" s="1402" t="str">
        <f>DBCS(【マスター】!H34)</f>
        <v/>
      </c>
      <c r="M28" s="1402"/>
      <c r="N28" s="1402" t="str">
        <f>DBCS(【マスター】!J34)</f>
        <v/>
      </c>
      <c r="O28" s="1402"/>
      <c r="P28" s="1396" t="s">
        <v>327</v>
      </c>
      <c r="Q28" s="1397"/>
      <c r="R28" s="1397"/>
      <c r="S28" s="1397"/>
      <c r="T28" s="1398"/>
      <c r="X28" s="494"/>
    </row>
    <row r="29" spans="1:24" s="5" customFormat="1" ht="15" customHeight="1">
      <c r="A29" s="1376" t="s">
        <v>157</v>
      </c>
      <c r="B29" s="1376"/>
      <c r="C29" s="1376"/>
      <c r="D29" s="1376"/>
      <c r="E29" s="1376"/>
      <c r="F29" s="1402" t="str">
        <f>DBCS(【マスター】!C35)</f>
        <v>０</v>
      </c>
      <c r="G29" s="1402"/>
      <c r="H29" s="1402" t="str">
        <f>DBCS(【マスター】!D35)</f>
        <v/>
      </c>
      <c r="I29" s="1402"/>
      <c r="J29" s="1402" t="str">
        <f>DBCS(【マスター】!F35)</f>
        <v/>
      </c>
      <c r="K29" s="1402"/>
      <c r="L29" s="1402" t="str">
        <f>DBCS(【マスター】!H35)</f>
        <v/>
      </c>
      <c r="M29" s="1402"/>
      <c r="N29" s="1402" t="str">
        <f>DBCS(【マスター】!J35)</f>
        <v/>
      </c>
      <c r="O29" s="1402"/>
      <c r="P29" s="1396" t="s">
        <v>328</v>
      </c>
      <c r="Q29" s="1397"/>
      <c r="R29" s="1397"/>
      <c r="S29" s="1397"/>
      <c r="T29" s="1398"/>
      <c r="X29" s="494"/>
    </row>
    <row r="30" spans="1:24" s="5" customFormat="1" ht="15" customHeight="1">
      <c r="A30" s="1012" t="s">
        <v>329</v>
      </c>
      <c r="B30" s="1020"/>
      <c r="C30" s="1020" t="s">
        <v>330</v>
      </c>
      <c r="D30" s="1011"/>
      <c r="E30" s="1011"/>
      <c r="F30" s="1011"/>
      <c r="G30" s="1011"/>
      <c r="H30" s="1020"/>
      <c r="I30" s="1020"/>
      <c r="J30" s="1020"/>
      <c r="K30" s="1020"/>
      <c r="L30" s="1020"/>
      <c r="M30" s="1020"/>
      <c r="N30" s="1020"/>
      <c r="O30" s="1020"/>
      <c r="P30" s="1011"/>
      <c r="Q30" s="1011"/>
      <c r="R30" s="1011"/>
      <c r="S30" s="1011"/>
      <c r="T30" s="1011"/>
      <c r="X30" s="494"/>
    </row>
    <row r="31" spans="1:24" s="5" customFormat="1" ht="15" customHeight="1">
      <c r="A31" s="1376" t="s">
        <v>331</v>
      </c>
      <c r="B31" s="1376"/>
      <c r="C31" s="1376"/>
      <c r="D31" s="1376"/>
      <c r="E31" s="1376"/>
      <c r="F31" s="1355" t="s">
        <v>332</v>
      </c>
      <c r="G31" s="1355"/>
      <c r="H31" s="1355"/>
      <c r="I31" s="1355"/>
      <c r="J31" s="1355"/>
      <c r="K31" s="1355"/>
      <c r="L31" s="1355"/>
      <c r="M31" s="1355"/>
      <c r="N31" s="1355"/>
      <c r="O31" s="1355"/>
      <c r="P31" s="1399" t="s">
        <v>333</v>
      </c>
      <c r="Q31" s="1400"/>
      <c r="R31" s="1400"/>
      <c r="S31" s="1400"/>
      <c r="T31" s="1401"/>
      <c r="X31" s="494"/>
    </row>
    <row r="32" spans="1:24" s="5" customFormat="1" ht="15" customHeight="1">
      <c r="A32" s="1376" t="s">
        <v>322</v>
      </c>
      <c r="B32" s="1376"/>
      <c r="C32" s="1376"/>
      <c r="D32" s="1376"/>
      <c r="E32" s="1376"/>
      <c r="F32" s="1366" t="s">
        <v>334</v>
      </c>
      <c r="G32" s="1367"/>
      <c r="H32" s="1367"/>
      <c r="I32" s="1367"/>
      <c r="J32" s="1367"/>
      <c r="K32" s="1367"/>
      <c r="L32" s="1367"/>
      <c r="M32" s="1367"/>
      <c r="N32" s="1367"/>
      <c r="O32" s="1368"/>
      <c r="P32" s="1390" t="s">
        <v>335</v>
      </c>
      <c r="Q32" s="1391"/>
      <c r="R32" s="1391"/>
      <c r="S32" s="1391"/>
      <c r="T32" s="1392"/>
      <c r="X32" s="494"/>
    </row>
    <row r="33" spans="1:24" s="5" customFormat="1" ht="15" customHeight="1">
      <c r="A33" s="1376"/>
      <c r="B33" s="1376"/>
      <c r="C33" s="1376"/>
      <c r="D33" s="1376"/>
      <c r="E33" s="1376"/>
      <c r="F33" s="1369" t="str">
        <f>DBCS(【マスター】!$I$12&amp;【マスター】!$J$12&amp;【マスター】!$K$12)</f>
        <v>９：３０～１６：４０</v>
      </c>
      <c r="G33" s="1370"/>
      <c r="H33" s="1370"/>
      <c r="I33" s="1370"/>
      <c r="J33" s="1370"/>
      <c r="K33" s="1370"/>
      <c r="L33" s="1370"/>
      <c r="M33" s="1370"/>
      <c r="N33" s="1370"/>
      <c r="O33" s="1371"/>
      <c r="P33" s="1393"/>
      <c r="Q33" s="1394"/>
      <c r="R33" s="1394"/>
      <c r="S33" s="1394"/>
      <c r="T33" s="1395"/>
      <c r="X33" s="494"/>
    </row>
    <row r="34" spans="1:24" s="5" customFormat="1" ht="15" customHeight="1">
      <c r="A34" s="1376" t="s">
        <v>154</v>
      </c>
      <c r="B34" s="1376"/>
      <c r="C34" s="1376"/>
      <c r="D34" s="1376"/>
      <c r="E34" s="1376"/>
      <c r="F34" s="1366" t="s">
        <v>336</v>
      </c>
      <c r="G34" s="1367"/>
      <c r="H34" s="1367"/>
      <c r="I34" s="1367"/>
      <c r="J34" s="1367"/>
      <c r="K34" s="1367"/>
      <c r="L34" s="1367"/>
      <c r="M34" s="1367"/>
      <c r="N34" s="1367"/>
      <c r="O34" s="1368"/>
      <c r="P34" s="1390" t="s">
        <v>335</v>
      </c>
      <c r="Q34" s="1391"/>
      <c r="R34" s="1391"/>
      <c r="S34" s="1391"/>
      <c r="T34" s="1392"/>
      <c r="U34" s="5" t="s">
        <v>337</v>
      </c>
      <c r="X34" s="494"/>
    </row>
    <row r="35" spans="1:24" s="5" customFormat="1" ht="15" customHeight="1">
      <c r="A35" s="1376"/>
      <c r="B35" s="1376"/>
      <c r="C35" s="1376"/>
      <c r="D35" s="1376"/>
      <c r="E35" s="1376"/>
      <c r="F35" s="1369" t="str">
        <f>DBCS(【マスター】!$I$12&amp;【マスター】!$J$12&amp;【マスター】!$K$12)</f>
        <v>９：３０～１６：４０</v>
      </c>
      <c r="G35" s="1370"/>
      <c r="H35" s="1370"/>
      <c r="I35" s="1370"/>
      <c r="J35" s="1370"/>
      <c r="K35" s="1370"/>
      <c r="L35" s="1370"/>
      <c r="M35" s="1370"/>
      <c r="N35" s="1370"/>
      <c r="O35" s="1371"/>
      <c r="P35" s="1393"/>
      <c r="Q35" s="1394"/>
      <c r="R35" s="1394"/>
      <c r="S35" s="1394"/>
      <c r="T35" s="1395"/>
      <c r="X35" s="494"/>
    </row>
    <row r="36" spans="1:24" s="5" customFormat="1" ht="15" customHeight="1">
      <c r="A36" s="1376" t="s">
        <v>325</v>
      </c>
      <c r="B36" s="1376"/>
      <c r="C36" s="1376"/>
      <c r="D36" s="1376"/>
      <c r="E36" s="1376"/>
      <c r="F36" s="1366" t="s">
        <v>338</v>
      </c>
      <c r="G36" s="1367"/>
      <c r="H36" s="1367"/>
      <c r="I36" s="1367"/>
      <c r="J36" s="1367"/>
      <c r="K36" s="1367"/>
      <c r="L36" s="1367"/>
      <c r="M36" s="1367"/>
      <c r="N36" s="1367"/>
      <c r="O36" s="1368"/>
      <c r="P36" s="1390" t="s">
        <v>335</v>
      </c>
      <c r="Q36" s="1391"/>
      <c r="R36" s="1391"/>
      <c r="S36" s="1391"/>
      <c r="T36" s="1392"/>
      <c r="U36" s="5" t="s">
        <v>337</v>
      </c>
      <c r="X36" s="494"/>
    </row>
    <row r="37" spans="1:24" s="5" customFormat="1" ht="15" customHeight="1">
      <c r="A37" s="1376"/>
      <c r="B37" s="1376"/>
      <c r="C37" s="1376"/>
      <c r="D37" s="1376"/>
      <c r="E37" s="1376"/>
      <c r="F37" s="1369" t="str">
        <f>DBCS(【マスター】!$I$12&amp;【マスター】!$J$12&amp;【マスター】!$K$12)</f>
        <v>９：３０～１６：４０</v>
      </c>
      <c r="G37" s="1370"/>
      <c r="H37" s="1370"/>
      <c r="I37" s="1370"/>
      <c r="J37" s="1370"/>
      <c r="K37" s="1370"/>
      <c r="L37" s="1370"/>
      <c r="M37" s="1370"/>
      <c r="N37" s="1370"/>
      <c r="O37" s="1371"/>
      <c r="P37" s="1393"/>
      <c r="Q37" s="1394"/>
      <c r="R37" s="1394"/>
      <c r="S37" s="1394"/>
      <c r="T37" s="1395"/>
      <c r="X37" s="494"/>
    </row>
    <row r="38" spans="1:24" s="5" customFormat="1" ht="15" customHeight="1">
      <c r="A38" s="1376" t="s">
        <v>156</v>
      </c>
      <c r="B38" s="1376"/>
      <c r="C38" s="1376"/>
      <c r="D38" s="1376"/>
      <c r="E38" s="1376"/>
      <c r="F38" s="1366" t="s">
        <v>338</v>
      </c>
      <c r="G38" s="1367"/>
      <c r="H38" s="1367"/>
      <c r="I38" s="1367"/>
      <c r="J38" s="1367"/>
      <c r="K38" s="1367"/>
      <c r="L38" s="1367"/>
      <c r="M38" s="1367"/>
      <c r="N38" s="1367"/>
      <c r="O38" s="1368"/>
      <c r="P38" s="1390" t="s">
        <v>335</v>
      </c>
      <c r="Q38" s="1391"/>
      <c r="R38" s="1391"/>
      <c r="S38" s="1391"/>
      <c r="T38" s="1392"/>
      <c r="X38" s="494"/>
    </row>
    <row r="39" spans="1:24" s="5" customFormat="1" ht="15" customHeight="1">
      <c r="A39" s="1376"/>
      <c r="B39" s="1376"/>
      <c r="C39" s="1376"/>
      <c r="D39" s="1376"/>
      <c r="E39" s="1376"/>
      <c r="F39" s="1369" t="str">
        <f>DBCS(【マスター】!$I$12&amp;【マスター】!$J$12&amp;【マスター】!$K$12)</f>
        <v>９：３０～１６：４０</v>
      </c>
      <c r="G39" s="1370"/>
      <c r="H39" s="1370"/>
      <c r="I39" s="1370"/>
      <c r="J39" s="1370"/>
      <c r="K39" s="1370"/>
      <c r="L39" s="1370"/>
      <c r="M39" s="1370"/>
      <c r="N39" s="1370"/>
      <c r="O39" s="1371"/>
      <c r="P39" s="1393"/>
      <c r="Q39" s="1394"/>
      <c r="R39" s="1394"/>
      <c r="S39" s="1394"/>
      <c r="T39" s="1395"/>
      <c r="X39" s="494"/>
    </row>
    <row r="40" spans="1:24" s="5" customFormat="1" ht="15" customHeight="1">
      <c r="A40" s="1376" t="s">
        <v>157</v>
      </c>
      <c r="B40" s="1376"/>
      <c r="C40" s="1376"/>
      <c r="D40" s="1376"/>
      <c r="E40" s="1376"/>
      <c r="F40" s="1366" t="s">
        <v>338</v>
      </c>
      <c r="G40" s="1367"/>
      <c r="H40" s="1367"/>
      <c r="I40" s="1367"/>
      <c r="J40" s="1367"/>
      <c r="K40" s="1367"/>
      <c r="L40" s="1367"/>
      <c r="M40" s="1367"/>
      <c r="N40" s="1367"/>
      <c r="O40" s="1368"/>
      <c r="P40" s="1390" t="s">
        <v>335</v>
      </c>
      <c r="Q40" s="1391"/>
      <c r="R40" s="1391"/>
      <c r="S40" s="1391"/>
      <c r="T40" s="1392"/>
      <c r="X40" s="494"/>
    </row>
    <row r="41" spans="1:24" s="5" customFormat="1" ht="15" customHeight="1">
      <c r="A41" s="1376"/>
      <c r="B41" s="1376"/>
      <c r="C41" s="1376"/>
      <c r="D41" s="1376"/>
      <c r="E41" s="1376"/>
      <c r="F41" s="1369" t="str">
        <f>DBCS(【マスター】!$I$12&amp;【マスター】!$J$12&amp;【マスター】!$K$12)</f>
        <v>９：３０～１６：４０</v>
      </c>
      <c r="G41" s="1370"/>
      <c r="H41" s="1370"/>
      <c r="I41" s="1370"/>
      <c r="J41" s="1370"/>
      <c r="K41" s="1370"/>
      <c r="L41" s="1370"/>
      <c r="M41" s="1370"/>
      <c r="N41" s="1370"/>
      <c r="O41" s="1371"/>
      <c r="P41" s="1393"/>
      <c r="Q41" s="1394"/>
      <c r="R41" s="1394"/>
      <c r="S41" s="1394"/>
      <c r="T41" s="1395"/>
      <c r="X41" s="494"/>
    </row>
    <row r="42" spans="1:24" s="5" customFormat="1" ht="15" customHeight="1">
      <c r="A42" s="1012" t="s">
        <v>339</v>
      </c>
      <c r="B42" s="1020"/>
      <c r="C42" s="1012" t="s">
        <v>340</v>
      </c>
      <c r="D42" s="1020"/>
      <c r="E42" s="1020"/>
      <c r="F42" s="1020"/>
      <c r="G42" s="1020"/>
      <c r="H42" s="1020"/>
      <c r="I42" s="1020"/>
      <c r="J42" s="1020"/>
      <c r="K42" s="1020"/>
      <c r="L42" s="1020"/>
      <c r="M42" s="1020"/>
      <c r="N42" s="1020"/>
      <c r="O42" s="1020"/>
      <c r="P42" s="1020"/>
      <c r="Q42" s="1020"/>
      <c r="R42" s="1020"/>
      <c r="S42" s="1020"/>
      <c r="T42" s="1020"/>
      <c r="X42" s="494"/>
    </row>
    <row r="43" spans="1:24" s="5" customFormat="1" ht="15" customHeight="1">
      <c r="A43" s="1380" t="s">
        <v>341</v>
      </c>
      <c r="B43" s="1381"/>
      <c r="C43" s="1381"/>
      <c r="D43" s="1381"/>
      <c r="E43" s="1382"/>
      <c r="F43" s="1383" t="str">
        <f>""&amp;【マスター】!C16&amp;IF(【マスター】!E16=0," ","・")&amp;【マスター】!E16&amp;""&amp;IF(【マスター】!G16=0," ","・")&amp;【マスター】!G16&amp;""&amp;IF(【マスター】!I16=0," ","・")&amp;【マスター】!I16&amp;""&amp;IF(【マスター】!K16=0," ","・")&amp;【マスター】!K16&amp;""</f>
        <v xml:space="preserve">豊川市・豊橋市   </v>
      </c>
      <c r="G43" s="1384"/>
      <c r="H43" s="1384"/>
      <c r="I43" s="1384"/>
      <c r="J43" s="1384"/>
      <c r="K43" s="1384"/>
      <c r="L43" s="1384"/>
      <c r="M43" s="1384"/>
      <c r="N43" s="1384"/>
      <c r="O43" s="1384"/>
      <c r="P43" s="1384"/>
      <c r="Q43" s="1384"/>
      <c r="R43" s="1384"/>
      <c r="S43" s="1384"/>
      <c r="T43" s="1385"/>
      <c r="X43" s="494"/>
    </row>
    <row r="44" spans="1:24" s="5" customFormat="1" ht="15" customHeight="1">
      <c r="A44" s="1012" t="s">
        <v>342</v>
      </c>
      <c r="B44" s="1020"/>
      <c r="C44" s="1020" t="s">
        <v>343</v>
      </c>
      <c r="D44" s="1011"/>
      <c r="E44" s="1011"/>
      <c r="F44" s="1011"/>
      <c r="G44" s="1011"/>
      <c r="H44" s="1011"/>
      <c r="I44" s="1011"/>
      <c r="J44" s="1011"/>
      <c r="K44" s="1011"/>
      <c r="L44" s="1011"/>
      <c r="M44" s="1011"/>
      <c r="N44" s="1011"/>
      <c r="O44" s="1011"/>
      <c r="P44" s="1011"/>
      <c r="Q44" s="1011"/>
      <c r="R44" s="1011"/>
      <c r="S44" s="1011"/>
      <c r="T44" s="1011"/>
      <c r="X44" s="494"/>
    </row>
    <row r="45" spans="1:24" s="5" customFormat="1" ht="15" customHeight="1">
      <c r="A45" s="1024"/>
      <c r="B45" s="1386" t="s">
        <v>344</v>
      </c>
      <c r="C45" s="1386"/>
      <c r="D45" s="1386"/>
      <c r="E45" s="1386"/>
      <c r="F45" s="1386"/>
      <c r="G45" s="1025"/>
      <c r="H45" s="1379" t="str">
        <f>DBCS(【マスター】!K15)</f>
        <v>月曜日～土曜日</v>
      </c>
      <c r="I45" s="1355"/>
      <c r="J45" s="1355"/>
      <c r="K45" s="1355"/>
      <c r="L45" s="1355"/>
      <c r="M45" s="1355"/>
      <c r="N45" s="1355"/>
      <c r="O45" s="1011"/>
      <c r="P45" s="1011"/>
      <c r="Q45" s="1011"/>
      <c r="R45" s="1011"/>
      <c r="S45" s="1011"/>
      <c r="T45" s="1011"/>
      <c r="X45" s="494"/>
    </row>
    <row r="46" spans="1:24" s="5" customFormat="1" ht="15" customHeight="1">
      <c r="A46" s="1021"/>
      <c r="B46" s="1372" t="s">
        <v>345</v>
      </c>
      <c r="C46" s="1372"/>
      <c r="D46" s="1372"/>
      <c r="E46" s="1372"/>
      <c r="F46" s="1372"/>
      <c r="G46" s="1022"/>
      <c r="H46" s="1387" t="str">
        <f>DBCS(【マスター】!C12&amp;【マスター】!D12&amp;【マスター】!E12)</f>
        <v>８：３０～１７：４０</v>
      </c>
      <c r="I46" s="1388"/>
      <c r="J46" s="1388"/>
      <c r="K46" s="1388"/>
      <c r="L46" s="1388"/>
      <c r="M46" s="1388"/>
      <c r="N46" s="1389"/>
      <c r="O46" s="1011"/>
      <c r="P46" s="1011"/>
      <c r="Q46" s="1011"/>
      <c r="R46" s="1011"/>
      <c r="S46" s="1011"/>
      <c r="T46" s="1011"/>
      <c r="X46" s="494"/>
    </row>
    <row r="47" spans="1:24" s="5" customFormat="1" ht="15" customHeight="1">
      <c r="A47" s="1021"/>
      <c r="B47" s="1372" t="s">
        <v>95</v>
      </c>
      <c r="C47" s="1372"/>
      <c r="D47" s="1372"/>
      <c r="E47" s="1372"/>
      <c r="F47" s="1372"/>
      <c r="G47" s="1022"/>
      <c r="H47" s="1373" t="str">
        <f>DBCS(【マスター】!I12&amp;【マスター】!J12&amp;【マスター】!K12)</f>
        <v>９：３０～１６：４０</v>
      </c>
      <c r="I47" s="1374"/>
      <c r="J47" s="1374"/>
      <c r="K47" s="1374"/>
      <c r="L47" s="1374"/>
      <c r="M47" s="1374"/>
      <c r="N47" s="1375"/>
      <c r="O47" s="1011"/>
      <c r="P47" s="1011"/>
      <c r="Q47" s="1011"/>
      <c r="R47" s="1011"/>
      <c r="S47" s="1011"/>
      <c r="T47" s="1011"/>
      <c r="X47" s="494"/>
    </row>
    <row r="48" spans="1:24" s="5" customFormat="1" ht="15" customHeight="1">
      <c r="A48" s="1020"/>
      <c r="B48" s="1012"/>
      <c r="C48" s="1011"/>
      <c r="D48" s="1011"/>
      <c r="E48" s="1011"/>
      <c r="F48" s="1011"/>
      <c r="G48" s="1020" t="str">
        <f>DBCS("※送迎対応時間は、"&amp;【マスター】!C13&amp;【マスター】!D13&amp;【マスター】!E13&amp;"とします。")</f>
        <v>※送迎対応時間は、７：００～２１：００とします。</v>
      </c>
      <c r="H48" s="1020"/>
      <c r="I48" s="1011"/>
      <c r="J48" s="1011"/>
      <c r="K48" s="1011"/>
      <c r="L48" s="1011"/>
      <c r="M48" s="1011"/>
      <c r="N48" s="1011"/>
      <c r="O48" s="1011"/>
      <c r="P48" s="1011"/>
      <c r="Q48" s="1011"/>
      <c r="R48" s="1011"/>
      <c r="S48" s="1011"/>
      <c r="T48" s="1011"/>
      <c r="X48" s="494"/>
    </row>
    <row r="49" spans="1:40" s="5" customFormat="1" ht="15" customHeight="1">
      <c r="A49" s="1020"/>
      <c r="B49" s="1012"/>
      <c r="C49" s="1011"/>
      <c r="D49" s="1011"/>
      <c r="E49" s="1011"/>
      <c r="F49" s="1011"/>
      <c r="G49" s="1020"/>
      <c r="H49" s="1020"/>
      <c r="I49" s="1011"/>
      <c r="J49" s="1011"/>
      <c r="K49" s="1011"/>
      <c r="L49" s="1011"/>
      <c r="M49" s="1011"/>
      <c r="N49" s="1011"/>
      <c r="O49" s="1011"/>
      <c r="P49" s="1011"/>
      <c r="Q49" s="1011"/>
      <c r="R49" s="1011"/>
      <c r="S49" s="1011"/>
      <c r="T49" s="1011"/>
      <c r="X49" s="494"/>
    </row>
    <row r="50" spans="1:40" s="5" customFormat="1" ht="15" customHeight="1">
      <c r="A50" s="1020" t="s">
        <v>346</v>
      </c>
      <c r="B50" s="1012"/>
      <c r="C50" s="1012"/>
      <c r="D50" s="1020"/>
      <c r="E50" s="1020"/>
      <c r="F50" s="1020"/>
      <c r="G50" s="1020"/>
      <c r="H50" s="1020"/>
      <c r="I50" s="1020"/>
      <c r="J50" s="1020"/>
      <c r="K50" s="1020"/>
      <c r="L50" s="1020"/>
      <c r="M50" s="1020"/>
      <c r="N50" s="1020"/>
      <c r="O50" s="1020"/>
      <c r="P50" s="1020"/>
      <c r="Q50" s="1020"/>
      <c r="R50" s="1020"/>
      <c r="S50" s="1020"/>
      <c r="T50" s="1020"/>
      <c r="X50" s="494"/>
    </row>
    <row r="51" spans="1:40" s="5" customFormat="1" ht="15" customHeight="1">
      <c r="A51" s="1012" t="s">
        <v>308</v>
      </c>
      <c r="B51" s="1020"/>
      <c r="C51" s="1020" t="s">
        <v>347</v>
      </c>
      <c r="D51" s="1011"/>
      <c r="E51" s="1011"/>
      <c r="F51" s="1011"/>
      <c r="G51" s="1011"/>
      <c r="H51" s="1011"/>
      <c r="I51" s="1011"/>
      <c r="J51" s="1011"/>
      <c r="K51" s="1011"/>
      <c r="L51" s="1011"/>
      <c r="M51" s="1011"/>
      <c r="N51" s="1011"/>
      <c r="O51" s="1011"/>
      <c r="P51" s="1011"/>
      <c r="Q51" s="1011"/>
      <c r="R51" s="1011"/>
      <c r="S51" s="1011"/>
      <c r="T51" s="1011"/>
      <c r="X51" s="494"/>
    </row>
    <row r="52" spans="1:40" s="5" customFormat="1" ht="15" customHeight="1">
      <c r="A52" s="1020"/>
      <c r="B52" s="1020" t="s">
        <v>348</v>
      </c>
      <c r="C52" s="1020"/>
      <c r="D52" s="1011"/>
      <c r="E52" s="1011"/>
      <c r="F52" s="1011"/>
      <c r="G52" s="1011"/>
      <c r="H52" s="1011"/>
      <c r="I52" s="1011"/>
      <c r="J52" s="1011"/>
      <c r="K52" s="1011"/>
      <c r="L52" s="1011"/>
      <c r="M52" s="1011"/>
      <c r="N52" s="1011"/>
      <c r="O52" s="1011"/>
      <c r="P52" s="1011"/>
      <c r="Q52" s="1011"/>
      <c r="R52" s="1011"/>
      <c r="S52" s="1011"/>
      <c r="T52" s="1011"/>
      <c r="X52" s="494"/>
    </row>
    <row r="53" spans="1:40" s="5" customFormat="1" ht="15" customHeight="1">
      <c r="A53" s="1376" t="s">
        <v>349</v>
      </c>
      <c r="B53" s="1376"/>
      <c r="C53" s="1376"/>
      <c r="D53" s="1376"/>
      <c r="E53" s="1376"/>
      <c r="F53" s="1377" t="s">
        <v>350</v>
      </c>
      <c r="G53" s="1378"/>
      <c r="H53" s="1378"/>
      <c r="I53" s="1378"/>
      <c r="J53" s="1378"/>
      <c r="K53" s="1378"/>
      <c r="L53" s="1378"/>
      <c r="M53" s="1378"/>
      <c r="N53" s="1378"/>
      <c r="O53" s="1378"/>
      <c r="P53" s="1378"/>
      <c r="Q53" s="1378"/>
      <c r="R53" s="1378"/>
      <c r="S53" s="1378"/>
      <c r="T53" s="1379"/>
      <c r="V53" s="1005"/>
      <c r="W53" s="5" t="s">
        <v>351</v>
      </c>
      <c r="AA53" s="1273" t="s">
        <v>352</v>
      </c>
      <c r="AB53" s="1273"/>
      <c r="AC53" s="1273"/>
      <c r="AD53" s="1273"/>
      <c r="AE53" s="1273"/>
      <c r="AF53" s="1273"/>
      <c r="AG53" s="1273"/>
      <c r="AH53" s="1273"/>
      <c r="AI53" s="1273"/>
      <c r="AJ53" s="1273"/>
      <c r="AK53" s="1273"/>
      <c r="AL53" s="1273"/>
      <c r="AM53" s="1273"/>
      <c r="AN53" s="1273"/>
    </row>
    <row r="54" spans="1:40" s="5" customFormat="1" ht="15" customHeight="1">
      <c r="A54" s="1033"/>
      <c r="B54" s="1358" t="s">
        <v>353</v>
      </c>
      <c r="C54" s="1358"/>
      <c r="D54" s="1358"/>
      <c r="E54" s="1034"/>
      <c r="F54" s="1366" t="str">
        <f>IF(【マスター】!C71="",通所重説!AA54,通所重説!AA53)</f>
        <v>食事（昼食及び延長加算算定時の朝食、夕食）を提供します。</v>
      </c>
      <c r="G54" s="1367"/>
      <c r="H54" s="1367"/>
      <c r="I54" s="1367"/>
      <c r="J54" s="1367"/>
      <c r="K54" s="1367"/>
      <c r="L54" s="1367"/>
      <c r="M54" s="1367"/>
      <c r="N54" s="1367"/>
      <c r="O54" s="1367"/>
      <c r="P54" s="1367"/>
      <c r="Q54" s="1367"/>
      <c r="R54" s="1367"/>
      <c r="S54" s="1367"/>
      <c r="T54" s="1368"/>
      <c r="V54" s="1005"/>
      <c r="W54" s="5" t="s">
        <v>354</v>
      </c>
      <c r="AA54" s="1273" t="s">
        <v>355</v>
      </c>
      <c r="AB54" s="1273"/>
      <c r="AC54" s="1273"/>
      <c r="AD54" s="1273"/>
      <c r="AE54" s="1273"/>
      <c r="AF54" s="1273"/>
      <c r="AG54" s="1273"/>
      <c r="AH54" s="1273"/>
      <c r="AI54" s="1273"/>
      <c r="AJ54" s="1273"/>
      <c r="AK54" s="1273"/>
      <c r="AL54" s="1273"/>
      <c r="AM54" s="1273"/>
      <c r="AN54" s="1273"/>
    </row>
    <row r="55" spans="1:40" s="5" customFormat="1" ht="15" customHeight="1">
      <c r="A55" s="1033"/>
      <c r="B55" s="1358" t="s">
        <v>356</v>
      </c>
      <c r="C55" s="1358"/>
      <c r="D55" s="1358"/>
      <c r="E55" s="1034"/>
      <c r="F55" s="1366" t="s">
        <v>357</v>
      </c>
      <c r="G55" s="1367"/>
      <c r="H55" s="1367"/>
      <c r="I55" s="1367"/>
      <c r="J55" s="1367"/>
      <c r="K55" s="1367"/>
      <c r="L55" s="1367"/>
      <c r="M55" s="1367"/>
      <c r="N55" s="1367"/>
      <c r="O55" s="1367"/>
      <c r="P55" s="1367"/>
      <c r="Q55" s="1367"/>
      <c r="R55" s="1367"/>
      <c r="S55" s="1367"/>
      <c r="T55" s="1368"/>
      <c r="X55" s="494"/>
    </row>
    <row r="56" spans="1:40" s="5" customFormat="1" ht="15" customHeight="1">
      <c r="A56" s="1035"/>
      <c r="B56" s="1359"/>
      <c r="C56" s="1359"/>
      <c r="D56" s="1359"/>
      <c r="E56" s="1036"/>
      <c r="F56" s="1369" t="s">
        <v>358</v>
      </c>
      <c r="G56" s="1370"/>
      <c r="H56" s="1370"/>
      <c r="I56" s="1370"/>
      <c r="J56" s="1370"/>
      <c r="K56" s="1370"/>
      <c r="L56" s="1370"/>
      <c r="M56" s="1370"/>
      <c r="N56" s="1370"/>
      <c r="O56" s="1370"/>
      <c r="P56" s="1370"/>
      <c r="Q56" s="1370"/>
      <c r="R56" s="1370"/>
      <c r="S56" s="1370"/>
      <c r="T56" s="1371"/>
      <c r="X56" s="494"/>
    </row>
    <row r="57" spans="1:40" s="5" customFormat="1" ht="15" customHeight="1">
      <c r="A57" s="1033"/>
      <c r="B57" s="1358" t="s">
        <v>359</v>
      </c>
      <c r="C57" s="1358"/>
      <c r="D57" s="1358"/>
      <c r="E57" s="1034"/>
      <c r="F57" s="1360" t="s">
        <v>360</v>
      </c>
      <c r="G57" s="1361"/>
      <c r="H57" s="1361"/>
      <c r="I57" s="1361"/>
      <c r="J57" s="1361"/>
      <c r="K57" s="1361"/>
      <c r="L57" s="1361"/>
      <c r="M57" s="1361"/>
      <c r="N57" s="1361"/>
      <c r="O57" s="1361"/>
      <c r="P57" s="1361"/>
      <c r="Q57" s="1361"/>
      <c r="R57" s="1361"/>
      <c r="S57" s="1361"/>
      <c r="T57" s="1362"/>
      <c r="X57" s="494"/>
    </row>
    <row r="58" spans="1:40" s="5" customFormat="1" ht="15" customHeight="1">
      <c r="A58" s="1035"/>
      <c r="B58" s="1359"/>
      <c r="C58" s="1359"/>
      <c r="D58" s="1359"/>
      <c r="E58" s="1036"/>
      <c r="F58" s="1363"/>
      <c r="G58" s="1364"/>
      <c r="H58" s="1364"/>
      <c r="I58" s="1364"/>
      <c r="J58" s="1364"/>
      <c r="K58" s="1364"/>
      <c r="L58" s="1364"/>
      <c r="M58" s="1364"/>
      <c r="N58" s="1364"/>
      <c r="O58" s="1364"/>
      <c r="P58" s="1364"/>
      <c r="Q58" s="1364"/>
      <c r="R58" s="1364"/>
      <c r="S58" s="1364"/>
      <c r="T58" s="1365"/>
      <c r="X58" s="494"/>
    </row>
    <row r="59" spans="1:40" s="5" customFormat="1" ht="15" customHeight="1">
      <c r="A59" s="1033"/>
      <c r="B59" s="1358" t="s">
        <v>361</v>
      </c>
      <c r="C59" s="1358"/>
      <c r="D59" s="1358"/>
      <c r="E59" s="1034"/>
      <c r="F59" s="1360" t="s">
        <v>362</v>
      </c>
      <c r="G59" s="1361"/>
      <c r="H59" s="1361"/>
      <c r="I59" s="1361"/>
      <c r="J59" s="1361"/>
      <c r="K59" s="1361"/>
      <c r="L59" s="1361"/>
      <c r="M59" s="1361"/>
      <c r="N59" s="1361"/>
      <c r="O59" s="1361"/>
      <c r="P59" s="1361"/>
      <c r="Q59" s="1361"/>
      <c r="R59" s="1361"/>
      <c r="S59" s="1361"/>
      <c r="T59" s="1362"/>
      <c r="X59" s="494"/>
    </row>
    <row r="60" spans="1:40" s="5" customFormat="1" ht="15" customHeight="1">
      <c r="A60" s="1035"/>
      <c r="B60" s="1359"/>
      <c r="C60" s="1359"/>
      <c r="D60" s="1359"/>
      <c r="E60" s="1036"/>
      <c r="F60" s="1363"/>
      <c r="G60" s="1364"/>
      <c r="H60" s="1364"/>
      <c r="I60" s="1364"/>
      <c r="J60" s="1364"/>
      <c r="K60" s="1364"/>
      <c r="L60" s="1364"/>
      <c r="M60" s="1364"/>
      <c r="N60" s="1364"/>
      <c r="O60" s="1364"/>
      <c r="P60" s="1364"/>
      <c r="Q60" s="1364"/>
      <c r="R60" s="1364"/>
      <c r="S60" s="1364"/>
      <c r="T60" s="1365"/>
      <c r="X60" s="494"/>
    </row>
    <row r="61" spans="1:40" s="5" customFormat="1" ht="15" customHeight="1">
      <c r="A61" s="1033"/>
      <c r="B61" s="1358" t="s">
        <v>363</v>
      </c>
      <c r="C61" s="1358"/>
      <c r="D61" s="1358"/>
      <c r="E61" s="1034"/>
      <c r="F61" s="1366" t="s">
        <v>364</v>
      </c>
      <c r="G61" s="1367"/>
      <c r="H61" s="1367"/>
      <c r="I61" s="1367"/>
      <c r="J61" s="1367"/>
      <c r="K61" s="1367"/>
      <c r="L61" s="1367"/>
      <c r="M61" s="1367"/>
      <c r="N61" s="1367"/>
      <c r="O61" s="1367"/>
      <c r="P61" s="1367"/>
      <c r="Q61" s="1367"/>
      <c r="R61" s="1367"/>
      <c r="S61" s="1367"/>
      <c r="T61" s="1368"/>
      <c r="X61" s="494"/>
    </row>
    <row r="62" spans="1:40" s="5" customFormat="1" ht="15" customHeight="1">
      <c r="A62" s="1035"/>
      <c r="B62" s="1359"/>
      <c r="C62" s="1359"/>
      <c r="D62" s="1359"/>
      <c r="E62" s="1036"/>
      <c r="F62" s="1369" t="s">
        <v>365</v>
      </c>
      <c r="G62" s="1370"/>
      <c r="H62" s="1370"/>
      <c r="I62" s="1370"/>
      <c r="J62" s="1370"/>
      <c r="K62" s="1370"/>
      <c r="L62" s="1370"/>
      <c r="M62" s="1370"/>
      <c r="N62" s="1370"/>
      <c r="O62" s="1370"/>
      <c r="P62" s="1370"/>
      <c r="Q62" s="1370"/>
      <c r="R62" s="1370"/>
      <c r="S62" s="1370"/>
      <c r="T62" s="1371"/>
      <c r="X62" s="494"/>
    </row>
    <row r="63" spans="1:40" s="5" customFormat="1" ht="15" customHeight="1">
      <c r="A63" s="1033"/>
      <c r="B63" s="1358" t="s">
        <v>366</v>
      </c>
      <c r="C63" s="1358"/>
      <c r="D63" s="1358"/>
      <c r="E63" s="1034"/>
      <c r="F63" s="1366" t="s">
        <v>367</v>
      </c>
      <c r="G63" s="1367"/>
      <c r="H63" s="1367"/>
      <c r="I63" s="1367"/>
      <c r="J63" s="1367"/>
      <c r="K63" s="1367"/>
      <c r="L63" s="1367"/>
      <c r="M63" s="1367"/>
      <c r="N63" s="1367"/>
      <c r="O63" s="1367"/>
      <c r="P63" s="1367"/>
      <c r="Q63" s="1367"/>
      <c r="R63" s="1367"/>
      <c r="S63" s="1367"/>
      <c r="T63" s="1368"/>
      <c r="X63" s="494"/>
    </row>
    <row r="64" spans="1:40" s="5" customFormat="1" ht="15" customHeight="1">
      <c r="A64" s="1033"/>
      <c r="B64" s="1358" t="s">
        <v>368</v>
      </c>
      <c r="C64" s="1358"/>
      <c r="D64" s="1358"/>
      <c r="E64" s="1034"/>
      <c r="F64" s="1360" t="s">
        <v>369</v>
      </c>
      <c r="G64" s="1361"/>
      <c r="H64" s="1361"/>
      <c r="I64" s="1361"/>
      <c r="J64" s="1361"/>
      <c r="K64" s="1361"/>
      <c r="L64" s="1361"/>
      <c r="M64" s="1361"/>
      <c r="N64" s="1361"/>
      <c r="O64" s="1361"/>
      <c r="P64" s="1361"/>
      <c r="Q64" s="1361"/>
      <c r="R64" s="1361"/>
      <c r="S64" s="1361"/>
      <c r="T64" s="1362"/>
      <c r="X64" s="494"/>
    </row>
    <row r="65" spans="1:24" s="5" customFormat="1" ht="15" customHeight="1">
      <c r="A65" s="1035"/>
      <c r="B65" s="1359"/>
      <c r="C65" s="1359"/>
      <c r="D65" s="1359"/>
      <c r="E65" s="1036"/>
      <c r="F65" s="1363"/>
      <c r="G65" s="1364"/>
      <c r="H65" s="1364"/>
      <c r="I65" s="1364"/>
      <c r="J65" s="1364"/>
      <c r="K65" s="1364"/>
      <c r="L65" s="1364"/>
      <c r="M65" s="1364"/>
      <c r="N65" s="1364"/>
      <c r="O65" s="1364"/>
      <c r="P65" s="1364"/>
      <c r="Q65" s="1364"/>
      <c r="R65" s="1364"/>
      <c r="S65" s="1364"/>
      <c r="T65" s="1365"/>
      <c r="X65" s="494"/>
    </row>
    <row r="66" spans="1:24" s="5" customFormat="1" ht="15" customHeight="1">
      <c r="A66" s="1033"/>
      <c r="B66" s="1358" t="s">
        <v>370</v>
      </c>
      <c r="C66" s="1358"/>
      <c r="D66" s="1358"/>
      <c r="E66" s="1034"/>
      <c r="F66" s="1360" t="s">
        <v>371</v>
      </c>
      <c r="G66" s="1361"/>
      <c r="H66" s="1361"/>
      <c r="I66" s="1361"/>
      <c r="J66" s="1361"/>
      <c r="K66" s="1361"/>
      <c r="L66" s="1361"/>
      <c r="M66" s="1361"/>
      <c r="N66" s="1361"/>
      <c r="O66" s="1361"/>
      <c r="P66" s="1361"/>
      <c r="Q66" s="1361"/>
      <c r="R66" s="1361"/>
      <c r="S66" s="1361"/>
      <c r="T66" s="1362"/>
      <c r="X66" s="494"/>
    </row>
    <row r="67" spans="1:24" s="5" customFormat="1" ht="15" customHeight="1">
      <c r="A67" s="1035"/>
      <c r="B67" s="1359"/>
      <c r="C67" s="1359"/>
      <c r="D67" s="1359"/>
      <c r="E67" s="1036"/>
      <c r="F67" s="1363"/>
      <c r="G67" s="1364"/>
      <c r="H67" s="1364"/>
      <c r="I67" s="1364"/>
      <c r="J67" s="1364"/>
      <c r="K67" s="1364"/>
      <c r="L67" s="1364"/>
      <c r="M67" s="1364"/>
      <c r="N67" s="1364"/>
      <c r="O67" s="1364"/>
      <c r="P67" s="1364"/>
      <c r="Q67" s="1364"/>
      <c r="R67" s="1364"/>
      <c r="S67" s="1364"/>
      <c r="T67" s="1365"/>
      <c r="X67" s="494"/>
    </row>
    <row r="68" spans="1:24" s="5" customFormat="1" ht="15" customHeight="1">
      <c r="A68" s="5" t="s">
        <v>372</v>
      </c>
      <c r="B68" s="998"/>
      <c r="C68" s="1001"/>
      <c r="D68" s="1001"/>
      <c r="E68" s="1001"/>
      <c r="F68" s="1001"/>
      <c r="G68" s="1001"/>
      <c r="H68" s="1001"/>
      <c r="I68" s="1001"/>
      <c r="J68" s="1001"/>
      <c r="K68" s="1001"/>
      <c r="L68" s="1001"/>
      <c r="M68" s="1001"/>
      <c r="N68" s="1001"/>
      <c r="O68" s="1001"/>
      <c r="P68" s="1001"/>
      <c r="Q68" s="1001"/>
      <c r="R68" s="1001"/>
      <c r="S68" s="1001"/>
      <c r="T68" s="1001"/>
    </row>
    <row r="69" spans="1:24" s="5" customFormat="1" ht="15" customHeight="1">
      <c r="B69" s="998" t="s">
        <v>373</v>
      </c>
      <c r="C69" s="998"/>
    </row>
    <row r="70" spans="1:24" s="5" customFormat="1" ht="15" customHeight="1">
      <c r="B70" s="998"/>
      <c r="C70" s="998"/>
      <c r="E70" s="1307" t="str">
        <f>【マスター】!C83</f>
        <v>口座振替・振込・現金支払</v>
      </c>
      <c r="F70" s="1307"/>
      <c r="G70" s="1307"/>
      <c r="H70" s="1307"/>
      <c r="I70" s="1307"/>
      <c r="J70" s="1307"/>
      <c r="K70" s="1307"/>
      <c r="L70" s="1307"/>
      <c r="M70" s="1307"/>
      <c r="N70" s="1307"/>
      <c r="O70" s="1307"/>
    </row>
    <row r="71" spans="1:24" s="5" customFormat="1" ht="15" customHeight="1">
      <c r="B71" s="998"/>
      <c r="C71" s="1001"/>
      <c r="D71" s="1001"/>
      <c r="E71" s="1001"/>
      <c r="F71" s="1001"/>
      <c r="G71" s="1001"/>
      <c r="H71" s="1001"/>
      <c r="I71" s="1001"/>
      <c r="J71" s="1001"/>
      <c r="K71" s="1001"/>
      <c r="L71" s="1001"/>
      <c r="M71" s="1001"/>
      <c r="N71" s="1001"/>
      <c r="O71" s="998" t="s">
        <v>374</v>
      </c>
      <c r="P71" s="1001"/>
      <c r="Q71" s="1001"/>
      <c r="R71" s="1001"/>
      <c r="S71" s="1001"/>
      <c r="T71" s="1001"/>
    </row>
    <row r="72" spans="1:24" s="5" customFormat="1" ht="15" customHeight="1">
      <c r="B72" s="998" t="s">
        <v>375</v>
      </c>
      <c r="C72" s="1001"/>
      <c r="D72" s="1001"/>
      <c r="E72" s="1001"/>
      <c r="F72" s="1001"/>
      <c r="G72" s="1001"/>
      <c r="H72" s="1001"/>
      <c r="I72" s="1001"/>
      <c r="J72" s="1001"/>
      <c r="K72" s="1001"/>
      <c r="L72" s="1001"/>
      <c r="M72" s="1001"/>
      <c r="N72" s="1001"/>
      <c r="O72" s="1001"/>
      <c r="P72" s="1001"/>
      <c r="Q72" s="1001"/>
      <c r="R72" s="1001"/>
      <c r="S72" s="1001"/>
      <c r="T72" s="1001"/>
    </row>
    <row r="73" spans="1:24" s="5" customFormat="1" ht="15" customHeight="1">
      <c r="A73" s="1037"/>
      <c r="B73" s="1038"/>
      <c r="C73" s="1038"/>
      <c r="D73" s="1038"/>
      <c r="E73" s="1037"/>
      <c r="F73" s="1010"/>
      <c r="G73" s="1010"/>
      <c r="H73" s="1010"/>
      <c r="I73" s="1010"/>
      <c r="J73" s="1010"/>
      <c r="K73" s="1010"/>
      <c r="L73" s="1010"/>
      <c r="M73" s="1010"/>
      <c r="N73" s="1010"/>
      <c r="O73" s="1010"/>
      <c r="P73" s="1010"/>
      <c r="Q73" s="1010"/>
      <c r="R73" s="1010"/>
      <c r="S73" s="1010"/>
      <c r="T73" s="1010"/>
      <c r="X73" s="494"/>
    </row>
    <row r="74" spans="1:24" s="5" customFormat="1" ht="15" customHeight="1">
      <c r="A74" s="1020" t="s">
        <v>376</v>
      </c>
      <c r="B74" s="1012"/>
      <c r="C74" s="1039"/>
      <c r="D74" s="1039"/>
      <c r="E74" s="1039"/>
      <c r="F74" s="1039"/>
      <c r="G74" s="1039"/>
      <c r="H74" s="1039"/>
      <c r="I74" s="1039"/>
      <c r="J74" s="1039"/>
      <c r="K74" s="1039"/>
      <c r="L74" s="1039"/>
      <c r="M74" s="1039"/>
      <c r="N74" s="1039"/>
      <c r="O74" s="1039"/>
      <c r="P74" s="1039"/>
      <c r="Q74" s="1039"/>
      <c r="R74" s="1039"/>
      <c r="S74" s="1039"/>
      <c r="T74" s="1039"/>
      <c r="X74" s="494"/>
    </row>
    <row r="75" spans="1:24" s="5" customFormat="1" ht="15" customHeight="1">
      <c r="A75" s="1012" t="s">
        <v>308</v>
      </c>
      <c r="B75" s="1012"/>
      <c r="C75" s="1012" t="s">
        <v>377</v>
      </c>
      <c r="D75" s="1039"/>
      <c r="E75" s="1039"/>
      <c r="F75" s="1039"/>
      <c r="G75" s="1039"/>
      <c r="H75" s="1039"/>
      <c r="I75" s="1039"/>
      <c r="J75" s="1039"/>
      <c r="K75" s="1039"/>
      <c r="L75" s="1039"/>
      <c r="M75" s="1039"/>
      <c r="N75" s="1039"/>
      <c r="O75" s="1039"/>
      <c r="P75" s="1039"/>
      <c r="Q75" s="1039"/>
      <c r="R75" s="1039"/>
      <c r="S75" s="1039"/>
      <c r="T75" s="1039"/>
      <c r="X75" s="494"/>
    </row>
    <row r="76" spans="1:24" s="5" customFormat="1" ht="15" customHeight="1">
      <c r="A76" s="1020"/>
      <c r="B76" s="1020"/>
      <c r="C76" s="1343" t="s">
        <v>378</v>
      </c>
      <c r="D76" s="1357"/>
      <c r="E76" s="1357"/>
      <c r="F76" s="1357"/>
      <c r="G76" s="1357"/>
      <c r="H76" s="1357"/>
      <c r="I76" s="1357"/>
      <c r="J76" s="1357"/>
      <c r="K76" s="1357"/>
      <c r="L76" s="1357"/>
      <c r="M76" s="1357"/>
      <c r="N76" s="1357"/>
      <c r="O76" s="1357"/>
      <c r="P76" s="1357"/>
      <c r="Q76" s="1357"/>
      <c r="R76" s="1357"/>
      <c r="S76" s="1357"/>
      <c r="T76" s="1357"/>
      <c r="X76" s="494"/>
    </row>
    <row r="77" spans="1:24" s="5" customFormat="1" ht="15" customHeight="1">
      <c r="A77" s="1020"/>
      <c r="B77" s="1020"/>
      <c r="C77" s="1357"/>
      <c r="D77" s="1357"/>
      <c r="E77" s="1357"/>
      <c r="F77" s="1357"/>
      <c r="G77" s="1357"/>
      <c r="H77" s="1357"/>
      <c r="I77" s="1357"/>
      <c r="J77" s="1357"/>
      <c r="K77" s="1357"/>
      <c r="L77" s="1357"/>
      <c r="M77" s="1357"/>
      <c r="N77" s="1357"/>
      <c r="O77" s="1357"/>
      <c r="P77" s="1357"/>
      <c r="Q77" s="1357"/>
      <c r="R77" s="1357"/>
      <c r="S77" s="1357"/>
      <c r="T77" s="1357"/>
      <c r="X77" s="494"/>
    </row>
    <row r="78" spans="1:24" s="5" customFormat="1" ht="15" customHeight="1">
      <c r="A78" s="1020"/>
      <c r="B78" s="1020"/>
      <c r="C78" s="1357"/>
      <c r="D78" s="1357"/>
      <c r="E78" s="1357"/>
      <c r="F78" s="1357"/>
      <c r="G78" s="1357"/>
      <c r="H78" s="1357"/>
      <c r="I78" s="1357"/>
      <c r="J78" s="1357"/>
      <c r="K78" s="1357"/>
      <c r="L78" s="1357"/>
      <c r="M78" s="1357"/>
      <c r="N78" s="1357"/>
      <c r="O78" s="1357"/>
      <c r="P78" s="1357"/>
      <c r="Q78" s="1357"/>
      <c r="R78" s="1357"/>
      <c r="S78" s="1357"/>
      <c r="T78" s="1357"/>
      <c r="X78" s="494"/>
    </row>
    <row r="79" spans="1:24" s="5" customFormat="1" ht="15" customHeight="1">
      <c r="A79" s="1020"/>
      <c r="B79" s="1020"/>
      <c r="C79" s="1357"/>
      <c r="D79" s="1357"/>
      <c r="E79" s="1357"/>
      <c r="F79" s="1357"/>
      <c r="G79" s="1357"/>
      <c r="H79" s="1357"/>
      <c r="I79" s="1357"/>
      <c r="J79" s="1357"/>
      <c r="K79" s="1357"/>
      <c r="L79" s="1357"/>
      <c r="M79" s="1357"/>
      <c r="N79" s="1357"/>
      <c r="O79" s="1357"/>
      <c r="P79" s="1357"/>
      <c r="Q79" s="1357"/>
      <c r="R79" s="1357"/>
      <c r="S79" s="1357"/>
      <c r="T79" s="1357"/>
      <c r="X79" s="494"/>
    </row>
    <row r="80" spans="1:24" s="5" customFormat="1" ht="15" customHeight="1">
      <c r="A80" s="1012" t="s">
        <v>314</v>
      </c>
      <c r="B80" s="1012"/>
      <c r="C80" s="1012" t="s">
        <v>379</v>
      </c>
      <c r="D80" s="1020"/>
      <c r="E80" s="1020"/>
      <c r="F80" s="1020"/>
      <c r="G80" s="1020"/>
      <c r="H80" s="1020"/>
      <c r="I80" s="1020"/>
      <c r="J80" s="1020"/>
      <c r="K80" s="1020"/>
      <c r="L80" s="1020"/>
      <c r="M80" s="1020"/>
      <c r="N80" s="1020"/>
      <c r="O80" s="1020"/>
      <c r="P80" s="1020"/>
      <c r="Q80" s="1020"/>
      <c r="R80" s="1020"/>
      <c r="S80" s="1020"/>
      <c r="T80" s="1020"/>
      <c r="X80" s="494"/>
    </row>
    <row r="81" spans="1:24" s="5" customFormat="1" ht="15" customHeight="1">
      <c r="A81" s="1020"/>
      <c r="B81" s="1040" t="s">
        <v>380</v>
      </c>
      <c r="C81" s="1260" t="s">
        <v>381</v>
      </c>
      <c r="D81" s="1260"/>
      <c r="E81" s="1260"/>
      <c r="F81" s="1260"/>
      <c r="G81" s="1260"/>
      <c r="H81" s="1260"/>
      <c r="I81" s="1260"/>
      <c r="J81" s="1260"/>
      <c r="K81" s="1260"/>
      <c r="L81" s="1260"/>
      <c r="M81" s="1260"/>
      <c r="N81" s="1260"/>
      <c r="O81" s="1260"/>
      <c r="P81" s="1260"/>
      <c r="Q81" s="1260"/>
      <c r="R81" s="1260"/>
      <c r="S81" s="1260"/>
      <c r="T81" s="1260"/>
      <c r="X81" s="494"/>
    </row>
    <row r="82" spans="1:24" s="5" customFormat="1" ht="15" customHeight="1">
      <c r="A82" s="1020"/>
      <c r="B82" s="1040" t="s">
        <v>382</v>
      </c>
      <c r="C82" s="1260" t="s">
        <v>383</v>
      </c>
      <c r="D82" s="1260"/>
      <c r="E82" s="1260"/>
      <c r="F82" s="1260"/>
      <c r="G82" s="1260"/>
      <c r="H82" s="1260"/>
      <c r="I82" s="1260"/>
      <c r="J82" s="1260"/>
      <c r="K82" s="1260"/>
      <c r="L82" s="1260"/>
      <c r="M82" s="1260"/>
      <c r="N82" s="1260"/>
      <c r="O82" s="1260"/>
      <c r="P82" s="1260"/>
      <c r="Q82" s="1260"/>
      <c r="R82" s="1260"/>
      <c r="S82" s="1260"/>
      <c r="T82" s="1260"/>
      <c r="X82" s="494"/>
    </row>
    <row r="83" spans="1:24" s="5" customFormat="1" ht="15" customHeight="1">
      <c r="A83" s="1020"/>
      <c r="B83" s="1012"/>
      <c r="C83" s="1260"/>
      <c r="D83" s="1260"/>
      <c r="E83" s="1260"/>
      <c r="F83" s="1260"/>
      <c r="G83" s="1260"/>
      <c r="H83" s="1260"/>
      <c r="I83" s="1260"/>
      <c r="J83" s="1260"/>
      <c r="K83" s="1260"/>
      <c r="L83" s="1260"/>
      <c r="M83" s="1260"/>
      <c r="N83" s="1260"/>
      <c r="O83" s="1260"/>
      <c r="P83" s="1260"/>
      <c r="Q83" s="1260"/>
      <c r="R83" s="1260"/>
      <c r="S83" s="1260"/>
      <c r="T83" s="1260"/>
      <c r="X83" s="494"/>
    </row>
    <row r="84" spans="1:24" s="5" customFormat="1" ht="15" customHeight="1">
      <c r="A84" s="1020"/>
      <c r="B84" s="1040" t="s">
        <v>384</v>
      </c>
      <c r="C84" s="1260" t="s">
        <v>385</v>
      </c>
      <c r="D84" s="1260"/>
      <c r="E84" s="1260"/>
      <c r="F84" s="1260"/>
      <c r="G84" s="1260"/>
      <c r="H84" s="1260"/>
      <c r="I84" s="1260"/>
      <c r="J84" s="1260"/>
      <c r="K84" s="1260"/>
      <c r="L84" s="1260"/>
      <c r="M84" s="1260"/>
      <c r="N84" s="1260"/>
      <c r="O84" s="1260"/>
      <c r="P84" s="1260"/>
      <c r="Q84" s="1260"/>
      <c r="R84" s="1260"/>
      <c r="S84" s="1260"/>
      <c r="T84" s="1260"/>
      <c r="X84" s="494"/>
    </row>
    <row r="85" spans="1:24" s="5" customFormat="1" ht="15" customHeight="1">
      <c r="A85" s="1020"/>
      <c r="B85" s="1012"/>
      <c r="C85" s="1260"/>
      <c r="D85" s="1260"/>
      <c r="E85" s="1260"/>
      <c r="F85" s="1260"/>
      <c r="G85" s="1260"/>
      <c r="H85" s="1260"/>
      <c r="I85" s="1260"/>
      <c r="J85" s="1260"/>
      <c r="K85" s="1260"/>
      <c r="L85" s="1260"/>
      <c r="M85" s="1260"/>
      <c r="N85" s="1260"/>
      <c r="O85" s="1260"/>
      <c r="P85" s="1260"/>
      <c r="Q85" s="1260"/>
      <c r="R85" s="1260"/>
      <c r="S85" s="1260"/>
      <c r="T85" s="1260"/>
      <c r="X85" s="494"/>
    </row>
    <row r="86" spans="1:24" ht="15" customHeight="1">
      <c r="B86" s="1040" t="s">
        <v>386</v>
      </c>
      <c r="C86" s="1260" t="s">
        <v>387</v>
      </c>
      <c r="D86" s="1260"/>
      <c r="E86" s="1260"/>
      <c r="F86" s="1260"/>
      <c r="G86" s="1260"/>
      <c r="H86" s="1260"/>
      <c r="I86" s="1260"/>
      <c r="J86" s="1260"/>
      <c r="K86" s="1260"/>
      <c r="L86" s="1260"/>
      <c r="M86" s="1260"/>
      <c r="N86" s="1260"/>
      <c r="O86" s="1260"/>
      <c r="P86" s="1260"/>
      <c r="Q86" s="1260"/>
      <c r="R86" s="1260"/>
      <c r="S86" s="1260"/>
      <c r="T86" s="1260"/>
    </row>
    <row r="87" spans="1:24" ht="15" customHeight="1">
      <c r="B87" s="1012"/>
      <c r="C87" s="1260"/>
      <c r="D87" s="1260"/>
      <c r="E87" s="1260"/>
      <c r="F87" s="1260"/>
      <c r="G87" s="1260"/>
      <c r="H87" s="1260"/>
      <c r="I87" s="1260"/>
      <c r="J87" s="1260"/>
      <c r="K87" s="1260"/>
      <c r="L87" s="1260"/>
      <c r="M87" s="1260"/>
      <c r="N87" s="1260"/>
      <c r="O87" s="1260"/>
      <c r="P87" s="1260"/>
      <c r="Q87" s="1260"/>
      <c r="R87" s="1260"/>
      <c r="S87" s="1260"/>
      <c r="T87" s="1260"/>
    </row>
    <row r="88" spans="1:24" ht="15" customHeight="1">
      <c r="B88" s="1040" t="s">
        <v>388</v>
      </c>
      <c r="C88" s="1260" t="s">
        <v>389</v>
      </c>
      <c r="D88" s="1260"/>
      <c r="E88" s="1260"/>
      <c r="F88" s="1260"/>
      <c r="G88" s="1260"/>
      <c r="H88" s="1260"/>
      <c r="I88" s="1260"/>
      <c r="J88" s="1260"/>
      <c r="K88" s="1260"/>
      <c r="L88" s="1260"/>
      <c r="M88" s="1260"/>
      <c r="N88" s="1260"/>
      <c r="O88" s="1260"/>
      <c r="P88" s="1260"/>
      <c r="Q88" s="1260"/>
      <c r="R88" s="1260"/>
      <c r="S88" s="1260"/>
      <c r="T88" s="1260"/>
    </row>
    <row r="89" spans="1:24" ht="15" customHeight="1">
      <c r="B89" s="1012"/>
      <c r="C89" s="1260"/>
      <c r="D89" s="1260"/>
      <c r="E89" s="1260"/>
      <c r="F89" s="1260"/>
      <c r="G89" s="1260"/>
      <c r="H89" s="1260"/>
      <c r="I89" s="1260"/>
      <c r="J89" s="1260"/>
      <c r="K89" s="1260"/>
      <c r="L89" s="1260"/>
      <c r="M89" s="1260"/>
      <c r="N89" s="1260"/>
      <c r="O89" s="1260"/>
      <c r="P89" s="1260"/>
      <c r="Q89" s="1260"/>
      <c r="R89" s="1260"/>
      <c r="S89" s="1260"/>
      <c r="T89" s="1260"/>
    </row>
    <row r="90" spans="1:24" ht="15" customHeight="1">
      <c r="B90" s="1040" t="s">
        <v>390</v>
      </c>
      <c r="C90" s="1260" t="s">
        <v>391</v>
      </c>
      <c r="D90" s="1260"/>
      <c r="E90" s="1260"/>
      <c r="F90" s="1260"/>
      <c r="G90" s="1260"/>
      <c r="H90" s="1260"/>
      <c r="I90" s="1260"/>
      <c r="J90" s="1260"/>
      <c r="K90" s="1260"/>
      <c r="L90" s="1260"/>
      <c r="M90" s="1260"/>
      <c r="N90" s="1260"/>
      <c r="O90" s="1260"/>
      <c r="P90" s="1260"/>
      <c r="Q90" s="1260"/>
      <c r="R90" s="1260"/>
      <c r="S90" s="1260"/>
      <c r="T90" s="1260"/>
    </row>
    <row r="91" spans="1:24" s="5" customFormat="1" ht="15" customHeight="1">
      <c r="A91" s="1012" t="s">
        <v>392</v>
      </c>
      <c r="B91" s="1012"/>
      <c r="C91" s="1012" t="s">
        <v>393</v>
      </c>
      <c r="D91" s="1039"/>
      <c r="E91" s="1039"/>
      <c r="F91" s="1039"/>
      <c r="G91" s="1039"/>
      <c r="H91" s="1039"/>
      <c r="I91" s="1039"/>
      <c r="J91" s="1039"/>
      <c r="K91" s="1039"/>
      <c r="L91" s="1039"/>
      <c r="M91" s="1039"/>
      <c r="N91" s="1039"/>
      <c r="O91" s="1039"/>
      <c r="P91" s="1039"/>
      <c r="Q91" s="1039"/>
      <c r="R91" s="1039"/>
      <c r="S91" s="1039"/>
      <c r="T91" s="1039"/>
      <c r="X91" s="494"/>
    </row>
    <row r="92" spans="1:24" s="5" customFormat="1" ht="15" customHeight="1">
      <c r="A92" s="1355" t="s">
        <v>394</v>
      </c>
      <c r="B92" s="1355"/>
      <c r="C92" s="1355"/>
      <c r="D92" s="1355"/>
      <c r="E92" s="1355"/>
      <c r="F92" s="1356" t="s">
        <v>350</v>
      </c>
      <c r="G92" s="1356"/>
      <c r="H92" s="1356"/>
      <c r="I92" s="1356"/>
      <c r="J92" s="1356"/>
      <c r="K92" s="1356"/>
      <c r="L92" s="1356"/>
      <c r="M92" s="1356"/>
      <c r="N92" s="1356"/>
      <c r="O92" s="1356"/>
      <c r="P92" s="1356"/>
      <c r="Q92" s="1356"/>
      <c r="R92" s="1356"/>
      <c r="S92" s="1356"/>
      <c r="T92" s="1356"/>
      <c r="X92" s="494"/>
    </row>
    <row r="93" spans="1:24" s="5" customFormat="1" ht="60" customHeight="1">
      <c r="A93" s="1302" t="s">
        <v>395</v>
      </c>
      <c r="B93" s="1302"/>
      <c r="C93" s="1302"/>
      <c r="D93" s="1302"/>
      <c r="E93" s="1302"/>
      <c r="F93" s="1303" t="s">
        <v>396</v>
      </c>
      <c r="G93" s="1303"/>
      <c r="H93" s="1303"/>
      <c r="I93" s="1303"/>
      <c r="J93" s="1303"/>
      <c r="K93" s="1303"/>
      <c r="L93" s="1303"/>
      <c r="M93" s="1303"/>
      <c r="N93" s="1303"/>
      <c r="O93" s="1303"/>
      <c r="P93" s="1303"/>
      <c r="Q93" s="1303"/>
      <c r="R93" s="1303"/>
      <c r="S93" s="1303"/>
      <c r="T93" s="1303"/>
      <c r="X93" s="494"/>
    </row>
    <row r="94" spans="1:24" s="5" customFormat="1" ht="60" customHeight="1">
      <c r="A94" s="1349" t="s">
        <v>397</v>
      </c>
      <c r="B94" s="1350"/>
      <c r="C94" s="1350"/>
      <c r="D94" s="1350"/>
      <c r="E94" s="1351"/>
      <c r="F94" s="1352" t="s">
        <v>398</v>
      </c>
      <c r="G94" s="1353"/>
      <c r="H94" s="1353"/>
      <c r="I94" s="1353"/>
      <c r="J94" s="1353"/>
      <c r="K94" s="1353"/>
      <c r="L94" s="1353"/>
      <c r="M94" s="1353"/>
      <c r="N94" s="1353"/>
      <c r="O94" s="1353"/>
      <c r="P94" s="1353"/>
      <c r="Q94" s="1353"/>
      <c r="R94" s="1353"/>
      <c r="S94" s="1353"/>
      <c r="T94" s="1354"/>
      <c r="V94" s="494"/>
      <c r="X94" s="494"/>
    </row>
    <row r="95" spans="1:24" s="5" customFormat="1" ht="15" customHeight="1">
      <c r="A95" s="1302" t="s">
        <v>399</v>
      </c>
      <c r="B95" s="1302"/>
      <c r="C95" s="1302"/>
      <c r="D95" s="1302"/>
      <c r="E95" s="1302"/>
      <c r="F95" s="1304" t="s">
        <v>400</v>
      </c>
      <c r="G95" s="1305"/>
      <c r="H95" s="1305"/>
      <c r="I95" s="1305"/>
      <c r="J95" s="1305"/>
      <c r="K95" s="1305"/>
      <c r="L95" s="1305"/>
      <c r="M95" s="1339" t="s">
        <v>401</v>
      </c>
      <c r="N95" s="1339"/>
      <c r="O95" s="1339"/>
      <c r="P95" s="1339"/>
      <c r="Q95" s="1339"/>
      <c r="R95" s="1339"/>
      <c r="S95" s="1339"/>
      <c r="T95" s="1340"/>
      <c r="X95" s="494"/>
    </row>
    <row r="96" spans="1:24" s="5" customFormat="1" ht="15" customHeight="1">
      <c r="A96" s="1302"/>
      <c r="B96" s="1302"/>
      <c r="C96" s="1302"/>
      <c r="D96" s="1302"/>
      <c r="E96" s="1302"/>
      <c r="F96" s="1341" t="s">
        <v>402</v>
      </c>
      <c r="G96" s="1342"/>
      <c r="H96" s="1342"/>
      <c r="I96" s="1342"/>
      <c r="J96" s="1342"/>
      <c r="K96" s="1342"/>
      <c r="L96" s="1342"/>
      <c r="M96" s="1343" t="s">
        <v>403</v>
      </c>
      <c r="N96" s="1343"/>
      <c r="O96" s="1343"/>
      <c r="P96" s="1343"/>
      <c r="Q96" s="1343"/>
      <c r="R96" s="1343"/>
      <c r="S96" s="1343"/>
      <c r="T96" s="1344"/>
      <c r="X96" s="494"/>
    </row>
    <row r="97" spans="1:24" s="5" customFormat="1" ht="15" customHeight="1">
      <c r="A97" s="1302"/>
      <c r="B97" s="1302"/>
      <c r="C97" s="1302"/>
      <c r="D97" s="1302"/>
      <c r="E97" s="1302"/>
      <c r="F97" s="1345" t="s">
        <v>404</v>
      </c>
      <c r="G97" s="1346"/>
      <c r="H97" s="1346"/>
      <c r="I97" s="1346"/>
      <c r="J97" s="1346"/>
      <c r="K97" s="1346"/>
      <c r="L97" s="1346"/>
      <c r="M97" s="1347" t="s">
        <v>405</v>
      </c>
      <c r="N97" s="1347"/>
      <c r="O97" s="1347"/>
      <c r="P97" s="1347"/>
      <c r="Q97" s="1347"/>
      <c r="R97" s="1347"/>
      <c r="S97" s="1347"/>
      <c r="T97" s="1348"/>
      <c r="X97" s="494"/>
    </row>
    <row r="98" spans="1:24" s="5" customFormat="1" ht="15" customHeight="1">
      <c r="A98" s="1020"/>
      <c r="B98" s="1012"/>
      <c r="C98" s="1039"/>
      <c r="D98" s="1039"/>
      <c r="E98" s="1039"/>
      <c r="F98" s="1039"/>
      <c r="G98" s="1039"/>
      <c r="H98" s="1039"/>
      <c r="I98" s="1039"/>
      <c r="J98" s="1039"/>
      <c r="K98" s="1039"/>
      <c r="L98" s="1039"/>
      <c r="M98" s="1039"/>
      <c r="N98" s="1039"/>
      <c r="O98" s="1039"/>
      <c r="P98" s="1039"/>
      <c r="Q98" s="1039"/>
      <c r="R98" s="1039"/>
      <c r="S98" s="1039"/>
      <c r="T98" s="1039"/>
      <c r="X98" s="494"/>
    </row>
    <row r="99" spans="1:24" s="5" customFormat="1" ht="15" customHeight="1">
      <c r="A99" s="1020" t="s">
        <v>406</v>
      </c>
      <c r="B99" s="1012"/>
      <c r="C99" s="1039"/>
      <c r="D99" s="1039"/>
      <c r="E99" s="1039"/>
      <c r="F99" s="1039"/>
      <c r="G99" s="1039"/>
      <c r="H99" s="1039"/>
      <c r="I99" s="1039"/>
      <c r="J99" s="1039"/>
      <c r="K99" s="1039"/>
      <c r="L99" s="1039"/>
      <c r="M99" s="1039"/>
      <c r="N99" s="1039"/>
      <c r="O99" s="1039"/>
      <c r="P99" s="1039"/>
      <c r="Q99" s="1039"/>
      <c r="R99" s="1039"/>
      <c r="S99" s="1039"/>
      <c r="T99" s="1039"/>
      <c r="X99" s="494"/>
    </row>
    <row r="100" spans="1:24" s="5" customFormat="1" ht="15" customHeight="1">
      <c r="A100" s="1326" t="s">
        <v>407</v>
      </c>
      <c r="B100" s="1281" t="s">
        <v>408</v>
      </c>
      <c r="C100" s="1281"/>
      <c r="D100" s="1281"/>
      <c r="E100" s="1329"/>
      <c r="F100" s="1288" t="s">
        <v>409</v>
      </c>
      <c r="G100" s="1288"/>
      <c r="H100" s="1288"/>
      <c r="I100" s="1288"/>
      <c r="J100" s="1288"/>
      <c r="K100" s="1333" t="str">
        <f>【マスター】!C20</f>
        <v>繁原　秀章</v>
      </c>
      <c r="L100" s="1333"/>
      <c r="M100" s="1333"/>
      <c r="N100" s="1333"/>
      <c r="O100" s="1333"/>
      <c r="P100" s="1333"/>
      <c r="Q100" s="1333"/>
      <c r="R100" s="1333"/>
      <c r="S100" s="1333"/>
      <c r="T100" s="1333"/>
      <c r="X100" s="494"/>
    </row>
    <row r="101" spans="1:24" s="5" customFormat="1" ht="15" customHeight="1">
      <c r="A101" s="1327"/>
      <c r="B101" s="1318"/>
      <c r="C101" s="1318"/>
      <c r="D101" s="1318"/>
      <c r="E101" s="1330"/>
      <c r="F101" s="1289" t="s">
        <v>410</v>
      </c>
      <c r="G101" s="1289"/>
      <c r="H101" s="1289"/>
      <c r="I101" s="1289"/>
      <c r="J101" s="1289"/>
      <c r="K101" s="1298" t="str">
        <f>DBCS(【マスター】!I12&amp;【マスター】!J12&amp;【マスター】!K12)</f>
        <v>９：３０～１６：４０</v>
      </c>
      <c r="L101" s="1298"/>
      <c r="M101" s="1298"/>
      <c r="N101" s="1298"/>
      <c r="O101" s="1298"/>
      <c r="P101" s="1298"/>
      <c r="Q101" s="1298"/>
      <c r="R101" s="1298"/>
      <c r="S101" s="1298"/>
      <c r="T101" s="1298"/>
      <c r="X101" s="494"/>
    </row>
    <row r="102" spans="1:24" s="5" customFormat="1" ht="15" customHeight="1">
      <c r="A102" s="1327"/>
      <c r="B102" s="1318"/>
      <c r="C102" s="1318"/>
      <c r="D102" s="1318"/>
      <c r="E102" s="1330"/>
      <c r="F102" s="1334" t="s">
        <v>411</v>
      </c>
      <c r="G102" s="1335"/>
      <c r="H102" s="1335"/>
      <c r="I102" s="1296" t="s">
        <v>269</v>
      </c>
      <c r="J102" s="1297"/>
      <c r="K102" s="1298" t="str">
        <f>DBCS(【マスター】!C9)</f>
        <v>０５３３－５６－７０８７</v>
      </c>
      <c r="L102" s="1298"/>
      <c r="M102" s="1298"/>
      <c r="N102" s="1298"/>
      <c r="O102" s="1298"/>
      <c r="P102" s="1298"/>
      <c r="Q102" s="1298"/>
      <c r="R102" s="1298"/>
      <c r="S102" s="1298"/>
      <c r="T102" s="1298"/>
      <c r="X102" s="494"/>
    </row>
    <row r="103" spans="1:24" s="5" customFormat="1" ht="15" customHeight="1">
      <c r="A103" s="1327"/>
      <c r="B103" s="1318"/>
      <c r="C103" s="1318"/>
      <c r="D103" s="1318"/>
      <c r="E103" s="1330"/>
      <c r="F103" s="1336"/>
      <c r="G103" s="1325"/>
      <c r="H103" s="1325"/>
      <c r="I103" s="1296" t="s">
        <v>412</v>
      </c>
      <c r="J103" s="1297"/>
      <c r="K103" s="1298" t="s">
        <v>413</v>
      </c>
      <c r="L103" s="1298"/>
      <c r="M103" s="1298"/>
      <c r="N103" s="1298"/>
      <c r="O103" s="1298"/>
      <c r="P103" s="1298"/>
      <c r="Q103" s="1298"/>
      <c r="R103" s="1298"/>
      <c r="S103" s="1298"/>
      <c r="T103" s="1298"/>
      <c r="X103" s="494"/>
    </row>
    <row r="104" spans="1:24" s="5" customFormat="1" ht="15" customHeight="1">
      <c r="A104" s="1328"/>
      <c r="B104" s="1331"/>
      <c r="C104" s="1331"/>
      <c r="D104" s="1331"/>
      <c r="E104" s="1332"/>
      <c r="F104" s="1337"/>
      <c r="G104" s="1338"/>
      <c r="H104" s="1338"/>
      <c r="I104" s="1299" t="s">
        <v>414</v>
      </c>
      <c r="J104" s="1300"/>
      <c r="K104" s="1301" t="str">
        <f>"（"&amp;【マスター】!C81&amp;"に設置）"</f>
        <v>（玄関に設置）</v>
      </c>
      <c r="L104" s="1301"/>
      <c r="M104" s="1301"/>
      <c r="N104" s="1301"/>
      <c r="O104" s="1301"/>
      <c r="P104" s="1301"/>
      <c r="Q104" s="1301"/>
      <c r="R104" s="1301"/>
      <c r="S104" s="1301"/>
      <c r="T104" s="1301"/>
      <c r="X104" s="494"/>
    </row>
    <row r="105" spans="1:24" s="5" customFormat="1" ht="15" customHeight="1">
      <c r="A105" s="1308" t="s">
        <v>407</v>
      </c>
      <c r="B105" s="1281" t="str">
        <f>DBCS(【マスター】!A85)</f>
        <v>東三河広域連合</v>
      </c>
      <c r="C105" s="1281"/>
      <c r="D105" s="1281"/>
      <c r="E105" s="1329"/>
      <c r="F105" s="1293" t="s">
        <v>416</v>
      </c>
      <c r="G105" s="1294"/>
      <c r="H105" s="1294"/>
      <c r="I105" s="1294"/>
      <c r="J105" s="1295"/>
      <c r="K105" s="1290" t="str">
        <f>DBCS(【マスター】!D85)</f>
        <v>愛知県豊橋市八町通２丁目１６番地</v>
      </c>
      <c r="L105" s="1291"/>
      <c r="M105" s="1291"/>
      <c r="N105" s="1291"/>
      <c r="O105" s="1291"/>
      <c r="P105" s="1291"/>
      <c r="Q105" s="1291"/>
      <c r="R105" s="1291"/>
      <c r="S105" s="1291"/>
      <c r="T105" s="1292"/>
      <c r="V105" s="5" t="s">
        <v>417</v>
      </c>
      <c r="X105" s="494"/>
    </row>
    <row r="106" spans="1:24" s="5" customFormat="1" ht="15" customHeight="1">
      <c r="A106" s="1309"/>
      <c r="B106" s="1318"/>
      <c r="C106" s="1318"/>
      <c r="D106" s="1318"/>
      <c r="E106" s="1330"/>
      <c r="F106" s="1289" t="s">
        <v>418</v>
      </c>
      <c r="G106" s="1289"/>
      <c r="H106" s="1289"/>
      <c r="I106" s="1289"/>
      <c r="J106" s="1289"/>
      <c r="K106" s="1274" t="str">
        <f>DBCS(【マスター】!D86)</f>
        <v>０５３２－２６－８４７１</v>
      </c>
      <c r="L106" s="1275"/>
      <c r="M106" s="1275"/>
      <c r="N106" s="1275"/>
      <c r="O106" s="1275"/>
      <c r="P106" s="1275"/>
      <c r="Q106" s="1275"/>
      <c r="R106" s="1275"/>
      <c r="S106" s="1275"/>
      <c r="T106" s="1276"/>
      <c r="X106" s="494"/>
    </row>
    <row r="107" spans="1:24" s="5" customFormat="1" ht="15" customHeight="1">
      <c r="A107" s="1310"/>
      <c r="B107" s="1331" t="s">
        <v>419</v>
      </c>
      <c r="C107" s="1331"/>
      <c r="D107" s="1331"/>
      <c r="E107" s="1332"/>
      <c r="F107" s="1277" t="s">
        <v>410</v>
      </c>
      <c r="G107" s="1277"/>
      <c r="H107" s="1277"/>
      <c r="I107" s="1277"/>
      <c r="J107" s="1277"/>
      <c r="K107" s="1278" t="str">
        <f>DBCS(IF(B105=0,"",【マスター】!J86&amp;"～"&amp;【マスター】!L86))</f>
        <v>８：３０～１７：１５</v>
      </c>
      <c r="L107" s="1279"/>
      <c r="M107" s="1279"/>
      <c r="N107" s="1279"/>
      <c r="O107" s="1279"/>
      <c r="P107" s="1279"/>
      <c r="Q107" s="1279"/>
      <c r="R107" s="1279"/>
      <c r="S107" s="1279"/>
      <c r="T107" s="1280"/>
      <c r="X107" s="494"/>
    </row>
    <row r="108" spans="1:24" s="5" customFormat="1" ht="15" customHeight="1">
      <c r="A108" s="1308" t="s">
        <v>415</v>
      </c>
      <c r="B108" s="1281" t="str">
        <f>DBCS(【マスター】!A87)</f>
        <v/>
      </c>
      <c r="C108" s="1281"/>
      <c r="D108" s="1281"/>
      <c r="E108" s="1329"/>
      <c r="F108" s="1293" t="s">
        <v>416</v>
      </c>
      <c r="G108" s="1294"/>
      <c r="H108" s="1294"/>
      <c r="I108" s="1294"/>
      <c r="J108" s="1295"/>
      <c r="K108" s="1290" t="str">
        <f>DBCS(【マスター】!D87)</f>
        <v/>
      </c>
      <c r="L108" s="1291"/>
      <c r="M108" s="1291"/>
      <c r="N108" s="1291"/>
      <c r="O108" s="1291"/>
      <c r="P108" s="1291"/>
      <c r="Q108" s="1291"/>
      <c r="R108" s="1291"/>
      <c r="S108" s="1291"/>
      <c r="T108" s="1292"/>
      <c r="X108" s="494"/>
    </row>
    <row r="109" spans="1:24" s="5" customFormat="1" ht="15" customHeight="1">
      <c r="A109" s="1309"/>
      <c r="B109" s="1318"/>
      <c r="C109" s="1318"/>
      <c r="D109" s="1318"/>
      <c r="E109" s="1330"/>
      <c r="F109" s="1289" t="s">
        <v>418</v>
      </c>
      <c r="G109" s="1289"/>
      <c r="H109" s="1289"/>
      <c r="I109" s="1289"/>
      <c r="J109" s="1289"/>
      <c r="K109" s="1274" t="str">
        <f>DBCS(【マスター】!D88)</f>
        <v/>
      </c>
      <c r="L109" s="1275"/>
      <c r="M109" s="1275"/>
      <c r="N109" s="1275"/>
      <c r="O109" s="1275"/>
      <c r="P109" s="1275"/>
      <c r="Q109" s="1275"/>
      <c r="R109" s="1275"/>
      <c r="S109" s="1275"/>
      <c r="T109" s="1276"/>
      <c r="X109" s="494"/>
    </row>
    <row r="110" spans="1:24" s="5" customFormat="1" ht="15" customHeight="1">
      <c r="A110" s="1310"/>
      <c r="B110" s="1331" t="s">
        <v>419</v>
      </c>
      <c r="C110" s="1331"/>
      <c r="D110" s="1331"/>
      <c r="E110" s="1332"/>
      <c r="F110" s="1277" t="s">
        <v>410</v>
      </c>
      <c r="G110" s="1277"/>
      <c r="H110" s="1277"/>
      <c r="I110" s="1277"/>
      <c r="J110" s="1277"/>
      <c r="K110" s="1278" t="str">
        <f>DBCS(IF(B108=0,"",【マスター】!J88&amp;"～"&amp;【マスター】!L88))</f>
        <v>～</v>
      </c>
      <c r="L110" s="1279"/>
      <c r="M110" s="1279"/>
      <c r="N110" s="1279"/>
      <c r="O110" s="1279"/>
      <c r="P110" s="1279"/>
      <c r="Q110" s="1279"/>
      <c r="R110" s="1279"/>
      <c r="S110" s="1279"/>
      <c r="T110" s="1280"/>
      <c r="X110" s="494"/>
    </row>
    <row r="111" spans="1:24" s="5" customFormat="1" ht="15" customHeight="1">
      <c r="A111" s="1308" t="s">
        <v>415</v>
      </c>
      <c r="B111" s="1281" t="str">
        <f>DBCS(【マスター】!A89)</f>
        <v/>
      </c>
      <c r="C111" s="1281"/>
      <c r="D111" s="1281"/>
      <c r="E111" s="1329"/>
      <c r="F111" s="1293" t="s">
        <v>416</v>
      </c>
      <c r="G111" s="1294"/>
      <c r="H111" s="1294"/>
      <c r="I111" s="1294"/>
      <c r="J111" s="1295"/>
      <c r="K111" s="1290" t="str">
        <f>DBCS(【マスター】!D89)</f>
        <v/>
      </c>
      <c r="L111" s="1291"/>
      <c r="M111" s="1291"/>
      <c r="N111" s="1291"/>
      <c r="O111" s="1291"/>
      <c r="P111" s="1291"/>
      <c r="Q111" s="1291"/>
      <c r="R111" s="1291"/>
      <c r="S111" s="1291"/>
      <c r="T111" s="1292"/>
      <c r="X111" s="494"/>
    </row>
    <row r="112" spans="1:24" s="5" customFormat="1" ht="15" customHeight="1">
      <c r="A112" s="1309"/>
      <c r="B112" s="1318"/>
      <c r="C112" s="1318"/>
      <c r="D112" s="1318"/>
      <c r="E112" s="1330"/>
      <c r="F112" s="1289" t="s">
        <v>418</v>
      </c>
      <c r="G112" s="1289"/>
      <c r="H112" s="1289"/>
      <c r="I112" s="1289"/>
      <c r="J112" s="1289"/>
      <c r="K112" s="1274" t="str">
        <f>DBCS(【マスター】!D90)</f>
        <v/>
      </c>
      <c r="L112" s="1275"/>
      <c r="M112" s="1275"/>
      <c r="N112" s="1275"/>
      <c r="O112" s="1275"/>
      <c r="P112" s="1275"/>
      <c r="Q112" s="1275"/>
      <c r="R112" s="1275"/>
      <c r="S112" s="1275"/>
      <c r="T112" s="1276"/>
      <c r="X112" s="494"/>
    </row>
    <row r="113" spans="1:24" s="5" customFormat="1" ht="15" customHeight="1">
      <c r="A113" s="1310"/>
      <c r="B113" s="1331" t="s">
        <v>419</v>
      </c>
      <c r="C113" s="1331"/>
      <c r="D113" s="1331"/>
      <c r="E113" s="1332"/>
      <c r="F113" s="1277" t="s">
        <v>410</v>
      </c>
      <c r="G113" s="1277"/>
      <c r="H113" s="1277"/>
      <c r="I113" s="1277"/>
      <c r="J113" s="1277"/>
      <c r="K113" s="1278" t="str">
        <f>DBCS(IF(B111=0,"",【マスター】!J90&amp;"～"&amp;【マスター】!L90))</f>
        <v>～</v>
      </c>
      <c r="L113" s="1279"/>
      <c r="M113" s="1279"/>
      <c r="N113" s="1279"/>
      <c r="O113" s="1279"/>
      <c r="P113" s="1279"/>
      <c r="Q113" s="1279"/>
      <c r="R113" s="1279"/>
      <c r="S113" s="1279"/>
      <c r="T113" s="1280"/>
      <c r="X113" s="494"/>
    </row>
    <row r="114" spans="1:24" s="5" customFormat="1" ht="15" customHeight="1">
      <c r="A114" s="1308" t="s">
        <v>415</v>
      </c>
      <c r="B114" s="1281" t="str">
        <f>DBCS(【マスター】!A91)</f>
        <v/>
      </c>
      <c r="C114" s="1281"/>
      <c r="D114" s="1281"/>
      <c r="E114" s="1329"/>
      <c r="F114" s="1293" t="s">
        <v>416</v>
      </c>
      <c r="G114" s="1294"/>
      <c r="H114" s="1294"/>
      <c r="I114" s="1294"/>
      <c r="J114" s="1295"/>
      <c r="K114" s="1290" t="str">
        <f>DBCS(【マスター】!D91)</f>
        <v/>
      </c>
      <c r="L114" s="1291"/>
      <c r="M114" s="1291"/>
      <c r="N114" s="1291"/>
      <c r="O114" s="1291"/>
      <c r="P114" s="1291"/>
      <c r="Q114" s="1291"/>
      <c r="R114" s="1291"/>
      <c r="S114" s="1291"/>
      <c r="T114" s="1292"/>
      <c r="X114" s="494"/>
    </row>
    <row r="115" spans="1:24" s="5" customFormat="1" ht="15" customHeight="1">
      <c r="A115" s="1309"/>
      <c r="B115" s="1318"/>
      <c r="C115" s="1318"/>
      <c r="D115" s="1318"/>
      <c r="E115" s="1330"/>
      <c r="F115" s="1289" t="s">
        <v>418</v>
      </c>
      <c r="G115" s="1289"/>
      <c r="H115" s="1289"/>
      <c r="I115" s="1289"/>
      <c r="J115" s="1289"/>
      <c r="K115" s="1274" t="str">
        <f>DBCS(【マスター】!D92)</f>
        <v/>
      </c>
      <c r="L115" s="1275"/>
      <c r="M115" s="1275"/>
      <c r="N115" s="1275"/>
      <c r="O115" s="1275"/>
      <c r="P115" s="1275"/>
      <c r="Q115" s="1275"/>
      <c r="R115" s="1275"/>
      <c r="S115" s="1275"/>
      <c r="T115" s="1276"/>
      <c r="X115" s="494"/>
    </row>
    <row r="116" spans="1:24" s="5" customFormat="1" ht="15" customHeight="1">
      <c r="A116" s="1310"/>
      <c r="B116" s="1331" t="s">
        <v>419</v>
      </c>
      <c r="C116" s="1331"/>
      <c r="D116" s="1331"/>
      <c r="E116" s="1332"/>
      <c r="F116" s="1277" t="s">
        <v>410</v>
      </c>
      <c r="G116" s="1277"/>
      <c r="H116" s="1277"/>
      <c r="I116" s="1277"/>
      <c r="J116" s="1277"/>
      <c r="K116" s="1278" t="str">
        <f>DBCS(IF(B114=0,"",【マスター】!J92&amp;"～"&amp;【マスター】!L92))</f>
        <v>～</v>
      </c>
      <c r="L116" s="1279"/>
      <c r="M116" s="1279"/>
      <c r="N116" s="1279"/>
      <c r="O116" s="1279"/>
      <c r="P116" s="1279"/>
      <c r="Q116" s="1279"/>
      <c r="R116" s="1279"/>
      <c r="S116" s="1279"/>
      <c r="T116" s="1280"/>
      <c r="X116" s="494"/>
    </row>
    <row r="117" spans="1:24" s="5" customFormat="1" ht="15" customHeight="1">
      <c r="A117" s="1308" t="s">
        <v>415</v>
      </c>
      <c r="B117" s="1281" t="str">
        <f>DBCS(【マスター】!A93)</f>
        <v/>
      </c>
      <c r="C117" s="1281"/>
      <c r="D117" s="1281"/>
      <c r="E117" s="1329"/>
      <c r="F117" s="1293" t="s">
        <v>416</v>
      </c>
      <c r="G117" s="1294"/>
      <c r="H117" s="1294"/>
      <c r="I117" s="1294"/>
      <c r="J117" s="1295"/>
      <c r="K117" s="1290" t="str">
        <f>DBCS(【マスター】!D93)</f>
        <v/>
      </c>
      <c r="L117" s="1291"/>
      <c r="M117" s="1291"/>
      <c r="N117" s="1291"/>
      <c r="O117" s="1291"/>
      <c r="P117" s="1291"/>
      <c r="Q117" s="1291"/>
      <c r="R117" s="1291"/>
      <c r="S117" s="1291"/>
      <c r="T117" s="1292"/>
      <c r="X117" s="494"/>
    </row>
    <row r="118" spans="1:24" s="5" customFormat="1" ht="15" customHeight="1">
      <c r="A118" s="1309"/>
      <c r="B118" s="1318"/>
      <c r="C118" s="1318"/>
      <c r="D118" s="1318"/>
      <c r="E118" s="1330"/>
      <c r="F118" s="1289" t="s">
        <v>418</v>
      </c>
      <c r="G118" s="1289"/>
      <c r="H118" s="1289"/>
      <c r="I118" s="1289"/>
      <c r="J118" s="1289"/>
      <c r="K118" s="1274" t="str">
        <f>DBCS(【マスター】!D94)</f>
        <v/>
      </c>
      <c r="L118" s="1275"/>
      <c r="M118" s="1275"/>
      <c r="N118" s="1275"/>
      <c r="O118" s="1275"/>
      <c r="P118" s="1275"/>
      <c r="Q118" s="1275"/>
      <c r="R118" s="1275"/>
      <c r="S118" s="1275"/>
      <c r="T118" s="1276"/>
      <c r="X118" s="494"/>
    </row>
    <row r="119" spans="1:24" s="5" customFormat="1" ht="15" customHeight="1">
      <c r="A119" s="1310"/>
      <c r="B119" s="1331" t="s">
        <v>419</v>
      </c>
      <c r="C119" s="1331"/>
      <c r="D119" s="1331"/>
      <c r="E119" s="1332"/>
      <c r="F119" s="1277" t="s">
        <v>410</v>
      </c>
      <c r="G119" s="1277"/>
      <c r="H119" s="1277"/>
      <c r="I119" s="1277"/>
      <c r="J119" s="1277"/>
      <c r="K119" s="1278" t="str">
        <f>DBCS(IF(B114=0,"",【マスター】!J94&amp;"～"&amp;【マスター】!L94))</f>
        <v>～</v>
      </c>
      <c r="L119" s="1279"/>
      <c r="M119" s="1279"/>
      <c r="N119" s="1279"/>
      <c r="O119" s="1279"/>
      <c r="P119" s="1279"/>
      <c r="Q119" s="1279"/>
      <c r="R119" s="1279"/>
      <c r="S119" s="1279"/>
      <c r="T119" s="1280"/>
      <c r="X119" s="494"/>
    </row>
    <row r="120" spans="1:24" s="5" customFormat="1" ht="15" customHeight="1">
      <c r="A120" s="1308" t="s">
        <v>407</v>
      </c>
      <c r="B120" s="1281" t="s">
        <v>420</v>
      </c>
      <c r="C120" s="1282"/>
      <c r="D120" s="1282"/>
      <c r="E120" s="1283"/>
      <c r="F120" s="1288" t="s">
        <v>416</v>
      </c>
      <c r="G120" s="1288"/>
      <c r="H120" s="1288"/>
      <c r="I120" s="1288"/>
      <c r="J120" s="1288"/>
      <c r="K120" s="1290" t="str">
        <f>DBCS(【マスター】!D95)</f>
        <v>愛知県名古屋市東区泉一丁目６番５号</v>
      </c>
      <c r="L120" s="1291"/>
      <c r="M120" s="1291"/>
      <c r="N120" s="1291"/>
      <c r="O120" s="1291"/>
      <c r="P120" s="1291"/>
      <c r="Q120" s="1291"/>
      <c r="R120" s="1291"/>
      <c r="S120" s="1291"/>
      <c r="T120" s="1292"/>
      <c r="X120" s="1005"/>
    </row>
    <row r="121" spans="1:24" s="5" customFormat="1" ht="15" customHeight="1">
      <c r="A121" s="1309"/>
      <c r="B121" s="1284"/>
      <c r="C121" s="1284"/>
      <c r="D121" s="1284"/>
      <c r="E121" s="1285"/>
      <c r="F121" s="1289" t="s">
        <v>418</v>
      </c>
      <c r="G121" s="1289"/>
      <c r="H121" s="1289"/>
      <c r="I121" s="1289"/>
      <c r="J121" s="1289"/>
      <c r="K121" s="1274" t="str">
        <f>DBCS(【マスター】!D96)</f>
        <v>０５２－９７１－４１６５</v>
      </c>
      <c r="L121" s="1275"/>
      <c r="M121" s="1275"/>
      <c r="N121" s="1275"/>
      <c r="O121" s="1275"/>
      <c r="P121" s="1275"/>
      <c r="Q121" s="1275"/>
      <c r="R121" s="1275"/>
      <c r="S121" s="1275"/>
      <c r="T121" s="1276"/>
      <c r="X121" s="1005"/>
    </row>
    <row r="122" spans="1:24" s="5" customFormat="1" ht="15" customHeight="1">
      <c r="A122" s="1310"/>
      <c r="B122" s="1286"/>
      <c r="C122" s="1286"/>
      <c r="D122" s="1286"/>
      <c r="E122" s="1287"/>
      <c r="F122" s="1277" t="s">
        <v>410</v>
      </c>
      <c r="G122" s="1277"/>
      <c r="H122" s="1277"/>
      <c r="I122" s="1277"/>
      <c r="J122" s="1277"/>
      <c r="K122" s="1278" t="str">
        <f>DBCS(IF(B117=0,"",【マスター】!J96&amp;"～"&amp;【マスター】!L96))</f>
        <v>９：００～１７：００</v>
      </c>
      <c r="L122" s="1279"/>
      <c r="M122" s="1279"/>
      <c r="N122" s="1279"/>
      <c r="O122" s="1279"/>
      <c r="P122" s="1279"/>
      <c r="Q122" s="1279"/>
      <c r="R122" s="1279"/>
      <c r="S122" s="1279"/>
      <c r="T122" s="1280"/>
      <c r="X122" s="494"/>
    </row>
    <row r="123" spans="1:24" s="5" customFormat="1" ht="15" customHeight="1">
      <c r="A123" s="1043"/>
      <c r="B123" s="1028"/>
      <c r="C123" s="1028"/>
      <c r="D123" s="1028"/>
      <c r="E123" s="1028"/>
      <c r="F123" s="1032"/>
      <c r="G123" s="1032"/>
      <c r="H123" s="1032"/>
      <c r="I123" s="1032"/>
      <c r="J123" s="1032"/>
      <c r="K123" s="1014"/>
      <c r="L123" s="1014"/>
      <c r="M123" s="1014"/>
      <c r="N123" s="1014"/>
      <c r="O123" s="1014"/>
      <c r="P123" s="1014"/>
      <c r="Q123" s="1014"/>
      <c r="R123" s="1014"/>
      <c r="S123" s="1014"/>
      <c r="T123" s="1014"/>
      <c r="X123" s="494"/>
    </row>
    <row r="124" spans="1:24" s="5" customFormat="1" ht="15" customHeight="1">
      <c r="A124" s="1020" t="s">
        <v>421</v>
      </c>
      <c r="B124" s="1012"/>
      <c r="C124" s="1012"/>
      <c r="D124" s="1020"/>
      <c r="E124" s="1020"/>
      <c r="F124" s="1020"/>
      <c r="G124" s="1020"/>
      <c r="H124" s="1020"/>
      <c r="I124" s="1020"/>
      <c r="J124" s="1020"/>
      <c r="K124" s="1020"/>
      <c r="L124" s="1020"/>
      <c r="M124" s="1020"/>
      <c r="N124" s="1020"/>
      <c r="O124" s="1020"/>
      <c r="P124" s="1020"/>
      <c r="Q124" s="1020"/>
      <c r="R124" s="1020"/>
      <c r="S124" s="1020"/>
      <c r="T124" s="1020"/>
      <c r="X124" s="494"/>
    </row>
    <row r="125" spans="1:24" s="5" customFormat="1" ht="15" customHeight="1">
      <c r="A125" s="1324" t="s">
        <v>422</v>
      </c>
      <c r="B125" s="1324"/>
      <c r="C125" s="1324"/>
      <c r="D125" s="1324"/>
      <c r="E125" s="1324"/>
      <c r="F125" s="1324"/>
      <c r="G125" s="1324"/>
      <c r="H125" s="1324"/>
      <c r="I125" s="1324"/>
      <c r="J125" s="1324"/>
      <c r="K125" s="1324"/>
      <c r="L125" s="1324"/>
      <c r="M125" s="1324"/>
      <c r="N125" s="1324"/>
      <c r="O125" s="1324"/>
      <c r="P125" s="1324"/>
      <c r="Q125" s="1324"/>
      <c r="R125" s="1324"/>
      <c r="S125" s="1324"/>
      <c r="T125" s="1324"/>
      <c r="X125" s="494"/>
    </row>
    <row r="126" spans="1:24" s="5" customFormat="1" ht="15" customHeight="1">
      <c r="A126" s="1324"/>
      <c r="B126" s="1324"/>
      <c r="C126" s="1324"/>
      <c r="D126" s="1324"/>
      <c r="E126" s="1324"/>
      <c r="F126" s="1324"/>
      <c r="G126" s="1324"/>
      <c r="H126" s="1324"/>
      <c r="I126" s="1324"/>
      <c r="J126" s="1324"/>
      <c r="K126" s="1324"/>
      <c r="L126" s="1324"/>
      <c r="M126" s="1324"/>
      <c r="N126" s="1324"/>
      <c r="O126" s="1324"/>
      <c r="P126" s="1324"/>
      <c r="Q126" s="1324"/>
      <c r="R126" s="1324"/>
      <c r="S126" s="1324"/>
      <c r="T126" s="1324"/>
      <c r="X126" s="494"/>
    </row>
    <row r="127" spans="1:24" s="5" customFormat="1" ht="15" customHeight="1">
      <c r="A127" s="1324"/>
      <c r="B127" s="1324"/>
      <c r="C127" s="1324"/>
      <c r="D127" s="1324"/>
      <c r="E127" s="1324"/>
      <c r="F127" s="1324"/>
      <c r="G127" s="1324"/>
      <c r="H127" s="1324"/>
      <c r="I127" s="1324"/>
      <c r="J127" s="1324"/>
      <c r="K127" s="1324"/>
      <c r="L127" s="1324"/>
      <c r="M127" s="1324"/>
      <c r="N127" s="1324"/>
      <c r="O127" s="1324"/>
      <c r="P127" s="1324"/>
      <c r="Q127" s="1324"/>
      <c r="R127" s="1324"/>
      <c r="S127" s="1324"/>
      <c r="T127" s="1324"/>
      <c r="X127" s="494"/>
    </row>
    <row r="128" spans="1:24" s="5" customFormat="1" ht="15" customHeight="1">
      <c r="A128" s="1324"/>
      <c r="B128" s="1324"/>
      <c r="C128" s="1324"/>
      <c r="D128" s="1324"/>
      <c r="E128" s="1324"/>
      <c r="F128" s="1324"/>
      <c r="G128" s="1324"/>
      <c r="H128" s="1324"/>
      <c r="I128" s="1324"/>
      <c r="J128" s="1324"/>
      <c r="K128" s="1324"/>
      <c r="L128" s="1324"/>
      <c r="M128" s="1324"/>
      <c r="N128" s="1324"/>
      <c r="O128" s="1324"/>
      <c r="P128" s="1324"/>
      <c r="Q128" s="1324"/>
      <c r="R128" s="1324"/>
      <c r="S128" s="1324"/>
      <c r="T128" s="1324"/>
      <c r="X128" s="494"/>
    </row>
    <row r="129" spans="1:24" s="5" customFormat="1" ht="15" customHeight="1">
      <c r="A129" s="1324" t="s">
        <v>423</v>
      </c>
      <c r="B129" s="1324"/>
      <c r="C129" s="1324"/>
      <c r="D129" s="1324"/>
      <c r="E129" s="1324"/>
      <c r="F129" s="1324"/>
      <c r="G129" s="1324"/>
      <c r="H129" s="1324"/>
      <c r="I129" s="1324"/>
      <c r="J129" s="1324"/>
      <c r="K129" s="1324"/>
      <c r="L129" s="1324"/>
      <c r="M129" s="1324"/>
      <c r="N129" s="1324"/>
      <c r="O129" s="1324"/>
      <c r="P129" s="1324"/>
      <c r="Q129" s="1324"/>
      <c r="R129" s="1324"/>
      <c r="S129" s="1324"/>
      <c r="T129" s="1324"/>
      <c r="X129" s="494"/>
    </row>
    <row r="130" spans="1:24" s="5" customFormat="1" ht="15" customHeight="1">
      <c r="A130" s="1324"/>
      <c r="B130" s="1324"/>
      <c r="C130" s="1324"/>
      <c r="D130" s="1324"/>
      <c r="E130" s="1324"/>
      <c r="F130" s="1324"/>
      <c r="G130" s="1324"/>
      <c r="H130" s="1324"/>
      <c r="I130" s="1324"/>
      <c r="J130" s="1324"/>
      <c r="K130" s="1324"/>
      <c r="L130" s="1324"/>
      <c r="M130" s="1324"/>
      <c r="N130" s="1324"/>
      <c r="O130" s="1324"/>
      <c r="P130" s="1324"/>
      <c r="Q130" s="1324"/>
      <c r="R130" s="1324"/>
      <c r="S130" s="1324"/>
      <c r="T130" s="1324"/>
      <c r="X130" s="494"/>
    </row>
    <row r="131" spans="1:24" s="5" customFormat="1" ht="15" customHeight="1">
      <c r="A131" s="1324"/>
      <c r="B131" s="1324"/>
      <c r="C131" s="1324"/>
      <c r="D131" s="1324"/>
      <c r="E131" s="1324"/>
      <c r="F131" s="1324"/>
      <c r="G131" s="1324"/>
      <c r="H131" s="1324"/>
      <c r="I131" s="1324"/>
      <c r="J131" s="1324"/>
      <c r="K131" s="1324"/>
      <c r="L131" s="1324"/>
      <c r="M131" s="1324"/>
      <c r="N131" s="1324"/>
      <c r="O131" s="1324"/>
      <c r="P131" s="1324"/>
      <c r="Q131" s="1324"/>
      <c r="R131" s="1324"/>
      <c r="S131" s="1324"/>
      <c r="T131" s="1324"/>
      <c r="X131" s="494"/>
    </row>
    <row r="132" spans="1:24" s="5" customFormat="1" ht="15" customHeight="1">
      <c r="A132" s="1020"/>
      <c r="B132" s="1325" t="s">
        <v>424</v>
      </c>
      <c r="C132" s="1325"/>
      <c r="D132" s="1325"/>
      <c r="E132" s="1325"/>
      <c r="F132" s="1325"/>
      <c r="G132" s="1325"/>
      <c r="H132" s="1325"/>
      <c r="I132" s="1318" t="str">
        <f>IF(【マスター】!C104=0,"",【マスター】!C104)</f>
        <v>AIG損害保険</v>
      </c>
      <c r="J132" s="1318"/>
      <c r="K132" s="1318"/>
      <c r="L132" s="1318"/>
      <c r="M132" s="1318"/>
      <c r="N132" s="1318"/>
      <c r="O132" s="1318"/>
      <c r="P132" s="1318"/>
      <c r="Q132" s="1318"/>
      <c r="R132" s="1318"/>
      <c r="S132" s="1318"/>
      <c r="T132" s="1318"/>
      <c r="X132" s="494"/>
    </row>
    <row r="133" spans="1:24" s="5" customFormat="1" ht="15" customHeight="1">
      <c r="A133" s="1020"/>
      <c r="B133" s="1325" t="s">
        <v>425</v>
      </c>
      <c r="C133" s="1325"/>
      <c r="D133" s="1325"/>
      <c r="E133" s="1325"/>
      <c r="F133" s="1325"/>
      <c r="G133" s="1325"/>
      <c r="H133" s="1325"/>
      <c r="I133" s="1318" t="str">
        <f>IF(【マスター】!C105=0,"",【マスター】!C105)</f>
        <v>介護保険・社規福祉事業者総合保険</v>
      </c>
      <c r="J133" s="1318"/>
      <c r="K133" s="1318"/>
      <c r="L133" s="1318"/>
      <c r="M133" s="1318"/>
      <c r="N133" s="1318"/>
      <c r="O133" s="1318"/>
      <c r="P133" s="1318"/>
      <c r="Q133" s="1318"/>
      <c r="R133" s="1318"/>
      <c r="S133" s="1318"/>
      <c r="T133" s="1318"/>
      <c r="X133" s="494"/>
    </row>
    <row r="134" spans="1:24" s="5" customFormat="1" ht="15" customHeight="1">
      <c r="A134" s="1020"/>
      <c r="B134" s="1042"/>
      <c r="C134" s="1042"/>
      <c r="D134" s="1042"/>
      <c r="E134" s="1042"/>
      <c r="F134" s="1042"/>
      <c r="G134" s="1042"/>
      <c r="H134" s="1042"/>
      <c r="I134" s="1028"/>
      <c r="J134" s="1028"/>
      <c r="K134" s="1028"/>
      <c r="L134" s="1028"/>
      <c r="M134" s="1028"/>
      <c r="N134" s="1028"/>
      <c r="O134" s="1028"/>
      <c r="P134" s="1028"/>
      <c r="Q134" s="1028"/>
      <c r="R134" s="1028"/>
      <c r="S134" s="1028"/>
      <c r="T134" s="1028"/>
      <c r="X134" s="494"/>
    </row>
    <row r="135" spans="1:24" s="5" customFormat="1" ht="15" customHeight="1">
      <c r="A135" s="1020" t="s">
        <v>426</v>
      </c>
      <c r="B135" s="1012"/>
      <c r="C135" s="1012"/>
      <c r="D135" s="1020"/>
      <c r="E135" s="1020"/>
      <c r="F135" s="1020"/>
      <c r="G135" s="1020"/>
      <c r="H135" s="1020"/>
      <c r="I135" s="1020"/>
      <c r="J135" s="1020"/>
      <c r="K135" s="1020"/>
      <c r="L135" s="1020"/>
      <c r="M135" s="1020"/>
      <c r="N135" s="1020"/>
      <c r="O135" s="1020"/>
      <c r="P135" s="1020"/>
      <c r="Q135" s="1020"/>
      <c r="R135" s="1020"/>
      <c r="S135" s="1020"/>
      <c r="T135" s="1020"/>
      <c r="X135" s="494"/>
    </row>
    <row r="136" spans="1:24" s="5" customFormat="1" ht="15" customHeight="1">
      <c r="A136" s="1324" t="s">
        <v>427</v>
      </c>
      <c r="B136" s="1324"/>
      <c r="C136" s="1324"/>
      <c r="D136" s="1324"/>
      <c r="E136" s="1324"/>
      <c r="F136" s="1324"/>
      <c r="G136" s="1324"/>
      <c r="H136" s="1324"/>
      <c r="I136" s="1324"/>
      <c r="J136" s="1324"/>
      <c r="K136" s="1324"/>
      <c r="L136" s="1324"/>
      <c r="M136" s="1324"/>
      <c r="N136" s="1324"/>
      <c r="O136" s="1324"/>
      <c r="P136" s="1324"/>
      <c r="Q136" s="1324"/>
      <c r="R136" s="1324"/>
      <c r="S136" s="1324"/>
      <c r="T136" s="1324"/>
    </row>
    <row r="137" spans="1:24" s="5" customFormat="1" ht="15" customHeight="1">
      <c r="A137" s="1324"/>
      <c r="B137" s="1324"/>
      <c r="C137" s="1324"/>
      <c r="D137" s="1324"/>
      <c r="E137" s="1324"/>
      <c r="F137" s="1324"/>
      <c r="G137" s="1324"/>
      <c r="H137" s="1324"/>
      <c r="I137" s="1324"/>
      <c r="J137" s="1324"/>
      <c r="K137" s="1324"/>
      <c r="L137" s="1324"/>
      <c r="M137" s="1324"/>
      <c r="N137" s="1324"/>
      <c r="O137" s="1324"/>
      <c r="P137" s="1324"/>
      <c r="Q137" s="1324"/>
      <c r="R137" s="1324"/>
      <c r="S137" s="1324"/>
      <c r="T137" s="1324"/>
      <c r="X137" s="494"/>
    </row>
    <row r="138" spans="1:24" s="5" customFormat="1" ht="15" customHeight="1">
      <c r="A138" s="1324"/>
      <c r="B138" s="1324"/>
      <c r="C138" s="1324"/>
      <c r="D138" s="1324"/>
      <c r="E138" s="1324"/>
      <c r="F138" s="1324"/>
      <c r="G138" s="1324"/>
      <c r="H138" s="1324"/>
      <c r="I138" s="1324"/>
      <c r="J138" s="1324"/>
      <c r="K138" s="1324"/>
      <c r="L138" s="1324"/>
      <c r="M138" s="1324"/>
      <c r="N138" s="1324"/>
      <c r="O138" s="1324"/>
      <c r="P138" s="1324"/>
      <c r="Q138" s="1324"/>
      <c r="R138" s="1324"/>
      <c r="S138" s="1324"/>
      <c r="T138" s="1324"/>
      <c r="X138" s="494"/>
    </row>
    <row r="139" spans="1:24" s="5" customFormat="1" ht="15" customHeight="1">
      <c r="A139" s="1020"/>
      <c r="B139" s="1012"/>
      <c r="C139" s="1012"/>
      <c r="D139" s="1020"/>
      <c r="E139" s="1020"/>
      <c r="F139" s="1020"/>
      <c r="G139" s="1020"/>
      <c r="H139" s="1020"/>
      <c r="I139" s="1020"/>
      <c r="J139" s="1020"/>
      <c r="K139" s="1020"/>
      <c r="L139" s="1020"/>
      <c r="M139" s="1020"/>
      <c r="N139" s="1020"/>
      <c r="O139" s="1020"/>
      <c r="P139" s="1020"/>
      <c r="Q139" s="1020"/>
      <c r="R139" s="1020"/>
      <c r="S139" s="1020"/>
      <c r="T139" s="1020"/>
      <c r="X139" s="494"/>
    </row>
    <row r="140" spans="1:24" s="5" customFormat="1" ht="15" customHeight="1">
      <c r="A140" s="1020" t="s">
        <v>428</v>
      </c>
      <c r="B140" s="1012"/>
      <c r="C140" s="1012"/>
      <c r="D140" s="1020"/>
      <c r="E140" s="1020"/>
      <c r="F140" s="1020"/>
      <c r="G140" s="1020"/>
      <c r="H140" s="1020"/>
      <c r="I140" s="1020"/>
      <c r="J140" s="1020"/>
      <c r="K140" s="1020"/>
      <c r="L140" s="1020"/>
      <c r="M140" s="1020"/>
      <c r="N140" s="1020"/>
      <c r="O140" s="1020"/>
      <c r="P140" s="1020"/>
      <c r="Q140" s="1020"/>
      <c r="R140" s="1020"/>
      <c r="S140" s="1020"/>
      <c r="T140" s="1020"/>
      <c r="X140" s="494"/>
    </row>
    <row r="141" spans="1:24" s="5" customFormat="1" ht="15" customHeight="1">
      <c r="A141" s="1311" t="s">
        <v>429</v>
      </c>
      <c r="B141" s="1311"/>
      <c r="C141" s="1311"/>
      <c r="D141" s="1311"/>
      <c r="E141" s="1311"/>
      <c r="F141" s="1311"/>
      <c r="G141" s="1312" t="s">
        <v>430</v>
      </c>
      <c r="H141" s="1313"/>
      <c r="I141" s="1313"/>
      <c r="J141" s="1313"/>
      <c r="K141" s="1313"/>
      <c r="L141" s="1313"/>
      <c r="M141" s="1313"/>
      <c r="N141" s="1313"/>
      <c r="O141" s="1313"/>
      <c r="P141" s="1313"/>
      <c r="Q141" s="1313"/>
      <c r="R141" s="1313"/>
      <c r="S141" s="1313"/>
      <c r="T141" s="1314"/>
      <c r="X141" s="494"/>
    </row>
    <row r="142" spans="1:24" s="5" customFormat="1" ht="15" customHeight="1">
      <c r="A142" s="1302" t="s">
        <v>431</v>
      </c>
      <c r="B142" s="1302"/>
      <c r="C142" s="1302"/>
      <c r="D142" s="1302"/>
      <c r="E142" s="1302"/>
      <c r="F142" s="1302"/>
      <c r="G142" s="1321" t="s">
        <v>432</v>
      </c>
      <c r="H142" s="1322"/>
      <c r="I142" s="1322"/>
      <c r="J142" s="1322"/>
      <c r="K142" s="1322"/>
      <c r="L142" s="1322"/>
      <c r="M142" s="1322"/>
      <c r="N142" s="1322"/>
      <c r="O142" s="1322"/>
      <c r="P142" s="1322"/>
      <c r="Q142" s="1322"/>
      <c r="R142" s="1322"/>
      <c r="S142" s="1322"/>
      <c r="T142" s="1323"/>
      <c r="X142" s="494"/>
    </row>
    <row r="143" spans="1:24" s="5" customFormat="1" ht="15" customHeight="1">
      <c r="A143" s="1302"/>
      <c r="B143" s="1302"/>
      <c r="C143" s="1302"/>
      <c r="D143" s="1302"/>
      <c r="E143" s="1302"/>
      <c r="F143" s="1302"/>
      <c r="G143" s="1302" t="s">
        <v>275</v>
      </c>
      <c r="H143" s="1302"/>
      <c r="I143" s="1302"/>
      <c r="J143" s="1302"/>
      <c r="K143" s="1302"/>
      <c r="L143" s="1302" t="s">
        <v>276</v>
      </c>
      <c r="M143" s="1302"/>
      <c r="N143" s="1302" t="s">
        <v>275</v>
      </c>
      <c r="O143" s="1302"/>
      <c r="P143" s="1302"/>
      <c r="Q143" s="1302"/>
      <c r="R143" s="1302"/>
      <c r="S143" s="1302" t="s">
        <v>276</v>
      </c>
      <c r="T143" s="1302"/>
      <c r="X143" s="494"/>
    </row>
    <row r="144" spans="1:24" s="5" customFormat="1" ht="15" customHeight="1">
      <c r="A144" s="1302"/>
      <c r="B144" s="1302"/>
      <c r="C144" s="1302"/>
      <c r="D144" s="1302"/>
      <c r="E144" s="1302"/>
      <c r="F144" s="1302"/>
      <c r="G144" s="1302" t="s">
        <v>277</v>
      </c>
      <c r="H144" s="1302"/>
      <c r="I144" s="1302"/>
      <c r="J144" s="1302"/>
      <c r="K144" s="1302"/>
      <c r="L144" s="1302" t="str">
        <f>DBCS(【マスター】!B99)</f>
        <v/>
      </c>
      <c r="M144" s="1302"/>
      <c r="N144" s="1311" t="s">
        <v>433</v>
      </c>
      <c r="O144" s="1311"/>
      <c r="P144" s="1311"/>
      <c r="Q144" s="1311"/>
      <c r="R144" s="1311"/>
      <c r="S144" s="1302" t="str">
        <f>DBCS(【マスター】!E99)</f>
        <v/>
      </c>
      <c r="T144" s="1302"/>
      <c r="X144" s="494"/>
    </row>
    <row r="145" spans="1:24" s="5" customFormat="1" ht="15" customHeight="1">
      <c r="A145" s="1302"/>
      <c r="B145" s="1302"/>
      <c r="C145" s="1302"/>
      <c r="D145" s="1302"/>
      <c r="E145" s="1302"/>
      <c r="F145" s="1302"/>
      <c r="G145" s="1302" t="s">
        <v>279</v>
      </c>
      <c r="H145" s="1302"/>
      <c r="I145" s="1302"/>
      <c r="J145" s="1302"/>
      <c r="K145" s="1302"/>
      <c r="L145" s="1302" t="str">
        <f>DBCS(【マスター】!B100)</f>
        <v/>
      </c>
      <c r="M145" s="1302"/>
      <c r="N145" s="1302" t="s">
        <v>280</v>
      </c>
      <c r="O145" s="1302"/>
      <c r="P145" s="1302"/>
      <c r="Q145" s="1302"/>
      <c r="R145" s="1302"/>
      <c r="S145" s="1302" t="str">
        <f>DBCS(【マスター】!E100)</f>
        <v/>
      </c>
      <c r="T145" s="1302"/>
      <c r="X145" s="494"/>
    </row>
    <row r="146" spans="1:24" s="5" customFormat="1" ht="15" customHeight="1">
      <c r="A146" s="1302"/>
      <c r="B146" s="1302"/>
      <c r="C146" s="1302"/>
      <c r="D146" s="1302"/>
      <c r="E146" s="1302"/>
      <c r="F146" s="1302"/>
      <c r="G146" s="1302" t="s">
        <v>434</v>
      </c>
      <c r="H146" s="1302"/>
      <c r="I146" s="1302"/>
      <c r="J146" s="1302"/>
      <c r="K146" s="1302"/>
      <c r="L146" s="1302" t="str">
        <f>DBCS(【マスター】!B101)</f>
        <v/>
      </c>
      <c r="M146" s="1302"/>
      <c r="N146" s="1302" t="s">
        <v>282</v>
      </c>
      <c r="O146" s="1302"/>
      <c r="P146" s="1302"/>
      <c r="Q146" s="1302"/>
      <c r="R146" s="1302"/>
      <c r="S146" s="1302" t="str">
        <f>DBCS(【マスター】!E101)</f>
        <v/>
      </c>
      <c r="T146" s="1302"/>
      <c r="X146" s="494"/>
    </row>
    <row r="147" spans="1:24" s="5" customFormat="1" ht="15" customHeight="1">
      <c r="A147" s="1302"/>
      <c r="B147" s="1302"/>
      <c r="C147" s="1302"/>
      <c r="D147" s="1302"/>
      <c r="E147" s="1302"/>
      <c r="F147" s="1302"/>
      <c r="G147" s="1302" t="s">
        <v>283</v>
      </c>
      <c r="H147" s="1302"/>
      <c r="I147" s="1302"/>
      <c r="J147" s="1302"/>
      <c r="K147" s="1302"/>
      <c r="L147" s="1302" t="str">
        <f>DBCS(【マスター】!B102)</f>
        <v/>
      </c>
      <c r="M147" s="1302"/>
      <c r="N147" s="1302"/>
      <c r="O147" s="1302"/>
      <c r="P147" s="1302"/>
      <c r="Q147" s="1302"/>
      <c r="R147" s="1302"/>
      <c r="S147" s="1302"/>
      <c r="T147" s="1302"/>
      <c r="X147" s="494"/>
    </row>
    <row r="148" spans="1:24" s="5" customFormat="1" ht="15" customHeight="1">
      <c r="A148" s="1302"/>
      <c r="B148" s="1302"/>
      <c r="C148" s="1302"/>
      <c r="D148" s="1302"/>
      <c r="E148" s="1302"/>
      <c r="F148" s="1302"/>
      <c r="G148" s="1315" t="s">
        <v>435</v>
      </c>
      <c r="H148" s="1316"/>
      <c r="I148" s="1316"/>
      <c r="J148" s="1316"/>
      <c r="K148" s="1316"/>
      <c r="L148" s="1316"/>
      <c r="M148" s="1316"/>
      <c r="N148" s="1316"/>
      <c r="O148" s="1316"/>
      <c r="P148" s="1316"/>
      <c r="Q148" s="1316"/>
      <c r="R148" s="1316"/>
      <c r="S148" s="1316"/>
      <c r="T148" s="1317"/>
      <c r="X148" s="494"/>
    </row>
    <row r="149" spans="1:24" s="5" customFormat="1" ht="15" customHeight="1">
      <c r="A149" s="1032"/>
      <c r="B149" s="1032"/>
      <c r="C149" s="1032"/>
      <c r="D149" s="1032"/>
      <c r="E149" s="1032"/>
      <c r="F149" s="1032"/>
      <c r="G149" s="1028"/>
      <c r="H149" s="1028"/>
      <c r="I149" s="1028"/>
      <c r="J149" s="1028"/>
      <c r="K149" s="1028"/>
      <c r="L149" s="1028"/>
      <c r="M149" s="1028"/>
      <c r="N149" s="1028"/>
      <c r="O149" s="1028"/>
      <c r="P149" s="1028"/>
      <c r="Q149" s="1028"/>
      <c r="R149" s="1028"/>
      <c r="S149" s="1028"/>
      <c r="T149" s="1028"/>
      <c r="X149" s="494"/>
    </row>
    <row r="150" spans="1:24" s="5" customFormat="1" ht="15" customHeight="1">
      <c r="A150" s="5" t="s">
        <v>436</v>
      </c>
      <c r="B150" s="998"/>
      <c r="C150" s="998"/>
    </row>
    <row r="151" spans="1:24" s="5" customFormat="1" ht="15" customHeight="1">
      <c r="A151" s="1320" t="s">
        <v>1460</v>
      </c>
      <c r="B151" s="1320"/>
      <c r="C151" s="1320"/>
      <c r="D151" s="1320"/>
      <c r="E151" s="1320"/>
      <c r="F151" s="1320"/>
      <c r="G151" s="1320"/>
      <c r="H151" s="1320"/>
      <c r="I151" s="1320"/>
      <c r="J151" s="1320"/>
      <c r="K151" s="1320"/>
      <c r="L151" s="1320"/>
      <c r="M151" s="1320"/>
      <c r="N151" s="1320"/>
      <c r="O151" s="1320"/>
      <c r="P151" s="1320"/>
      <c r="Q151" s="1320"/>
      <c r="R151" s="1320"/>
      <c r="S151" s="1320"/>
      <c r="T151" s="1320"/>
    </row>
    <row r="152" spans="1:24" s="5" customFormat="1" ht="15" customHeight="1">
      <c r="A152" s="1320"/>
      <c r="B152" s="1320"/>
      <c r="C152" s="1320"/>
      <c r="D152" s="1320"/>
      <c r="E152" s="1320"/>
      <c r="F152" s="1320"/>
      <c r="G152" s="1320"/>
      <c r="H152" s="1320"/>
      <c r="I152" s="1320"/>
      <c r="J152" s="1320"/>
      <c r="K152" s="1320"/>
      <c r="L152" s="1320"/>
      <c r="M152" s="1320"/>
      <c r="N152" s="1320"/>
      <c r="O152" s="1320"/>
      <c r="P152" s="1320"/>
      <c r="Q152" s="1320"/>
      <c r="R152" s="1320"/>
      <c r="S152" s="1320"/>
      <c r="T152" s="1320"/>
    </row>
    <row r="153" spans="1:24" s="5" customFormat="1" ht="15" customHeight="1">
      <c r="A153" s="998" t="s">
        <v>438</v>
      </c>
      <c r="B153" s="998"/>
      <c r="C153" s="5" t="s">
        <v>2126</v>
      </c>
    </row>
    <row r="154" spans="1:24" s="5" customFormat="1" ht="15" customHeight="1">
      <c r="A154" s="998" t="s">
        <v>2136</v>
      </c>
      <c r="B154" s="998"/>
      <c r="C154" s="5" t="s">
        <v>2127</v>
      </c>
    </row>
    <row r="155" spans="1:24" s="5" customFormat="1" ht="15" customHeight="1">
      <c r="A155" s="998" t="s">
        <v>2137</v>
      </c>
      <c r="B155" s="998"/>
      <c r="C155" s="5" t="s">
        <v>2128</v>
      </c>
    </row>
    <row r="156" spans="1:24" s="5" customFormat="1" ht="15" customHeight="1">
      <c r="A156" s="998" t="s">
        <v>2138</v>
      </c>
      <c r="B156" s="998"/>
      <c r="C156" s="5" t="s">
        <v>2129</v>
      </c>
    </row>
    <row r="157" spans="1:24" s="5" customFormat="1" ht="15" customHeight="1">
      <c r="A157" s="998" t="s">
        <v>2139</v>
      </c>
      <c r="B157" s="998"/>
      <c r="C157" s="1258" t="s">
        <v>2130</v>
      </c>
      <c r="D157" s="1258"/>
      <c r="E157" s="1258"/>
      <c r="F157" s="1258"/>
      <c r="G157" s="1258"/>
    </row>
    <row r="158" spans="1:24" s="5" customFormat="1" ht="15" customHeight="1">
      <c r="A158" s="998"/>
      <c r="B158" s="998"/>
      <c r="C158" s="1258" t="s">
        <v>2140</v>
      </c>
      <c r="D158" s="1258"/>
      <c r="E158" s="1258"/>
      <c r="F158" s="1258"/>
      <c r="G158" s="1258"/>
      <c r="H158" s="1258"/>
      <c r="I158" s="1258"/>
      <c r="J158" s="1258"/>
      <c r="K158" s="1258"/>
      <c r="L158" s="1258"/>
      <c r="M158" s="1258"/>
      <c r="N158" s="1258"/>
      <c r="O158" s="1258"/>
      <c r="P158" s="1258"/>
      <c r="Q158" s="1258"/>
      <c r="R158" s="1258"/>
      <c r="S158" s="1258"/>
      <c r="T158" s="1258"/>
      <c r="U158" s="999"/>
    </row>
    <row r="159" spans="1:24" s="5" customFormat="1" ht="15" customHeight="1">
      <c r="A159" s="998"/>
      <c r="B159" s="998"/>
      <c r="C159" s="1258"/>
      <c r="D159" s="1258"/>
      <c r="E159" s="1258"/>
      <c r="F159" s="1258"/>
      <c r="G159" s="1258"/>
      <c r="H159" s="1258"/>
      <c r="I159" s="1258"/>
      <c r="J159" s="1258"/>
      <c r="K159" s="1258"/>
      <c r="L159" s="1258"/>
      <c r="M159" s="1258"/>
      <c r="N159" s="1258"/>
      <c r="O159" s="1258"/>
      <c r="P159" s="1258"/>
      <c r="Q159" s="1258"/>
      <c r="R159" s="1258"/>
      <c r="S159" s="1258"/>
      <c r="T159" s="1258"/>
      <c r="U159" s="999"/>
    </row>
    <row r="160" spans="1:24" s="5" customFormat="1" ht="15" customHeight="1">
      <c r="A160" s="1001"/>
      <c r="B160" s="999"/>
      <c r="C160" s="1258"/>
      <c r="D160" s="1258"/>
      <c r="E160" s="1258"/>
      <c r="F160" s="1258"/>
      <c r="G160" s="1258"/>
      <c r="H160" s="1258"/>
      <c r="I160" s="1258"/>
      <c r="J160" s="1258"/>
      <c r="K160" s="1258"/>
      <c r="L160" s="1258"/>
      <c r="M160" s="1258"/>
      <c r="N160" s="1258"/>
      <c r="O160" s="1258"/>
      <c r="P160" s="1258"/>
      <c r="Q160" s="1258"/>
      <c r="R160" s="1258"/>
      <c r="S160" s="1258"/>
      <c r="T160" s="1258"/>
    </row>
    <row r="161" spans="1:39" s="5" customFormat="1" ht="15" customHeight="1">
      <c r="A161" s="998"/>
      <c r="B161" s="998"/>
      <c r="C161" s="998"/>
    </row>
    <row r="162" spans="1:39" s="5" customFormat="1" ht="15" customHeight="1">
      <c r="A162" s="5" t="s">
        <v>2141</v>
      </c>
      <c r="B162" s="998"/>
      <c r="C162" s="998"/>
      <c r="U162" s="494"/>
    </row>
    <row r="163" spans="1:39" s="5" customFormat="1" ht="15" customHeight="1">
      <c r="A163" s="998" t="s">
        <v>438</v>
      </c>
      <c r="B163" s="999"/>
      <c r="C163" s="1258" t="s">
        <v>2142</v>
      </c>
      <c r="D163" s="1258"/>
      <c r="E163" s="1258"/>
      <c r="F163" s="1258"/>
      <c r="G163" s="1258"/>
      <c r="H163" s="1258"/>
      <c r="I163" s="1258"/>
      <c r="J163" s="1258"/>
      <c r="K163" s="1258"/>
      <c r="L163" s="1258"/>
      <c r="M163" s="1258"/>
      <c r="N163" s="1258"/>
      <c r="O163" s="1258"/>
      <c r="P163" s="1258"/>
      <c r="Q163" s="1258"/>
      <c r="R163" s="1258"/>
      <c r="S163" s="1258"/>
      <c r="T163" s="1258"/>
      <c r="U163" s="494"/>
    </row>
    <row r="164" spans="1:39" s="5" customFormat="1" ht="15" customHeight="1">
      <c r="B164" s="999"/>
      <c r="C164" s="1258"/>
      <c r="D164" s="1258"/>
      <c r="E164" s="1258"/>
      <c r="F164" s="1258"/>
      <c r="G164" s="1258"/>
      <c r="H164" s="1258"/>
      <c r="I164" s="1258"/>
      <c r="J164" s="1258"/>
      <c r="K164" s="1258"/>
      <c r="L164" s="1258"/>
      <c r="M164" s="1258"/>
      <c r="N164" s="1258"/>
      <c r="O164" s="1258"/>
      <c r="P164" s="1258"/>
      <c r="Q164" s="1258"/>
      <c r="R164" s="1258"/>
      <c r="S164" s="1258"/>
      <c r="T164" s="1258"/>
    </row>
    <row r="165" spans="1:39" s="5" customFormat="1" ht="15" customHeight="1">
      <c r="A165" s="998"/>
      <c r="B165" s="999"/>
      <c r="C165" s="1258"/>
      <c r="D165" s="1258"/>
      <c r="E165" s="1258"/>
      <c r="F165" s="1258"/>
      <c r="G165" s="1258"/>
      <c r="H165" s="1258"/>
      <c r="I165" s="1258"/>
      <c r="J165" s="1258"/>
      <c r="K165" s="1258"/>
      <c r="L165" s="1258"/>
      <c r="M165" s="1258"/>
      <c r="N165" s="1258"/>
      <c r="O165" s="1258"/>
      <c r="P165" s="1258"/>
      <c r="Q165" s="1258"/>
      <c r="R165" s="1258"/>
      <c r="S165" s="1258"/>
      <c r="T165" s="1258"/>
    </row>
    <row r="166" spans="1:39" s="5" customFormat="1" ht="15" customHeight="1">
      <c r="A166" s="998" t="s">
        <v>439</v>
      </c>
      <c r="B166" s="999"/>
      <c r="C166" s="1258" t="s">
        <v>940</v>
      </c>
      <c r="D166" s="1258"/>
      <c r="E166" s="1258"/>
      <c r="F166" s="1258"/>
      <c r="G166" s="1258"/>
      <c r="H166" s="1258"/>
      <c r="I166" s="1258"/>
      <c r="J166" s="1258"/>
      <c r="K166" s="1258"/>
      <c r="L166" s="1258"/>
      <c r="M166" s="1258"/>
      <c r="N166" s="1258"/>
      <c r="O166" s="1258"/>
      <c r="P166" s="1258"/>
      <c r="Q166" s="1258"/>
      <c r="R166" s="1258"/>
      <c r="S166" s="1258"/>
      <c r="T166" s="1258"/>
      <c r="U166" s="999"/>
    </row>
    <row r="167" spans="1:39" s="5" customFormat="1" ht="15" customHeight="1">
      <c r="A167" s="998"/>
      <c r="B167" s="999"/>
      <c r="C167" s="1258"/>
      <c r="D167" s="1258"/>
      <c r="E167" s="1258"/>
      <c r="F167" s="1258"/>
      <c r="G167" s="1258"/>
      <c r="H167" s="1258"/>
      <c r="I167" s="1258"/>
      <c r="J167" s="1258"/>
      <c r="K167" s="1258"/>
      <c r="L167" s="1258"/>
      <c r="M167" s="1258"/>
      <c r="N167" s="1258"/>
      <c r="O167" s="1258"/>
      <c r="P167" s="1258"/>
      <c r="Q167" s="1258"/>
      <c r="R167" s="1258"/>
      <c r="S167" s="1258"/>
      <c r="T167" s="1258"/>
    </row>
    <row r="168" spans="1:39" s="5" customFormat="1" ht="15" customHeight="1">
      <c r="A168" s="998"/>
      <c r="B168" s="999"/>
      <c r="C168" s="1258"/>
      <c r="D168" s="1258"/>
      <c r="E168" s="1258"/>
      <c r="F168" s="1258"/>
      <c r="G168" s="1258"/>
      <c r="H168" s="1258"/>
      <c r="I168" s="1258"/>
      <c r="J168" s="1258"/>
      <c r="K168" s="1258"/>
      <c r="L168" s="1258"/>
      <c r="M168" s="1258"/>
      <c r="N168" s="1258"/>
      <c r="O168" s="1258"/>
      <c r="P168" s="1258"/>
      <c r="Q168" s="1258"/>
      <c r="R168" s="1258"/>
      <c r="S168" s="1258"/>
      <c r="T168" s="1258"/>
    </row>
    <row r="169" spans="1:39" s="5" customFormat="1" ht="15" customHeight="1">
      <c r="A169" s="998"/>
      <c r="B169" s="999"/>
      <c r="C169" s="1258"/>
      <c r="D169" s="1258"/>
      <c r="E169" s="1258"/>
      <c r="F169" s="1258"/>
      <c r="G169" s="1258"/>
      <c r="H169" s="1258"/>
      <c r="I169" s="1258"/>
      <c r="J169" s="1258"/>
      <c r="K169" s="1258"/>
      <c r="L169" s="1258"/>
      <c r="M169" s="1258"/>
      <c r="N169" s="1258"/>
      <c r="O169" s="1258"/>
      <c r="P169" s="1258"/>
      <c r="Q169" s="1258"/>
      <c r="R169" s="1258"/>
      <c r="S169" s="1258"/>
      <c r="T169" s="1258"/>
    </row>
    <row r="170" spans="1:39" s="5" customFormat="1" ht="15" customHeight="1">
      <c r="A170" s="998" t="s">
        <v>392</v>
      </c>
      <c r="B170" s="999"/>
      <c r="C170" s="1258" t="s">
        <v>2131</v>
      </c>
      <c r="D170" s="1258"/>
      <c r="E170" s="1258"/>
      <c r="F170" s="1258"/>
      <c r="G170" s="1258"/>
      <c r="H170" s="1258"/>
      <c r="I170" s="1258"/>
      <c r="J170" s="1258"/>
      <c r="K170" s="1258"/>
      <c r="L170" s="1258"/>
      <c r="M170" s="1258"/>
      <c r="N170" s="1258"/>
      <c r="O170" s="1258"/>
      <c r="P170" s="1258"/>
      <c r="Q170" s="1258"/>
      <c r="R170" s="1258"/>
      <c r="S170" s="1258"/>
      <c r="T170" s="1258"/>
    </row>
    <row r="171" spans="1:39" s="5" customFormat="1" ht="15" customHeight="1">
      <c r="B171" s="1000">
        <v>1</v>
      </c>
      <c r="C171" s="1268" t="s">
        <v>2132</v>
      </c>
      <c r="D171" s="1268"/>
      <c r="E171" s="1268"/>
      <c r="F171" s="1268"/>
      <c r="G171" s="1268"/>
      <c r="H171" s="1268"/>
      <c r="I171" s="1268"/>
      <c r="J171" s="1268"/>
      <c r="K171" s="1268"/>
      <c r="L171" s="1268"/>
      <c r="M171" s="1268"/>
      <c r="N171" s="1268"/>
      <c r="O171" s="1268"/>
      <c r="P171" s="1268"/>
      <c r="Q171" s="1268"/>
      <c r="R171" s="1268"/>
      <c r="S171" s="1268"/>
      <c r="T171" s="1268"/>
    </row>
    <row r="172" spans="1:39" s="5" customFormat="1" ht="15" customHeight="1">
      <c r="A172" s="998"/>
      <c r="B172" s="548">
        <v>2</v>
      </c>
      <c r="C172" s="1264" t="s">
        <v>2133</v>
      </c>
      <c r="D172" s="1264"/>
      <c r="E172" s="1264"/>
      <c r="F172" s="1264"/>
      <c r="G172" s="1264"/>
      <c r="H172" s="1264"/>
      <c r="I172" s="1264"/>
      <c r="J172" s="1264"/>
      <c r="K172" s="1264"/>
      <c r="L172" s="1264"/>
      <c r="M172" s="1264"/>
      <c r="N172" s="1264"/>
      <c r="O172" s="1264"/>
      <c r="P172" s="1264"/>
      <c r="Q172" s="1264"/>
      <c r="R172" s="1264"/>
      <c r="S172" s="1264"/>
      <c r="T172" s="1264"/>
    </row>
    <row r="173" spans="1:39" s="5" customFormat="1" ht="15" customHeight="1">
      <c r="B173" s="1000">
        <v>3</v>
      </c>
      <c r="C173" s="1264" t="s">
        <v>2134</v>
      </c>
      <c r="D173" s="1264"/>
      <c r="E173" s="1264"/>
      <c r="F173" s="1264"/>
      <c r="G173" s="1264"/>
      <c r="H173" s="1264"/>
      <c r="I173" s="1264"/>
      <c r="J173" s="1264"/>
      <c r="K173" s="1264"/>
      <c r="L173" s="1264"/>
      <c r="M173" s="1264"/>
      <c r="N173" s="1264"/>
      <c r="O173" s="1264"/>
      <c r="P173" s="1264"/>
      <c r="Q173" s="1264"/>
      <c r="R173" s="1264"/>
      <c r="S173" s="1264"/>
      <c r="T173" s="1264"/>
    </row>
    <row r="174" spans="1:39" s="5" customFormat="1" ht="15" customHeight="1">
      <c r="A174" s="998"/>
      <c r="B174" s="548">
        <v>4</v>
      </c>
      <c r="C174" s="1264" t="s">
        <v>2135</v>
      </c>
      <c r="D174" s="1264"/>
      <c r="E174" s="1264"/>
      <c r="F174" s="1264"/>
      <c r="G174" s="1264"/>
      <c r="H174" s="1264"/>
      <c r="I174" s="1264"/>
      <c r="J174" s="1264"/>
      <c r="K174" s="1264"/>
      <c r="L174" s="1264"/>
      <c r="M174" s="1264"/>
      <c r="N174" s="1264"/>
      <c r="O174" s="1264"/>
      <c r="P174" s="1264"/>
      <c r="Q174" s="1264"/>
      <c r="R174" s="1264"/>
      <c r="S174" s="1264"/>
      <c r="T174" s="1264"/>
    </row>
    <row r="175" spans="1:39" s="5" customFormat="1" ht="15" customHeight="1">
      <c r="B175" s="1000"/>
      <c r="C175" s="1000"/>
      <c r="D175" s="1000"/>
      <c r="E175" s="1000"/>
      <c r="F175" s="1002"/>
      <c r="G175" s="1002"/>
      <c r="H175" s="1002"/>
      <c r="I175" s="1002"/>
      <c r="J175" s="1002"/>
      <c r="K175" s="1002"/>
      <c r="L175" s="1002"/>
      <c r="M175" s="1002"/>
      <c r="N175" s="1002"/>
      <c r="O175" s="1002"/>
      <c r="P175" s="1002"/>
      <c r="Q175" s="1002"/>
      <c r="R175" s="1002"/>
      <c r="S175" s="1002"/>
      <c r="T175" s="493"/>
    </row>
    <row r="176" spans="1:39" s="5" customFormat="1" ht="15" customHeight="1">
      <c r="A176" s="998" t="s">
        <v>1894</v>
      </c>
      <c r="B176" s="1000"/>
      <c r="C176" s="1000"/>
      <c r="D176" s="1000"/>
      <c r="E176" s="1000"/>
      <c r="F176" s="1002"/>
      <c r="G176" s="1002"/>
      <c r="H176" s="1002"/>
      <c r="I176" s="1002"/>
      <c r="J176" s="1002"/>
      <c r="K176" s="1002"/>
      <c r="L176" s="1002"/>
      <c r="M176" s="1002"/>
      <c r="N176" s="1002"/>
      <c r="O176" s="1002"/>
      <c r="P176" s="1002"/>
      <c r="Q176" s="1002"/>
      <c r="R176" s="1002"/>
      <c r="S176" s="1002"/>
      <c r="T176" s="493"/>
      <c r="U176" s="494" t="s">
        <v>1840</v>
      </c>
      <c r="V176" s="1009"/>
      <c r="W176" s="494"/>
      <c r="X176" s="494"/>
      <c r="Y176" s="548"/>
      <c r="Z176" s="548"/>
      <c r="AM176" s="1009"/>
    </row>
    <row r="177" spans="1:41" s="5" customFormat="1" ht="30" customHeight="1">
      <c r="A177" s="1012"/>
      <c r="B177" s="1259" t="s">
        <v>1945</v>
      </c>
      <c r="C177" s="1259"/>
      <c r="D177" s="1259"/>
      <c r="E177" s="1259"/>
      <c r="F177" s="1259"/>
      <c r="G177" s="1259"/>
      <c r="H177" s="1259"/>
      <c r="I177" s="1259"/>
      <c r="J177" s="1259"/>
      <c r="K177" s="1259"/>
      <c r="L177" s="1259"/>
      <c r="M177" s="1259"/>
      <c r="N177" s="1259"/>
      <c r="O177" s="1259"/>
      <c r="P177" s="1259"/>
      <c r="Q177" s="1259"/>
      <c r="R177" s="1259"/>
      <c r="S177" s="1259"/>
      <c r="T177" s="1259"/>
      <c r="V177" s="494"/>
      <c r="W177" s="999"/>
      <c r="X177" s="999"/>
      <c r="Y177" s="999"/>
      <c r="Z177" s="999"/>
      <c r="AA177" s="999"/>
      <c r="AB177" s="999"/>
      <c r="AC177" s="999"/>
      <c r="AD177" s="999"/>
      <c r="AE177" s="999"/>
      <c r="AF177" s="999"/>
      <c r="AG177" s="999"/>
      <c r="AH177" s="999"/>
      <c r="AI177" s="999"/>
      <c r="AJ177" s="999"/>
      <c r="AK177" s="999"/>
      <c r="AL177" s="999"/>
      <c r="AM177" s="999"/>
      <c r="AN177" s="999"/>
      <c r="AO177" s="999"/>
    </row>
    <row r="178" spans="1:41" s="5" customFormat="1" ht="15" customHeight="1">
      <c r="A178" s="1259" t="s">
        <v>2047</v>
      </c>
      <c r="B178" s="1259"/>
      <c r="C178" s="1259" t="s">
        <v>1946</v>
      </c>
      <c r="D178" s="1259"/>
      <c r="E178" s="1259"/>
      <c r="F178" s="1259"/>
      <c r="G178" s="1259"/>
      <c r="H178" s="1259"/>
      <c r="I178" s="1259"/>
      <c r="J178" s="1259"/>
      <c r="K178" s="1259"/>
      <c r="L178" s="1259"/>
      <c r="M178" s="1259"/>
      <c r="N178" s="1259"/>
      <c r="O178" s="1259"/>
      <c r="P178" s="1259"/>
      <c r="Q178" s="1259"/>
      <c r="R178" s="1259"/>
      <c r="S178" s="1259"/>
      <c r="T178" s="1259"/>
      <c r="V178" s="494"/>
      <c r="W178" s="999"/>
      <c r="X178" s="999"/>
      <c r="Y178" s="999"/>
      <c r="Z178" s="999"/>
      <c r="AA178" s="999"/>
      <c r="AB178" s="999"/>
      <c r="AC178" s="999"/>
      <c r="AD178" s="999"/>
      <c r="AE178" s="999"/>
      <c r="AF178" s="999"/>
      <c r="AG178" s="999"/>
      <c r="AH178" s="999"/>
      <c r="AI178" s="999"/>
      <c r="AJ178" s="999"/>
      <c r="AK178" s="999"/>
      <c r="AL178" s="999"/>
      <c r="AM178" s="999"/>
      <c r="AN178" s="999"/>
      <c r="AO178" s="999"/>
    </row>
    <row r="179" spans="1:41" s="5" customFormat="1" ht="15" customHeight="1">
      <c r="A179" s="1259"/>
      <c r="B179" s="1259"/>
      <c r="C179" s="1259"/>
      <c r="D179" s="1259"/>
      <c r="E179" s="1259"/>
      <c r="F179" s="1259"/>
      <c r="G179" s="1259"/>
      <c r="H179" s="1259"/>
      <c r="I179" s="1259"/>
      <c r="J179" s="1259"/>
      <c r="K179" s="1259"/>
      <c r="L179" s="1259"/>
      <c r="M179" s="1259"/>
      <c r="N179" s="1259"/>
      <c r="O179" s="1259"/>
      <c r="P179" s="1259"/>
      <c r="Q179" s="1259"/>
      <c r="R179" s="1259"/>
      <c r="S179" s="1259"/>
      <c r="T179" s="1259"/>
      <c r="V179" s="494"/>
      <c r="W179" s="999"/>
      <c r="X179" s="999"/>
      <c r="Y179" s="999"/>
      <c r="Z179" s="999"/>
      <c r="AA179" s="999"/>
      <c r="AB179" s="999"/>
      <c r="AC179" s="999"/>
      <c r="AD179" s="999"/>
      <c r="AE179" s="999"/>
      <c r="AF179" s="999"/>
      <c r="AG179" s="999"/>
      <c r="AH179" s="999"/>
      <c r="AI179" s="999"/>
      <c r="AJ179" s="999"/>
      <c r="AK179" s="999"/>
      <c r="AL179" s="999"/>
      <c r="AM179" s="999"/>
      <c r="AN179" s="999"/>
      <c r="AO179" s="999"/>
    </row>
    <row r="180" spans="1:41" s="5" customFormat="1" ht="15" customHeight="1">
      <c r="A180" s="1012"/>
      <c r="C180" s="1014" t="s">
        <v>2048</v>
      </c>
      <c r="D180" s="1014"/>
      <c r="E180" s="1014"/>
      <c r="F180" s="1014"/>
      <c r="G180" s="1014"/>
      <c r="H180" s="1014"/>
      <c r="I180" s="1014"/>
      <c r="J180" s="1014"/>
      <c r="K180" s="1014"/>
      <c r="L180" s="1014"/>
      <c r="M180" s="1014"/>
      <c r="N180" s="1014"/>
      <c r="O180" s="1014"/>
      <c r="P180" s="1014"/>
      <c r="Q180" s="1014"/>
      <c r="R180" s="1014"/>
      <c r="S180" s="1014"/>
      <c r="T180" s="1010"/>
      <c r="V180" s="494"/>
      <c r="W180" s="999"/>
      <c r="X180" s="999"/>
      <c r="Y180" s="999"/>
      <c r="Z180" s="999"/>
      <c r="AA180" s="999"/>
      <c r="AB180" s="999"/>
      <c r="AC180" s="999"/>
      <c r="AD180" s="999"/>
      <c r="AE180" s="999"/>
      <c r="AF180" s="999"/>
      <c r="AG180" s="999"/>
      <c r="AH180" s="999"/>
      <c r="AI180" s="999"/>
      <c r="AJ180" s="999"/>
      <c r="AK180" s="999"/>
      <c r="AL180" s="999"/>
      <c r="AM180" s="999"/>
      <c r="AN180" s="999"/>
      <c r="AO180" s="999"/>
    </row>
    <row r="181" spans="1:41" s="5" customFormat="1" ht="15" customHeight="1">
      <c r="A181" s="1012"/>
      <c r="B181" s="1015"/>
      <c r="C181" s="1259" t="s">
        <v>2049</v>
      </c>
      <c r="D181" s="1259"/>
      <c r="E181" s="1259"/>
      <c r="F181" s="1259"/>
      <c r="G181" s="1259"/>
      <c r="H181" s="1259"/>
      <c r="I181" s="1259"/>
      <c r="J181" s="1259"/>
      <c r="K181" s="1259"/>
      <c r="L181" s="1259"/>
      <c r="M181" s="1259"/>
      <c r="N181" s="1259"/>
      <c r="O181" s="1259"/>
      <c r="P181" s="1259"/>
      <c r="Q181" s="1259"/>
      <c r="R181" s="1259"/>
      <c r="S181" s="1259"/>
      <c r="T181" s="1259"/>
      <c r="V181" s="494"/>
      <c r="W181" s="999"/>
      <c r="X181" s="999"/>
      <c r="Y181" s="999"/>
      <c r="Z181" s="999"/>
      <c r="AA181" s="999"/>
      <c r="AB181" s="999"/>
      <c r="AC181" s="999"/>
      <c r="AD181" s="999"/>
      <c r="AE181" s="999"/>
      <c r="AF181" s="999"/>
      <c r="AG181" s="999"/>
      <c r="AH181" s="999"/>
      <c r="AI181" s="999"/>
      <c r="AJ181" s="999"/>
      <c r="AK181" s="999"/>
      <c r="AL181" s="999"/>
      <c r="AM181" s="999"/>
      <c r="AN181" s="999"/>
      <c r="AO181" s="999"/>
    </row>
    <row r="182" spans="1:41" s="5" customFormat="1" ht="15" customHeight="1">
      <c r="A182" s="1012"/>
      <c r="B182" s="1015"/>
      <c r="C182" s="1259"/>
      <c r="D182" s="1259"/>
      <c r="E182" s="1259"/>
      <c r="F182" s="1259"/>
      <c r="G182" s="1259"/>
      <c r="H182" s="1259"/>
      <c r="I182" s="1259"/>
      <c r="J182" s="1259"/>
      <c r="K182" s="1259"/>
      <c r="L182" s="1259"/>
      <c r="M182" s="1259"/>
      <c r="N182" s="1259"/>
      <c r="O182" s="1259"/>
      <c r="P182" s="1259"/>
      <c r="Q182" s="1259"/>
      <c r="R182" s="1259"/>
      <c r="S182" s="1259"/>
      <c r="T182" s="1259"/>
      <c r="V182" s="494"/>
      <c r="W182" s="999"/>
      <c r="X182" s="999"/>
      <c r="Y182" s="999"/>
      <c r="Z182" s="999"/>
      <c r="AA182" s="999"/>
      <c r="AB182" s="999"/>
      <c r="AC182" s="999"/>
      <c r="AD182" s="999"/>
      <c r="AE182" s="999"/>
      <c r="AF182" s="999"/>
      <c r="AG182" s="999"/>
      <c r="AH182" s="999"/>
      <c r="AI182" s="999"/>
      <c r="AJ182" s="999"/>
      <c r="AK182" s="999"/>
      <c r="AL182" s="999"/>
      <c r="AM182" s="999"/>
      <c r="AN182" s="999"/>
      <c r="AO182" s="999"/>
    </row>
    <row r="183" spans="1:41" s="5" customFormat="1" ht="15" customHeight="1">
      <c r="A183" s="1012"/>
      <c r="B183" s="1015"/>
      <c r="C183" s="1259" t="s">
        <v>2050</v>
      </c>
      <c r="D183" s="1263"/>
      <c r="E183" s="1263"/>
      <c r="F183" s="1263"/>
      <c r="G183" s="1263"/>
      <c r="H183" s="1263"/>
      <c r="I183" s="1263"/>
      <c r="J183" s="1263"/>
      <c r="K183" s="1263"/>
      <c r="L183" s="1263"/>
      <c r="M183" s="1263"/>
      <c r="N183" s="1263"/>
      <c r="O183" s="1263"/>
      <c r="P183" s="1263"/>
      <c r="Q183" s="1263"/>
      <c r="R183" s="1263"/>
      <c r="S183" s="1263"/>
      <c r="T183" s="1263"/>
      <c r="V183" s="494"/>
      <c r="W183" s="999"/>
      <c r="X183" s="999"/>
      <c r="Y183" s="999"/>
      <c r="Z183" s="999"/>
      <c r="AA183" s="999"/>
      <c r="AB183" s="999"/>
      <c r="AC183" s="999"/>
      <c r="AD183" s="999"/>
      <c r="AE183" s="999"/>
      <c r="AF183" s="999"/>
      <c r="AG183" s="999"/>
      <c r="AH183" s="999"/>
      <c r="AI183" s="999"/>
      <c r="AJ183" s="999"/>
      <c r="AK183" s="999"/>
      <c r="AL183" s="999"/>
      <c r="AM183" s="999"/>
      <c r="AN183" s="999"/>
      <c r="AO183" s="999"/>
    </row>
    <row r="184" spans="1:41" s="5" customFormat="1" ht="15" customHeight="1">
      <c r="A184" s="1012"/>
      <c r="B184" s="1015"/>
      <c r="C184" s="1263"/>
      <c r="D184" s="1263"/>
      <c r="E184" s="1263"/>
      <c r="F184" s="1263"/>
      <c r="G184" s="1263"/>
      <c r="H184" s="1263"/>
      <c r="I184" s="1263"/>
      <c r="J184" s="1263"/>
      <c r="K184" s="1263"/>
      <c r="L184" s="1263"/>
      <c r="M184" s="1263"/>
      <c r="N184" s="1263"/>
      <c r="O184" s="1263"/>
      <c r="P184" s="1263"/>
      <c r="Q184" s="1263"/>
      <c r="R184" s="1263"/>
      <c r="S184" s="1263"/>
      <c r="T184" s="1263"/>
      <c r="V184" s="494"/>
      <c r="W184" s="999"/>
      <c r="X184" s="999"/>
      <c r="Y184" s="999"/>
      <c r="Z184" s="999"/>
      <c r="AA184" s="999"/>
      <c r="AB184" s="999"/>
      <c r="AC184" s="999"/>
      <c r="AD184" s="999"/>
      <c r="AE184" s="999"/>
      <c r="AF184" s="999"/>
      <c r="AG184" s="999"/>
      <c r="AH184" s="999"/>
      <c r="AI184" s="999"/>
      <c r="AJ184" s="999"/>
      <c r="AK184" s="999"/>
      <c r="AL184" s="999"/>
      <c r="AM184" s="999"/>
      <c r="AN184" s="999"/>
      <c r="AO184" s="999"/>
    </row>
    <row r="185" spans="1:41" s="5" customFormat="1" ht="15" customHeight="1">
      <c r="A185" s="1016"/>
      <c r="B185" s="1014"/>
      <c r="C185" s="1259" t="s">
        <v>1899</v>
      </c>
      <c r="D185" s="1259"/>
      <c r="E185" s="1259"/>
      <c r="F185" s="1259"/>
      <c r="G185" s="1259"/>
      <c r="H185" s="1259"/>
      <c r="I185" s="1259"/>
      <c r="J185" s="1259"/>
      <c r="K185" s="1259"/>
      <c r="L185" s="1259"/>
      <c r="M185" s="1259"/>
      <c r="N185" s="1259"/>
      <c r="O185" s="1259"/>
      <c r="P185" s="1259"/>
      <c r="Q185" s="1259"/>
      <c r="R185" s="1259"/>
      <c r="S185" s="1259"/>
      <c r="T185" s="1259"/>
      <c r="V185" s="494"/>
      <c r="W185" s="999"/>
      <c r="X185" s="999"/>
      <c r="Y185" s="999"/>
      <c r="Z185" s="999"/>
      <c r="AA185" s="999"/>
      <c r="AB185" s="999"/>
      <c r="AC185" s="999"/>
      <c r="AD185" s="999"/>
      <c r="AE185" s="999"/>
      <c r="AF185" s="999"/>
      <c r="AG185" s="999"/>
      <c r="AH185" s="999"/>
      <c r="AI185" s="999"/>
      <c r="AJ185" s="999"/>
      <c r="AK185" s="999"/>
      <c r="AL185" s="999"/>
      <c r="AM185" s="999"/>
      <c r="AN185" s="999"/>
      <c r="AO185" s="999"/>
    </row>
    <row r="186" spans="1:41" s="5" customFormat="1" ht="15" customHeight="1">
      <c r="A186" s="1016"/>
      <c r="B186" s="1014"/>
      <c r="C186" s="1259"/>
      <c r="D186" s="1259"/>
      <c r="E186" s="1259"/>
      <c r="F186" s="1259"/>
      <c r="G186" s="1259"/>
      <c r="H186" s="1259"/>
      <c r="I186" s="1259"/>
      <c r="J186" s="1259"/>
      <c r="K186" s="1259"/>
      <c r="L186" s="1259"/>
      <c r="M186" s="1259"/>
      <c r="N186" s="1259"/>
      <c r="O186" s="1259"/>
      <c r="P186" s="1259"/>
      <c r="Q186" s="1259"/>
      <c r="R186" s="1259"/>
      <c r="S186" s="1259"/>
      <c r="T186" s="1259"/>
      <c r="V186" s="494"/>
      <c r="W186" s="999"/>
      <c r="X186" s="999"/>
      <c r="Y186" s="999"/>
      <c r="Z186" s="999"/>
      <c r="AA186" s="999"/>
      <c r="AB186" s="999"/>
      <c r="AC186" s="999"/>
      <c r="AD186" s="999"/>
      <c r="AE186" s="999"/>
      <c r="AF186" s="999"/>
      <c r="AG186" s="999"/>
      <c r="AH186" s="999"/>
      <c r="AI186" s="999"/>
      <c r="AJ186" s="999"/>
      <c r="AK186" s="999"/>
      <c r="AL186" s="999"/>
      <c r="AM186" s="999"/>
      <c r="AN186" s="999"/>
      <c r="AO186" s="999"/>
    </row>
    <row r="187" spans="1:41" s="5" customFormat="1" ht="15" customHeight="1">
      <c r="A187" s="1319" t="s">
        <v>439</v>
      </c>
      <c r="B187" s="1319"/>
      <c r="C187" s="1260" t="s">
        <v>1948</v>
      </c>
      <c r="D187" s="1260"/>
      <c r="E187" s="1260"/>
      <c r="F187" s="1260"/>
      <c r="G187" s="1260"/>
      <c r="H187" s="1260"/>
      <c r="I187" s="1260"/>
      <c r="J187" s="1260"/>
      <c r="K187" s="1260"/>
      <c r="L187" s="1260"/>
      <c r="M187" s="1260"/>
      <c r="N187" s="1260"/>
      <c r="O187" s="1260"/>
      <c r="P187" s="1260"/>
      <c r="Q187" s="1260"/>
      <c r="R187" s="1260"/>
      <c r="S187" s="1260"/>
      <c r="T187" s="1260"/>
      <c r="W187" s="494"/>
      <c r="X187" s="494"/>
      <c r="Y187" s="548"/>
      <c r="Z187" s="548"/>
    </row>
    <row r="188" spans="1:41" s="5" customFormat="1" ht="15" customHeight="1">
      <c r="A188" s="1319"/>
      <c r="B188" s="1319"/>
      <c r="C188" s="1260"/>
      <c r="D188" s="1260"/>
      <c r="E188" s="1260"/>
      <c r="F188" s="1260"/>
      <c r="G188" s="1260"/>
      <c r="H188" s="1260"/>
      <c r="I188" s="1260"/>
      <c r="J188" s="1260"/>
      <c r="K188" s="1260"/>
      <c r="L188" s="1260"/>
      <c r="M188" s="1260"/>
      <c r="N188" s="1260"/>
      <c r="O188" s="1260"/>
      <c r="P188" s="1260"/>
      <c r="Q188" s="1260"/>
      <c r="R188" s="1260"/>
      <c r="S188" s="1260"/>
      <c r="T188" s="1260"/>
      <c r="W188" s="494"/>
      <c r="X188" s="494"/>
      <c r="Y188" s="548"/>
      <c r="Z188" s="548"/>
    </row>
    <row r="189" spans="1:41" s="5" customFormat="1" ht="15" customHeight="1">
      <c r="A189" s="1319" t="s">
        <v>392</v>
      </c>
      <c r="B189" s="1319"/>
      <c r="C189" s="1260" t="s">
        <v>1900</v>
      </c>
      <c r="D189" s="1260"/>
      <c r="E189" s="1260"/>
      <c r="F189" s="1260"/>
      <c r="G189" s="1260"/>
      <c r="H189" s="1260"/>
      <c r="I189" s="1260"/>
      <c r="J189" s="1260"/>
      <c r="K189" s="1260"/>
      <c r="L189" s="1260"/>
      <c r="M189" s="1260"/>
      <c r="N189" s="1260"/>
      <c r="O189" s="1260"/>
      <c r="P189" s="1260"/>
      <c r="Q189" s="1260"/>
      <c r="R189" s="1260"/>
      <c r="S189" s="1260"/>
      <c r="T189" s="1260"/>
      <c r="W189" s="494"/>
      <c r="X189" s="494"/>
      <c r="Y189" s="548"/>
      <c r="Z189" s="548"/>
    </row>
    <row r="190" spans="1:41" s="5" customFormat="1" ht="15" customHeight="1">
      <c r="A190" s="1319"/>
      <c r="B190" s="1319"/>
      <c r="C190" s="1260"/>
      <c r="D190" s="1260"/>
      <c r="E190" s="1260"/>
      <c r="F190" s="1260"/>
      <c r="G190" s="1260"/>
      <c r="H190" s="1260"/>
      <c r="I190" s="1260"/>
      <c r="J190" s="1260"/>
      <c r="K190" s="1260"/>
      <c r="L190" s="1260"/>
      <c r="M190" s="1260"/>
      <c r="N190" s="1260"/>
      <c r="O190" s="1260"/>
      <c r="P190" s="1260"/>
      <c r="Q190" s="1260"/>
      <c r="R190" s="1260"/>
      <c r="S190" s="1260"/>
      <c r="T190" s="1260"/>
      <c r="W190" s="494"/>
      <c r="X190" s="494"/>
      <c r="Y190" s="548"/>
      <c r="Z190" s="548"/>
    </row>
    <row r="191" spans="1:41" s="5" customFormat="1" ht="15" customHeight="1">
      <c r="A191" s="998"/>
      <c r="B191" s="1044"/>
      <c r="C191" s="1260"/>
      <c r="D191" s="1260"/>
      <c r="E191" s="1260"/>
      <c r="F191" s="1260"/>
      <c r="G191" s="1260"/>
      <c r="H191" s="1260"/>
      <c r="I191" s="1260"/>
      <c r="J191" s="1260"/>
      <c r="K191" s="1260"/>
      <c r="L191" s="1260"/>
      <c r="M191" s="1260"/>
      <c r="N191" s="1260"/>
      <c r="O191" s="1260"/>
      <c r="P191" s="1260"/>
      <c r="Q191" s="1260"/>
      <c r="R191" s="1260"/>
      <c r="S191" s="1260"/>
      <c r="T191" s="1260"/>
      <c r="W191" s="494"/>
      <c r="X191" s="494"/>
      <c r="Y191" s="548"/>
      <c r="Z191" s="548"/>
    </row>
    <row r="192" spans="1:41" s="5" customFormat="1" ht="15" customHeight="1">
      <c r="A192" s="1319" t="s">
        <v>462</v>
      </c>
      <c r="B192" s="1319"/>
      <c r="C192" s="1259" t="s">
        <v>1901</v>
      </c>
      <c r="D192" s="1259"/>
      <c r="E192" s="1259"/>
      <c r="F192" s="1259"/>
      <c r="G192" s="1259"/>
      <c r="H192" s="1259"/>
      <c r="I192" s="1259"/>
      <c r="J192" s="1259"/>
      <c r="K192" s="1259"/>
      <c r="L192" s="1259"/>
      <c r="M192" s="1259"/>
      <c r="N192" s="1259"/>
      <c r="O192" s="1259"/>
      <c r="P192" s="1259"/>
      <c r="Q192" s="1259"/>
      <c r="R192" s="1259"/>
      <c r="S192" s="1259"/>
      <c r="T192" s="1259"/>
      <c r="V192" s="494"/>
      <c r="W192" s="999"/>
      <c r="X192" s="999"/>
      <c r="Y192" s="999"/>
      <c r="Z192" s="999"/>
      <c r="AA192" s="999"/>
      <c r="AB192" s="999"/>
      <c r="AC192" s="999"/>
      <c r="AD192" s="999"/>
      <c r="AE192" s="999"/>
      <c r="AF192" s="999"/>
      <c r="AG192" s="999"/>
      <c r="AH192" s="999"/>
      <c r="AI192" s="999"/>
      <c r="AJ192" s="999"/>
      <c r="AK192" s="999"/>
      <c r="AL192" s="999"/>
      <c r="AM192" s="999"/>
      <c r="AN192" s="999"/>
      <c r="AO192" s="999"/>
    </row>
    <row r="193" spans="1:41" s="5" customFormat="1" ht="15" customHeight="1">
      <c r="A193" s="1319"/>
      <c r="B193" s="1319"/>
      <c r="C193" s="1259"/>
      <c r="D193" s="1259"/>
      <c r="E193" s="1259"/>
      <c r="F193" s="1259"/>
      <c r="G193" s="1259"/>
      <c r="H193" s="1259"/>
      <c r="I193" s="1259"/>
      <c r="J193" s="1259"/>
      <c r="K193" s="1259"/>
      <c r="L193" s="1259"/>
      <c r="M193" s="1259"/>
      <c r="N193" s="1259"/>
      <c r="O193" s="1259"/>
      <c r="P193" s="1259"/>
      <c r="Q193" s="1259"/>
      <c r="R193" s="1259"/>
      <c r="S193" s="1259"/>
      <c r="T193" s="1259"/>
      <c r="V193" s="494"/>
      <c r="W193" s="999"/>
      <c r="X193" s="999"/>
      <c r="Y193" s="999"/>
      <c r="Z193" s="999"/>
      <c r="AA193" s="999"/>
      <c r="AB193" s="999"/>
      <c r="AC193" s="999"/>
      <c r="AD193" s="999"/>
      <c r="AE193" s="999"/>
      <c r="AF193" s="999"/>
      <c r="AG193" s="999"/>
      <c r="AH193" s="999"/>
      <c r="AI193" s="999"/>
      <c r="AJ193" s="999"/>
      <c r="AK193" s="999"/>
      <c r="AL193" s="999"/>
      <c r="AM193" s="999"/>
      <c r="AN193" s="999"/>
      <c r="AO193" s="999"/>
    </row>
    <row r="194" spans="1:41" s="5" customFormat="1" ht="15" customHeight="1">
      <c r="A194" s="1016"/>
      <c r="B194" s="1014"/>
      <c r="C194" s="1014"/>
      <c r="D194" s="1014"/>
      <c r="E194" s="1014"/>
      <c r="F194" s="1014"/>
      <c r="G194" s="1014"/>
      <c r="H194" s="1014"/>
      <c r="I194" s="1014"/>
      <c r="J194" s="1014"/>
      <c r="K194" s="1014"/>
      <c r="L194" s="1014"/>
      <c r="M194" s="1014"/>
      <c r="N194" s="1014"/>
      <c r="O194" s="1014"/>
      <c r="P194" s="1014"/>
      <c r="Q194" s="1014"/>
      <c r="R194" s="1014"/>
      <c r="S194" s="1014"/>
      <c r="T194" s="1010"/>
      <c r="V194" s="494"/>
      <c r="W194" s="999"/>
      <c r="X194" s="999"/>
      <c r="Y194" s="999"/>
      <c r="Z194" s="999"/>
      <c r="AA194" s="999"/>
      <c r="AB194" s="999"/>
      <c r="AC194" s="999"/>
      <c r="AD194" s="999"/>
      <c r="AE194" s="999"/>
      <c r="AF194" s="999"/>
      <c r="AG194" s="999"/>
      <c r="AH194" s="999"/>
      <c r="AI194" s="999"/>
      <c r="AJ194" s="999"/>
      <c r="AK194" s="999"/>
      <c r="AL194" s="999"/>
      <c r="AM194" s="999"/>
      <c r="AN194" s="999"/>
      <c r="AO194" s="999"/>
    </row>
    <row r="195" spans="1:41" s="5" customFormat="1" ht="15" customHeight="1">
      <c r="A195" s="1020" t="s">
        <v>1902</v>
      </c>
      <c r="B195" s="1012"/>
      <c r="C195" s="1012"/>
      <c r="D195" s="1020"/>
      <c r="E195" s="1020"/>
      <c r="F195" s="1020"/>
      <c r="G195" s="1020"/>
      <c r="H195" s="1020"/>
      <c r="I195" s="1020"/>
      <c r="J195" s="1020"/>
      <c r="K195" s="1020"/>
      <c r="L195" s="1020"/>
      <c r="M195" s="1020"/>
      <c r="N195" s="1020"/>
      <c r="O195" s="1020"/>
      <c r="P195" s="1020"/>
      <c r="Q195" s="1020"/>
      <c r="R195" s="1020"/>
      <c r="S195" s="1020"/>
      <c r="T195" s="1020"/>
      <c r="X195" s="494"/>
    </row>
    <row r="196" spans="1:41" s="5" customFormat="1" ht="15" customHeight="1">
      <c r="A196" s="1020"/>
      <c r="B196" s="1015" t="s">
        <v>75</v>
      </c>
      <c r="C196" s="1012" t="s">
        <v>443</v>
      </c>
      <c r="D196" s="1020"/>
      <c r="E196" s="1020"/>
      <c r="F196" s="1020"/>
      <c r="G196" s="1020"/>
      <c r="H196" s="1020"/>
      <c r="I196" s="1020"/>
      <c r="J196" s="1020"/>
      <c r="K196" s="1020"/>
      <c r="L196" s="1020"/>
      <c r="M196" s="1020"/>
      <c r="N196" s="1020"/>
      <c r="O196" s="1020"/>
      <c r="P196" s="1020"/>
      <c r="Q196" s="1020"/>
      <c r="R196" s="1020"/>
      <c r="S196" s="1020"/>
      <c r="T196" s="1020"/>
      <c r="X196" s="494"/>
    </row>
    <row r="197" spans="1:41" s="5" customFormat="1" ht="30" customHeight="1">
      <c r="A197" s="1020"/>
      <c r="B197" s="1015" t="s">
        <v>75</v>
      </c>
      <c r="C197" s="1260" t="s">
        <v>444</v>
      </c>
      <c r="D197" s="1260"/>
      <c r="E197" s="1260"/>
      <c r="F197" s="1260"/>
      <c r="G197" s="1260"/>
      <c r="H197" s="1260"/>
      <c r="I197" s="1260"/>
      <c r="J197" s="1260"/>
      <c r="K197" s="1260"/>
      <c r="L197" s="1260"/>
      <c r="M197" s="1260"/>
      <c r="N197" s="1260"/>
      <c r="O197" s="1260"/>
      <c r="P197" s="1260"/>
      <c r="Q197" s="1260"/>
      <c r="R197" s="1260"/>
      <c r="S197" s="1260"/>
      <c r="T197" s="1260"/>
      <c r="X197" s="494"/>
    </row>
    <row r="198" spans="1:41" s="5" customFormat="1" ht="15" customHeight="1">
      <c r="A198" s="1020"/>
      <c r="B198" s="1015" t="s">
        <v>75</v>
      </c>
      <c r="C198" s="1012" t="s">
        <v>445</v>
      </c>
      <c r="D198" s="1020"/>
      <c r="E198" s="1020"/>
      <c r="F198" s="1020"/>
      <c r="G198" s="1020"/>
      <c r="H198" s="1020"/>
      <c r="I198" s="1020"/>
      <c r="J198" s="1020"/>
      <c r="K198" s="1020"/>
      <c r="L198" s="1020"/>
      <c r="M198" s="1020"/>
      <c r="N198" s="1020"/>
      <c r="O198" s="1020"/>
      <c r="P198" s="1020"/>
      <c r="Q198" s="1020"/>
      <c r="R198" s="1020"/>
      <c r="S198" s="1020"/>
      <c r="T198" s="1020"/>
      <c r="X198" s="494"/>
    </row>
    <row r="199" spans="1:41" s="5" customFormat="1" ht="15" customHeight="1">
      <c r="A199" s="1020"/>
      <c r="B199" s="1015" t="s">
        <v>75</v>
      </c>
      <c r="C199" s="1012" t="s">
        <v>446</v>
      </c>
      <c r="D199" s="1020"/>
      <c r="E199" s="1020"/>
      <c r="F199" s="1020"/>
      <c r="G199" s="1020"/>
      <c r="H199" s="1020"/>
      <c r="I199" s="1020"/>
      <c r="J199" s="1020"/>
      <c r="K199" s="1020"/>
      <c r="L199" s="1020"/>
      <c r="M199" s="1020"/>
      <c r="N199" s="1020"/>
      <c r="O199" s="1020"/>
      <c r="P199" s="1020"/>
      <c r="Q199" s="1020"/>
      <c r="R199" s="1020"/>
      <c r="S199" s="1020"/>
      <c r="T199" s="1020"/>
      <c r="X199" s="494"/>
    </row>
    <row r="200" spans="1:41" s="5" customFormat="1" ht="15" customHeight="1">
      <c r="A200" s="1020"/>
      <c r="B200" s="1015" t="s">
        <v>75</v>
      </c>
      <c r="C200" s="1012" t="s">
        <v>447</v>
      </c>
      <c r="D200" s="1020"/>
      <c r="E200" s="1020"/>
      <c r="F200" s="1020"/>
      <c r="G200" s="1020"/>
      <c r="H200" s="1020"/>
      <c r="I200" s="1020"/>
      <c r="J200" s="1020"/>
      <c r="K200" s="1020"/>
      <c r="L200" s="1020"/>
      <c r="M200" s="1020"/>
      <c r="N200" s="1020"/>
      <c r="O200" s="1020"/>
      <c r="P200" s="1020"/>
      <c r="Q200" s="1020"/>
      <c r="R200" s="1020"/>
      <c r="S200" s="1020"/>
      <c r="T200" s="1020"/>
      <c r="X200" s="494"/>
    </row>
    <row r="201" spans="1:41" s="5" customFormat="1" ht="15" customHeight="1">
      <c r="A201" s="1020"/>
      <c r="B201" s="1015" t="s">
        <v>75</v>
      </c>
      <c r="C201" s="1260" t="s">
        <v>449</v>
      </c>
      <c r="D201" s="1260"/>
      <c r="E201" s="1260"/>
      <c r="F201" s="1260"/>
      <c r="G201" s="1260"/>
      <c r="H201" s="1260"/>
      <c r="I201" s="1260"/>
      <c r="J201" s="1260"/>
      <c r="K201" s="1260"/>
      <c r="L201" s="1260"/>
      <c r="M201" s="1260"/>
      <c r="N201" s="1260"/>
      <c r="O201" s="1260"/>
      <c r="P201" s="1260"/>
      <c r="Q201" s="1260"/>
      <c r="R201" s="1260"/>
      <c r="S201" s="1260"/>
      <c r="T201" s="1260"/>
      <c r="X201" s="494"/>
    </row>
    <row r="202" spans="1:41" s="5" customFormat="1" ht="30" customHeight="1">
      <c r="B202" s="1008" t="s">
        <v>75</v>
      </c>
      <c r="C202" s="1433" t="s">
        <v>450</v>
      </c>
      <c r="D202" s="1433"/>
      <c r="E202" s="1433"/>
      <c r="F202" s="1433"/>
      <c r="G202" s="1433"/>
      <c r="H202" s="1433"/>
      <c r="I202" s="1433"/>
      <c r="J202" s="1433"/>
      <c r="K202" s="1433"/>
      <c r="L202" s="1433"/>
      <c r="M202" s="1433"/>
      <c r="N202" s="1433"/>
      <c r="O202" s="1433"/>
      <c r="P202" s="1433"/>
      <c r="Q202" s="1433"/>
      <c r="R202" s="1433"/>
      <c r="S202" s="1433"/>
      <c r="T202" s="1433"/>
      <c r="V202" s="494"/>
      <c r="W202" s="494"/>
      <c r="X202" s="494"/>
    </row>
    <row r="203" spans="1:41" s="5" customFormat="1" ht="15" customHeight="1">
      <c r="A203" s="1020"/>
      <c r="B203" s="1020"/>
      <c r="C203" s="1020"/>
      <c r="D203" s="1020"/>
      <c r="E203" s="1020"/>
      <c r="F203" s="1020"/>
      <c r="G203" s="1020"/>
      <c r="H203" s="1020"/>
      <c r="I203" s="1020"/>
      <c r="J203" s="1020"/>
      <c r="K203" s="1020"/>
      <c r="L203" s="1020"/>
      <c r="M203" s="1020"/>
      <c r="N203" s="1020"/>
      <c r="O203" s="1020"/>
      <c r="P203" s="1020"/>
      <c r="Q203" s="1020"/>
      <c r="R203" s="1020"/>
      <c r="S203" s="1020"/>
      <c r="T203" s="1020"/>
      <c r="X203" s="494"/>
    </row>
    <row r="204" spans="1:41" s="5" customFormat="1" ht="15" customHeight="1">
      <c r="A204" s="1020" t="s">
        <v>1903</v>
      </c>
      <c r="B204" s="1012"/>
      <c r="C204" s="1012"/>
      <c r="D204" s="1020"/>
      <c r="E204" s="1020"/>
      <c r="F204" s="1020"/>
      <c r="G204" s="1020"/>
      <c r="H204" s="1020"/>
      <c r="I204" s="1020"/>
      <c r="J204" s="1020"/>
      <c r="K204" s="1020"/>
      <c r="L204" s="1020"/>
      <c r="M204" s="1020"/>
      <c r="N204" s="1020"/>
      <c r="O204" s="1020"/>
      <c r="P204" s="1020"/>
      <c r="Q204" s="1020"/>
      <c r="R204" s="1020"/>
      <c r="S204" s="1020"/>
      <c r="T204" s="1020"/>
      <c r="X204" s="494"/>
    </row>
    <row r="205" spans="1:41" s="5" customFormat="1" ht="15" customHeight="1">
      <c r="A205" s="1012" t="s">
        <v>438</v>
      </c>
      <c r="B205" s="1012"/>
      <c r="C205" s="1012" t="s">
        <v>452</v>
      </c>
      <c r="D205" s="1039"/>
      <c r="E205" s="1039"/>
      <c r="F205" s="1039"/>
      <c r="G205" s="1039"/>
      <c r="H205" s="1039"/>
      <c r="I205" s="1039"/>
      <c r="J205" s="1039"/>
      <c r="K205" s="1039"/>
      <c r="L205" s="1039"/>
      <c r="M205" s="1039"/>
      <c r="N205" s="1039"/>
      <c r="O205" s="1039"/>
      <c r="P205" s="1039"/>
      <c r="Q205" s="1039"/>
      <c r="R205" s="1039"/>
      <c r="S205" s="1039"/>
      <c r="T205" s="1039"/>
      <c r="X205" s="494"/>
    </row>
    <row r="206" spans="1:41" s="5" customFormat="1" ht="30" customHeight="1">
      <c r="A206" s="1011"/>
      <c r="B206" s="1044" t="s">
        <v>380</v>
      </c>
      <c r="C206" s="1259" t="s">
        <v>453</v>
      </c>
      <c r="D206" s="1259"/>
      <c r="E206" s="1259"/>
      <c r="F206" s="1259"/>
      <c r="G206" s="1259"/>
      <c r="H206" s="1259"/>
      <c r="I206" s="1259"/>
      <c r="J206" s="1259"/>
      <c r="K206" s="1259"/>
      <c r="L206" s="1259"/>
      <c r="M206" s="1259"/>
      <c r="N206" s="1259"/>
      <c r="O206" s="1259"/>
      <c r="P206" s="1259"/>
      <c r="Q206" s="1259"/>
      <c r="R206" s="1259"/>
      <c r="S206" s="1259"/>
      <c r="T206" s="1259"/>
      <c r="X206" s="494"/>
    </row>
    <row r="207" spans="1:41" s="5" customFormat="1" ht="30" customHeight="1">
      <c r="A207" s="1011"/>
      <c r="B207" s="1040" t="s">
        <v>382</v>
      </c>
      <c r="C207" s="1259" t="s">
        <v>454</v>
      </c>
      <c r="D207" s="1259"/>
      <c r="E207" s="1259"/>
      <c r="F207" s="1259"/>
      <c r="G207" s="1259"/>
      <c r="H207" s="1259"/>
      <c r="I207" s="1259"/>
      <c r="J207" s="1259"/>
      <c r="K207" s="1259"/>
      <c r="L207" s="1259"/>
      <c r="M207" s="1259"/>
      <c r="N207" s="1259"/>
      <c r="O207" s="1259"/>
      <c r="P207" s="1259"/>
      <c r="Q207" s="1259"/>
      <c r="R207" s="1259"/>
      <c r="S207" s="1259"/>
      <c r="T207" s="1259"/>
      <c r="X207" s="494"/>
    </row>
    <row r="208" spans="1:41" s="5" customFormat="1" ht="45" customHeight="1">
      <c r="A208" s="1011"/>
      <c r="B208" s="1040" t="s">
        <v>384</v>
      </c>
      <c r="C208" s="1259" t="s">
        <v>455</v>
      </c>
      <c r="D208" s="1259"/>
      <c r="E208" s="1259"/>
      <c r="F208" s="1259"/>
      <c r="G208" s="1259"/>
      <c r="H208" s="1259"/>
      <c r="I208" s="1259"/>
      <c r="J208" s="1259"/>
      <c r="K208" s="1259"/>
      <c r="L208" s="1259"/>
      <c r="M208" s="1259"/>
      <c r="N208" s="1259"/>
      <c r="O208" s="1259"/>
      <c r="P208" s="1259"/>
      <c r="Q208" s="1259"/>
      <c r="R208" s="1259"/>
      <c r="S208" s="1259"/>
      <c r="T208" s="1259"/>
      <c r="X208" s="494"/>
    </row>
    <row r="209" spans="1:24" s="5" customFormat="1" ht="15" customHeight="1">
      <c r="A209" s="1012" t="s">
        <v>439</v>
      </c>
      <c r="B209" s="1012"/>
      <c r="C209" s="1012" t="s">
        <v>456</v>
      </c>
      <c r="D209" s="1020"/>
      <c r="E209" s="1020"/>
      <c r="F209" s="1020"/>
      <c r="G209" s="1020"/>
      <c r="H209" s="1020"/>
      <c r="I209" s="1020"/>
      <c r="J209" s="1020"/>
      <c r="K209" s="1020"/>
      <c r="L209" s="1020"/>
      <c r="M209" s="1020"/>
      <c r="N209" s="1020"/>
      <c r="O209" s="1020"/>
      <c r="P209" s="1020"/>
      <c r="Q209" s="1020"/>
      <c r="R209" s="1020"/>
      <c r="S209" s="1020"/>
      <c r="T209" s="1020"/>
      <c r="X209" s="494"/>
    </row>
    <row r="210" spans="1:24" s="5" customFormat="1" ht="60" customHeight="1">
      <c r="A210" s="1020"/>
      <c r="B210" s="1259" t="s">
        <v>457</v>
      </c>
      <c r="C210" s="1259"/>
      <c r="D210" s="1259"/>
      <c r="E210" s="1259"/>
      <c r="F210" s="1259"/>
      <c r="G210" s="1259"/>
      <c r="H210" s="1259"/>
      <c r="I210" s="1259"/>
      <c r="J210" s="1259"/>
      <c r="K210" s="1259"/>
      <c r="L210" s="1259"/>
      <c r="M210" s="1259"/>
      <c r="N210" s="1259"/>
      <c r="O210" s="1259"/>
      <c r="P210" s="1259"/>
      <c r="Q210" s="1259"/>
      <c r="R210" s="1259"/>
      <c r="S210" s="1259"/>
      <c r="T210" s="1259"/>
      <c r="X210" s="494"/>
    </row>
    <row r="211" spans="1:24" s="5" customFormat="1" ht="15" customHeight="1">
      <c r="A211" s="1012" t="s">
        <v>392</v>
      </c>
      <c r="B211" s="1012"/>
      <c r="C211" s="1012" t="s">
        <v>458</v>
      </c>
      <c r="D211" s="1020"/>
      <c r="E211" s="1020"/>
      <c r="F211" s="1020"/>
      <c r="G211" s="1020"/>
      <c r="H211" s="1020"/>
      <c r="I211" s="1020"/>
      <c r="J211" s="1020"/>
      <c r="K211" s="1020"/>
      <c r="L211" s="1020"/>
      <c r="M211" s="1020"/>
      <c r="N211" s="1020"/>
      <c r="O211" s="1020"/>
      <c r="P211" s="1020"/>
      <c r="Q211" s="1020"/>
      <c r="R211" s="1020"/>
      <c r="S211" s="1020"/>
      <c r="T211" s="1020"/>
      <c r="X211" s="494"/>
    </row>
    <row r="212" spans="1:24" s="5" customFormat="1" ht="30" customHeight="1">
      <c r="A212" s="1020"/>
      <c r="B212" s="1044" t="s">
        <v>380</v>
      </c>
      <c r="C212" s="1260" t="s">
        <v>459</v>
      </c>
      <c r="D212" s="1260"/>
      <c r="E212" s="1260"/>
      <c r="F212" s="1260"/>
      <c r="G212" s="1260"/>
      <c r="H212" s="1260"/>
      <c r="I212" s="1260"/>
      <c r="J212" s="1260"/>
      <c r="K212" s="1260"/>
      <c r="L212" s="1260"/>
      <c r="M212" s="1260"/>
      <c r="N212" s="1260"/>
      <c r="O212" s="1260"/>
      <c r="P212" s="1260"/>
      <c r="Q212" s="1260"/>
      <c r="R212" s="1260"/>
      <c r="S212" s="1260"/>
      <c r="T212" s="1260"/>
      <c r="X212" s="494"/>
    </row>
    <row r="213" spans="1:24" s="5" customFormat="1" ht="15" customHeight="1">
      <c r="A213" s="1020"/>
      <c r="B213" s="1040" t="s">
        <v>382</v>
      </c>
      <c r="C213" s="1260" t="s">
        <v>460</v>
      </c>
      <c r="D213" s="1260"/>
      <c r="E213" s="1260"/>
      <c r="F213" s="1260"/>
      <c r="G213" s="1260"/>
      <c r="H213" s="1260"/>
      <c r="I213" s="1260"/>
      <c r="J213" s="1260"/>
      <c r="K213" s="1260"/>
      <c r="L213" s="1260"/>
      <c r="M213" s="1260"/>
      <c r="N213" s="1260"/>
      <c r="O213" s="1260"/>
      <c r="P213" s="1260"/>
      <c r="Q213" s="1260"/>
      <c r="R213" s="1260"/>
      <c r="S213" s="1260"/>
      <c r="T213" s="1260"/>
      <c r="X213" s="494"/>
    </row>
    <row r="214" spans="1:24" s="5" customFormat="1" ht="45" customHeight="1">
      <c r="A214" s="1020"/>
      <c r="B214" s="1040" t="s">
        <v>384</v>
      </c>
      <c r="C214" s="1260" t="s">
        <v>461</v>
      </c>
      <c r="D214" s="1260"/>
      <c r="E214" s="1260"/>
      <c r="F214" s="1260"/>
      <c r="G214" s="1260"/>
      <c r="H214" s="1260"/>
      <c r="I214" s="1260"/>
      <c r="J214" s="1260"/>
      <c r="K214" s="1260"/>
      <c r="L214" s="1260"/>
      <c r="M214" s="1260"/>
      <c r="N214" s="1260"/>
      <c r="O214" s="1260"/>
      <c r="P214" s="1260"/>
      <c r="Q214" s="1260"/>
      <c r="R214" s="1260"/>
      <c r="S214" s="1260"/>
      <c r="T214" s="1260"/>
      <c r="X214" s="494"/>
    </row>
    <row r="215" spans="1:24" s="5" customFormat="1" ht="15" customHeight="1">
      <c r="A215" s="1012" t="s">
        <v>462</v>
      </c>
      <c r="B215" s="1012"/>
      <c r="C215" s="1012" t="s">
        <v>463</v>
      </c>
      <c r="D215" s="1020"/>
      <c r="E215" s="1020"/>
      <c r="F215" s="1020"/>
      <c r="G215" s="1020"/>
      <c r="H215" s="1020"/>
      <c r="I215" s="1020"/>
      <c r="J215" s="1020"/>
      <c r="K215" s="1020"/>
      <c r="L215" s="1020"/>
      <c r="M215" s="1020"/>
      <c r="N215" s="1020"/>
      <c r="O215" s="1020"/>
      <c r="P215" s="1020"/>
      <c r="Q215" s="1020"/>
      <c r="R215" s="1020"/>
      <c r="S215" s="1020"/>
      <c r="T215" s="1020"/>
      <c r="X215" s="494"/>
    </row>
    <row r="216" spans="1:24" s="5" customFormat="1" ht="30" customHeight="1">
      <c r="A216" s="1020"/>
      <c r="B216" s="1044" t="s">
        <v>380</v>
      </c>
      <c r="C216" s="1260" t="s">
        <v>464</v>
      </c>
      <c r="D216" s="1260"/>
      <c r="E216" s="1260"/>
      <c r="F216" s="1260"/>
      <c r="G216" s="1260"/>
      <c r="H216" s="1260"/>
      <c r="I216" s="1260"/>
      <c r="J216" s="1260"/>
      <c r="K216" s="1260"/>
      <c r="L216" s="1260"/>
      <c r="M216" s="1260"/>
      <c r="N216" s="1260"/>
      <c r="O216" s="1260"/>
      <c r="P216" s="1260"/>
      <c r="Q216" s="1260"/>
      <c r="R216" s="1260"/>
      <c r="S216" s="1260"/>
      <c r="T216" s="1260"/>
      <c r="X216" s="494"/>
    </row>
    <row r="217" spans="1:24" s="5" customFormat="1" ht="30" customHeight="1">
      <c r="A217" s="1020"/>
      <c r="B217" s="1040" t="s">
        <v>382</v>
      </c>
      <c r="C217" s="1260" t="s">
        <v>465</v>
      </c>
      <c r="D217" s="1260"/>
      <c r="E217" s="1260"/>
      <c r="F217" s="1260"/>
      <c r="G217" s="1260"/>
      <c r="H217" s="1260"/>
      <c r="I217" s="1260"/>
      <c r="J217" s="1260"/>
      <c r="K217" s="1260"/>
      <c r="L217" s="1260"/>
      <c r="M217" s="1260"/>
      <c r="N217" s="1260"/>
      <c r="O217" s="1260"/>
      <c r="P217" s="1260"/>
      <c r="Q217" s="1260"/>
      <c r="R217" s="1260"/>
      <c r="S217" s="1260"/>
      <c r="T217" s="1260"/>
      <c r="X217" s="494"/>
    </row>
    <row r="218" spans="1:24" s="5" customFormat="1" ht="15" customHeight="1">
      <c r="A218" s="1012" t="s">
        <v>466</v>
      </c>
      <c r="B218" s="1012"/>
      <c r="C218" s="1012" t="s">
        <v>467</v>
      </c>
      <c r="D218" s="1020"/>
      <c r="E218" s="1020"/>
      <c r="F218" s="1020"/>
      <c r="G218" s="1020"/>
      <c r="H218" s="1020"/>
      <c r="I218" s="1020"/>
      <c r="J218" s="1020"/>
      <c r="K218" s="1020"/>
      <c r="L218" s="1020"/>
      <c r="M218" s="1020"/>
      <c r="N218" s="1020"/>
      <c r="O218" s="1020"/>
      <c r="P218" s="1020"/>
      <c r="Q218" s="1020"/>
      <c r="R218" s="1020"/>
      <c r="S218" s="1020"/>
      <c r="T218" s="1020"/>
      <c r="X218" s="494"/>
    </row>
    <row r="219" spans="1:24" s="5" customFormat="1" ht="30" customHeight="1">
      <c r="A219" s="1020"/>
      <c r="B219" s="1044"/>
      <c r="C219" s="1260" t="s">
        <v>468</v>
      </c>
      <c r="D219" s="1260"/>
      <c r="E219" s="1260"/>
      <c r="F219" s="1260"/>
      <c r="G219" s="1260"/>
      <c r="H219" s="1260"/>
      <c r="I219" s="1260"/>
      <c r="J219" s="1260"/>
      <c r="K219" s="1260"/>
      <c r="L219" s="1260"/>
      <c r="M219" s="1260"/>
      <c r="N219" s="1260"/>
      <c r="O219" s="1260"/>
      <c r="P219" s="1260"/>
      <c r="Q219" s="1260"/>
      <c r="R219" s="1260"/>
      <c r="S219" s="1260"/>
      <c r="T219" s="1260"/>
      <c r="X219" s="494"/>
    </row>
    <row r="220" spans="1:24" s="5" customFormat="1" ht="15" customHeight="1">
      <c r="A220" s="1012" t="s">
        <v>469</v>
      </c>
      <c r="B220" s="1012"/>
      <c r="C220" s="1012" t="s">
        <v>470</v>
      </c>
      <c r="D220" s="1020"/>
      <c r="E220" s="1020"/>
      <c r="F220" s="1020"/>
      <c r="G220" s="1020"/>
      <c r="H220" s="1020"/>
      <c r="I220" s="1020"/>
      <c r="J220" s="1020"/>
      <c r="K220" s="1020"/>
      <c r="L220" s="1046"/>
      <c r="M220" s="1046"/>
      <c r="N220" s="1046"/>
      <c r="O220" s="1046"/>
      <c r="P220" s="1046"/>
      <c r="Q220" s="1046"/>
      <c r="R220" s="1046"/>
      <c r="S220" s="1046"/>
      <c r="T220" s="1020"/>
      <c r="X220" s="494"/>
    </row>
    <row r="221" spans="1:24" s="5" customFormat="1" ht="15" customHeight="1">
      <c r="A221" s="1020"/>
      <c r="B221" s="1044"/>
      <c r="C221" s="1260" t="s">
        <v>471</v>
      </c>
      <c r="D221" s="1260"/>
      <c r="E221" s="1260"/>
      <c r="F221" s="1260"/>
      <c r="G221" s="1260"/>
      <c r="H221" s="1260"/>
      <c r="I221" s="1260"/>
      <c r="J221" s="1260"/>
      <c r="K221" s="1260"/>
      <c r="L221" s="1260"/>
      <c r="M221" s="1260"/>
      <c r="N221" s="1260"/>
      <c r="O221" s="1260"/>
      <c r="P221" s="1260"/>
      <c r="Q221" s="1260"/>
      <c r="R221" s="1260"/>
      <c r="S221" s="1260"/>
      <c r="T221" s="1260"/>
      <c r="X221" s="494"/>
    </row>
    <row r="222" spans="1:24" s="5" customFormat="1" ht="15" customHeight="1">
      <c r="A222" s="1012" t="s">
        <v>472</v>
      </c>
      <c r="B222" s="1012"/>
      <c r="C222" s="1012" t="s">
        <v>473</v>
      </c>
      <c r="D222" s="1020"/>
      <c r="E222" s="1020"/>
      <c r="F222" s="1020"/>
      <c r="G222" s="1020"/>
      <c r="H222" s="1020"/>
      <c r="I222" s="1020"/>
      <c r="J222" s="1020"/>
      <c r="K222" s="1020"/>
      <c r="L222" s="1020"/>
      <c r="M222" s="1020"/>
      <c r="N222" s="1020"/>
      <c r="O222" s="1020"/>
      <c r="P222" s="1020"/>
      <c r="Q222" s="1020"/>
      <c r="R222" s="1020"/>
      <c r="S222" s="1020"/>
      <c r="T222" s="1020"/>
      <c r="X222" s="494"/>
    </row>
    <row r="223" spans="1:24" s="5" customFormat="1" ht="15" customHeight="1">
      <c r="A223" s="1020" t="s">
        <v>474</v>
      </c>
      <c r="B223" s="1012"/>
      <c r="C223" s="1012"/>
      <c r="D223" s="1020"/>
      <c r="E223" s="1020"/>
      <c r="F223" s="1020"/>
      <c r="G223" s="1020"/>
      <c r="H223" s="1020"/>
      <c r="I223" s="1020"/>
      <c r="J223" s="1020"/>
      <c r="K223" s="1020"/>
      <c r="L223" s="1020"/>
      <c r="M223" s="1020"/>
      <c r="N223" s="1020"/>
      <c r="O223" s="1020"/>
      <c r="P223" s="1020"/>
      <c r="Q223" s="1020"/>
      <c r="R223" s="1020"/>
      <c r="S223" s="1020"/>
      <c r="T223" s="1020"/>
      <c r="X223" s="494"/>
    </row>
    <row r="224" spans="1:24" s="5" customFormat="1" ht="15" customHeight="1">
      <c r="A224" s="1047"/>
      <c r="B224" s="1044" t="s">
        <v>380</v>
      </c>
      <c r="C224" s="1016" t="s">
        <v>475</v>
      </c>
      <c r="D224" s="1047"/>
      <c r="E224" s="1047"/>
      <c r="F224" s="1047"/>
      <c r="G224" s="1047"/>
      <c r="H224" s="1047"/>
      <c r="I224" s="1047"/>
      <c r="J224" s="1047"/>
      <c r="K224" s="1047"/>
      <c r="L224" s="1047"/>
      <c r="M224" s="1047"/>
      <c r="N224" s="1047"/>
      <c r="O224" s="1047"/>
      <c r="P224" s="1047"/>
      <c r="Q224" s="1047"/>
      <c r="R224" s="1047"/>
      <c r="S224" s="1047"/>
      <c r="T224" s="1047"/>
      <c r="X224" s="494"/>
    </row>
    <row r="225" spans="1:24" s="5" customFormat="1" ht="30" customHeight="1">
      <c r="A225" s="1011"/>
      <c r="B225" s="1040" t="s">
        <v>382</v>
      </c>
      <c r="C225" s="1259" t="s">
        <v>476</v>
      </c>
      <c r="D225" s="1259"/>
      <c r="E225" s="1259"/>
      <c r="F225" s="1259"/>
      <c r="G225" s="1259"/>
      <c r="H225" s="1259"/>
      <c r="I225" s="1259"/>
      <c r="J225" s="1259"/>
      <c r="K225" s="1259"/>
      <c r="L225" s="1259"/>
      <c r="M225" s="1259"/>
      <c r="N225" s="1259"/>
      <c r="O225" s="1259"/>
      <c r="P225" s="1259"/>
      <c r="Q225" s="1259"/>
      <c r="R225" s="1259"/>
      <c r="S225" s="1259"/>
      <c r="T225" s="1259"/>
      <c r="X225" s="494"/>
    </row>
    <row r="226" spans="1:24" s="5" customFormat="1" ht="15" customHeight="1">
      <c r="A226" s="1047"/>
      <c r="B226" s="1040" t="s">
        <v>384</v>
      </c>
      <c r="C226" s="1016" t="s">
        <v>477</v>
      </c>
      <c r="D226" s="1047"/>
      <c r="E226" s="1047"/>
      <c r="F226" s="1047"/>
      <c r="G226" s="1047"/>
      <c r="H226" s="1047"/>
      <c r="I226" s="1047"/>
      <c r="J226" s="1047"/>
      <c r="K226" s="1047"/>
      <c r="L226" s="1047"/>
      <c r="M226" s="1047"/>
      <c r="N226" s="1047"/>
      <c r="O226" s="1047"/>
      <c r="P226" s="1047"/>
      <c r="Q226" s="1047"/>
      <c r="R226" s="1047"/>
      <c r="S226" s="1047"/>
      <c r="T226" s="1047"/>
      <c r="X226" s="494"/>
    </row>
    <row r="227" spans="1:24" s="5" customFormat="1" ht="15" customHeight="1">
      <c r="A227" s="1047"/>
      <c r="B227" s="1040" t="s">
        <v>386</v>
      </c>
      <c r="C227" s="1016" t="s">
        <v>478</v>
      </c>
      <c r="D227" s="1047"/>
      <c r="E227" s="1047"/>
      <c r="F227" s="1047"/>
      <c r="G227" s="1047"/>
      <c r="H227" s="1047"/>
      <c r="I227" s="1047"/>
      <c r="J227" s="1047"/>
      <c r="K227" s="1047"/>
      <c r="L227" s="1047"/>
      <c r="M227" s="1047"/>
      <c r="N227" s="1047"/>
      <c r="O227" s="1047"/>
      <c r="P227" s="1047"/>
      <c r="Q227" s="1047"/>
      <c r="R227" s="1047"/>
      <c r="S227" s="1047"/>
      <c r="T227" s="1047"/>
      <c r="X227" s="494"/>
    </row>
    <row r="228" spans="1:24" s="5" customFormat="1" ht="15" customHeight="1">
      <c r="A228" s="1047"/>
      <c r="B228" s="1040" t="s">
        <v>388</v>
      </c>
      <c r="C228" s="1012" t="s">
        <v>479</v>
      </c>
      <c r="D228" s="1020"/>
      <c r="E228" s="1020"/>
      <c r="F228" s="1020"/>
      <c r="G228" s="1020"/>
      <c r="H228" s="1020"/>
      <c r="I228" s="1020"/>
      <c r="J228" s="1020"/>
      <c r="K228" s="1020"/>
      <c r="L228" s="1020"/>
      <c r="M228" s="1020"/>
      <c r="N228" s="1020"/>
      <c r="O228" s="1020"/>
      <c r="P228" s="1020"/>
      <c r="Q228" s="1020"/>
      <c r="R228" s="1020"/>
      <c r="S228" s="1020"/>
      <c r="T228" s="1020"/>
      <c r="X228" s="494"/>
    </row>
    <row r="229" spans="1:24" s="5" customFormat="1" ht="15" customHeight="1">
      <c r="A229" s="1047"/>
      <c r="B229" s="1040" t="s">
        <v>390</v>
      </c>
      <c r="C229" s="1012" t="s">
        <v>480</v>
      </c>
      <c r="D229" s="1020"/>
      <c r="E229" s="1020"/>
      <c r="F229" s="1020"/>
      <c r="G229" s="1020"/>
      <c r="H229" s="1020"/>
      <c r="I229" s="1020"/>
      <c r="J229" s="1020"/>
      <c r="K229" s="1020"/>
      <c r="L229" s="1020"/>
      <c r="M229" s="1020"/>
      <c r="N229" s="1020"/>
      <c r="O229" s="1020"/>
      <c r="P229" s="1020"/>
      <c r="Q229" s="1020"/>
      <c r="R229" s="1020"/>
      <c r="S229" s="1020"/>
      <c r="T229" s="1020"/>
      <c r="X229" s="494"/>
    </row>
    <row r="230" spans="1:24" s="5" customFormat="1" ht="15" customHeight="1">
      <c r="A230" s="1047"/>
      <c r="B230" s="1040" t="s">
        <v>481</v>
      </c>
      <c r="C230" s="1016" t="s">
        <v>482</v>
      </c>
      <c r="D230" s="1047"/>
      <c r="E230" s="1047"/>
      <c r="F230" s="1047"/>
      <c r="G230" s="1047"/>
      <c r="H230" s="1047"/>
      <c r="I230" s="1047"/>
      <c r="J230" s="1047"/>
      <c r="K230" s="1047"/>
      <c r="L230" s="1047"/>
      <c r="M230" s="1047"/>
      <c r="N230" s="1047"/>
      <c r="O230" s="1047"/>
      <c r="P230" s="1047"/>
      <c r="Q230" s="1047"/>
      <c r="R230" s="1047"/>
      <c r="S230" s="1047"/>
      <c r="T230" s="1047"/>
      <c r="X230" s="494"/>
    </row>
    <row r="231" spans="1:24" s="5" customFormat="1" ht="15" customHeight="1">
      <c r="A231" s="1047"/>
      <c r="B231" s="1040" t="s">
        <v>483</v>
      </c>
      <c r="C231" s="1012" t="s">
        <v>484</v>
      </c>
      <c r="D231" s="1020"/>
      <c r="E231" s="1020"/>
      <c r="F231" s="1020"/>
      <c r="G231" s="1020"/>
      <c r="H231" s="1020"/>
      <c r="I231" s="1020"/>
      <c r="J231" s="1020"/>
      <c r="K231" s="1020"/>
      <c r="L231" s="1020"/>
      <c r="M231" s="1020"/>
      <c r="N231" s="1020"/>
      <c r="O231" s="1020"/>
      <c r="P231" s="1020"/>
      <c r="Q231" s="1020"/>
      <c r="R231" s="1020"/>
      <c r="S231" s="1020"/>
      <c r="T231" s="1020"/>
      <c r="X231" s="494"/>
    </row>
    <row r="232" spans="1:24" s="5" customFormat="1" ht="15" customHeight="1">
      <c r="A232" s="1020"/>
      <c r="B232" s="1012"/>
      <c r="C232" s="1012"/>
      <c r="D232" s="1020"/>
      <c r="E232" s="1020"/>
      <c r="F232" s="1020"/>
      <c r="G232" s="1020"/>
      <c r="H232" s="1020"/>
      <c r="I232" s="1020"/>
      <c r="J232" s="1020"/>
      <c r="K232" s="1020"/>
      <c r="L232" s="1020"/>
      <c r="M232" s="1020"/>
      <c r="N232" s="1020"/>
      <c r="O232" s="1020"/>
      <c r="P232" s="1020"/>
      <c r="Q232" s="1020"/>
      <c r="R232" s="1020"/>
      <c r="S232" s="1020"/>
      <c r="T232" s="1020"/>
      <c r="X232" s="494"/>
    </row>
    <row r="233" spans="1:24" s="5" customFormat="1" ht="15" customHeight="1">
      <c r="A233" s="1020" t="s">
        <v>1904</v>
      </c>
      <c r="B233" s="1020"/>
      <c r="C233" s="1020"/>
      <c r="D233" s="1020"/>
      <c r="E233" s="1020"/>
      <c r="F233" s="1020"/>
      <c r="G233" s="1020"/>
      <c r="H233" s="1020"/>
      <c r="I233" s="1020"/>
      <c r="J233" s="1020"/>
      <c r="K233" s="1020"/>
      <c r="L233" s="1020"/>
      <c r="M233" s="1020"/>
      <c r="N233" s="1020"/>
      <c r="O233" s="1020"/>
      <c r="P233" s="1020"/>
      <c r="Q233" s="1020"/>
      <c r="R233" s="1020"/>
      <c r="S233" s="1020"/>
      <c r="T233" s="1020"/>
      <c r="X233" s="494"/>
    </row>
    <row r="234" spans="1:24" s="5" customFormat="1" ht="30" customHeight="1">
      <c r="A234" s="1012" t="s">
        <v>438</v>
      </c>
      <c r="B234" s="1011"/>
      <c r="C234" s="1259" t="s">
        <v>485</v>
      </c>
      <c r="D234" s="1259"/>
      <c r="E234" s="1259"/>
      <c r="F234" s="1259"/>
      <c r="G234" s="1259"/>
      <c r="H234" s="1259"/>
      <c r="I234" s="1259"/>
      <c r="J234" s="1259"/>
      <c r="K234" s="1259"/>
      <c r="L234" s="1259"/>
      <c r="M234" s="1259"/>
      <c r="N234" s="1259"/>
      <c r="O234" s="1259"/>
      <c r="P234" s="1259"/>
      <c r="Q234" s="1259"/>
      <c r="R234" s="1259"/>
      <c r="S234" s="1259"/>
      <c r="T234" s="1259"/>
      <c r="X234" s="494"/>
    </row>
    <row r="235" spans="1:24" s="5" customFormat="1" ht="15" customHeight="1">
      <c r="A235" s="1012" t="s">
        <v>439</v>
      </c>
      <c r="B235" s="1012"/>
      <c r="C235" s="1012" t="s">
        <v>486</v>
      </c>
      <c r="D235" s="1020"/>
      <c r="E235" s="1020"/>
      <c r="F235" s="1020"/>
      <c r="G235" s="1020"/>
      <c r="H235" s="1012"/>
      <c r="I235" s="1020"/>
      <c r="J235" s="1020"/>
      <c r="K235" s="1017"/>
      <c r="L235" s="1017"/>
      <c r="M235" s="1017"/>
      <c r="N235" s="1017"/>
      <c r="O235" s="1017"/>
      <c r="P235" s="1017"/>
      <c r="Q235" s="1017"/>
      <c r="R235" s="1017"/>
      <c r="S235" s="1017"/>
      <c r="T235" s="1048"/>
      <c r="X235" s="494"/>
    </row>
    <row r="236" spans="1:24" s="5" customFormat="1" ht="15" customHeight="1">
      <c r="A236" s="1011"/>
      <c r="B236" s="1011"/>
      <c r="C236" s="1011"/>
      <c r="D236" s="1011"/>
      <c r="E236" s="1011"/>
      <c r="F236" s="1011"/>
      <c r="G236" s="1011"/>
      <c r="H236" s="1011"/>
      <c r="I236" s="1011"/>
      <c r="J236" s="1011"/>
      <c r="K236" s="1011"/>
      <c r="L236" s="1011"/>
      <c r="M236" s="1011"/>
      <c r="N236" s="1011"/>
      <c r="O236" s="1011"/>
      <c r="P236" s="1011"/>
      <c r="Q236" s="1011"/>
      <c r="R236" s="1011"/>
      <c r="S236" s="1011"/>
      <c r="T236" s="1011"/>
      <c r="X236" s="494"/>
    </row>
    <row r="237" spans="1:24" s="5" customFormat="1" ht="15" customHeight="1">
      <c r="A237" s="998" t="s">
        <v>1905</v>
      </c>
      <c r="B237" s="998"/>
      <c r="C237" s="998"/>
      <c r="H237" s="998"/>
      <c r="K237" s="1045"/>
      <c r="L237" s="1045"/>
      <c r="M237" s="1045"/>
      <c r="N237" s="1045"/>
      <c r="O237" s="1045"/>
      <c r="P237" s="1045"/>
      <c r="Q237" s="1045"/>
      <c r="R237" s="1045"/>
      <c r="S237" s="1045"/>
      <c r="T237" s="493"/>
      <c r="W237" s="1258"/>
      <c r="X237" s="1258"/>
    </row>
    <row r="238" spans="1:24" s="5" customFormat="1" ht="16.350000000000001" customHeight="1">
      <c r="B238" s="1434" t="s">
        <v>139</v>
      </c>
      <c r="C238" s="1434"/>
      <c r="D238" s="1434"/>
      <c r="E238" s="1434"/>
      <c r="F238" s="1435" t="str">
        <f>DBCS(【マスター】!C26)</f>
        <v/>
      </c>
      <c r="G238" s="1435"/>
      <c r="H238" s="1435"/>
      <c r="I238" s="1435" t="s">
        <v>140</v>
      </c>
      <c r="J238" s="1435"/>
      <c r="K238" s="1435"/>
      <c r="L238" s="1435"/>
      <c r="M238" s="1435" t="str">
        <f>DBCS(【マスター】!F26)</f>
        <v/>
      </c>
      <c r="N238" s="1435"/>
      <c r="O238" s="1435"/>
      <c r="P238" s="1435"/>
      <c r="Q238" s="1435"/>
      <c r="R238" s="1435"/>
      <c r="S238" s="1435"/>
      <c r="T238" s="493"/>
      <c r="W238" s="1258"/>
      <c r="X238" s="1258"/>
    </row>
    <row r="239" spans="1:24" s="5" customFormat="1" ht="16.350000000000001" customHeight="1">
      <c r="B239" s="1434" t="s">
        <v>142</v>
      </c>
      <c r="C239" s="1434"/>
      <c r="D239" s="1434"/>
      <c r="E239" s="1434"/>
      <c r="F239" s="1435" t="str">
        <f>DBCS(【マスター】!C27&amp;【マスター】!D27&amp;【マスター】!E27&amp;【マスター】!F27&amp;【マスター】!G27&amp;【マスター】!H27&amp;【マスター】!I27)</f>
        <v>年月日</v>
      </c>
      <c r="G239" s="1435"/>
      <c r="H239" s="1435"/>
      <c r="I239" s="1435"/>
      <c r="J239" s="1435"/>
      <c r="K239" s="1435"/>
      <c r="L239" s="1435"/>
      <c r="M239" s="1049"/>
      <c r="N239" s="1049"/>
      <c r="O239" s="1049"/>
      <c r="P239" s="1049"/>
      <c r="Q239" s="1049"/>
      <c r="R239" s="1049"/>
      <c r="S239" s="1049"/>
      <c r="T239" s="493"/>
      <c r="W239" s="1258"/>
      <c r="X239" s="1258"/>
    </row>
    <row r="240" spans="1:24" s="5" customFormat="1" ht="16.350000000000001" customHeight="1">
      <c r="B240" s="1434" t="s">
        <v>143</v>
      </c>
      <c r="C240" s="1434"/>
      <c r="D240" s="1434"/>
      <c r="E240" s="1434"/>
      <c r="F240" s="1435" t="str">
        <f>DBCS(【マスター】!C28)</f>
        <v/>
      </c>
      <c r="G240" s="1435"/>
      <c r="H240" s="1435"/>
      <c r="I240" s="1435" t="s">
        <v>144</v>
      </c>
      <c r="J240" s="1435"/>
      <c r="K240" s="1435"/>
      <c r="L240" s="1435"/>
      <c r="M240" s="1435" t="str">
        <f>DBCS(【マスター】!F28)</f>
        <v/>
      </c>
      <c r="N240" s="1435"/>
      <c r="O240" s="1435"/>
      <c r="P240" s="1435"/>
      <c r="Q240" s="1435"/>
      <c r="R240" s="1435"/>
      <c r="S240" s="1435"/>
      <c r="T240" s="493"/>
      <c r="W240" s="1258"/>
      <c r="X240" s="1258"/>
    </row>
    <row r="241" spans="1:26" s="5" customFormat="1" ht="15" customHeight="1">
      <c r="B241" s="1000"/>
      <c r="C241" s="1000"/>
      <c r="D241" s="1000"/>
      <c r="E241" s="1000"/>
      <c r="F241" s="1002"/>
      <c r="G241" s="1002"/>
      <c r="H241" s="1002"/>
      <c r="I241" s="1002"/>
      <c r="J241" s="1002"/>
      <c r="K241" s="1002"/>
      <c r="L241" s="1002"/>
      <c r="M241" s="1002"/>
      <c r="N241" s="1002"/>
      <c r="O241" s="1002"/>
      <c r="P241" s="1002"/>
      <c r="Q241" s="1002"/>
      <c r="R241" s="1002"/>
      <c r="S241" s="1002"/>
      <c r="T241" s="493"/>
      <c r="W241" s="494"/>
      <c r="X241" s="494"/>
      <c r="Y241" s="548"/>
      <c r="Z241" s="548"/>
    </row>
    <row r="242" spans="1:26" s="5" customFormat="1" ht="15" customHeight="1">
      <c r="A242" s="1306" t="s">
        <v>487</v>
      </c>
      <c r="B242" s="1306"/>
      <c r="C242" s="1306"/>
      <c r="D242" s="1306"/>
      <c r="E242" s="1306"/>
      <c r="F242" s="1306"/>
      <c r="G242" s="1306"/>
      <c r="H242" s="1306"/>
      <c r="I242" s="1306"/>
      <c r="J242" s="1306"/>
      <c r="K242" s="1306"/>
      <c r="L242" s="1306"/>
      <c r="M242" s="1306"/>
      <c r="N242" s="1306"/>
      <c r="O242" s="1306"/>
      <c r="P242" s="1306"/>
      <c r="Q242" s="1306"/>
      <c r="R242" s="1306"/>
      <c r="S242" s="1306"/>
      <c r="T242" s="1306"/>
      <c r="X242" s="494"/>
    </row>
    <row r="243" spans="1:26" s="5" customFormat="1" ht="15" customHeight="1">
      <c r="A243" s="1012"/>
      <c r="B243" s="1012"/>
      <c r="C243" s="1012"/>
      <c r="D243" s="1020"/>
      <c r="E243" s="1020"/>
      <c r="F243" s="1020"/>
      <c r="G243" s="1020"/>
      <c r="H243" s="1012"/>
      <c r="I243" s="1020"/>
      <c r="J243" s="1020"/>
      <c r="K243" s="1017"/>
      <c r="L243" s="1017"/>
      <c r="M243" s="1017"/>
      <c r="N243" s="1017"/>
      <c r="O243" s="1017"/>
      <c r="P243" s="1017"/>
      <c r="Q243" s="1017"/>
      <c r="R243" s="1017"/>
      <c r="S243" s="1017"/>
      <c r="T243" s="1048"/>
      <c r="X243" s="494"/>
    </row>
    <row r="244" spans="1:26" s="5" customFormat="1" ht="15" customHeight="1">
      <c r="A244" s="1020"/>
      <c r="B244" s="1020"/>
      <c r="C244" s="1020"/>
      <c r="D244" s="1020"/>
      <c r="E244" s="1020"/>
      <c r="F244" s="1020"/>
      <c r="G244" s="1020"/>
      <c r="H244" s="1020"/>
      <c r="I244" s="1020"/>
      <c r="J244" s="1020"/>
      <c r="K244" s="1020"/>
      <c r="L244" s="1020"/>
      <c r="M244" s="1020"/>
      <c r="N244" s="1020"/>
      <c r="O244" s="1020"/>
      <c r="P244" s="1020"/>
      <c r="Q244" s="1020"/>
      <c r="R244" s="1020"/>
      <c r="S244" s="1020"/>
      <c r="T244" s="1020"/>
      <c r="X244" s="494"/>
    </row>
    <row r="245" spans="1:26" s="5" customFormat="1" ht="15" customHeight="1">
      <c r="A245" s="1020"/>
      <c r="B245" s="1020"/>
      <c r="C245" s="1020"/>
      <c r="D245" s="1020"/>
      <c r="E245" s="1020"/>
      <c r="F245" s="1020"/>
      <c r="G245" s="1020"/>
      <c r="H245" s="1020"/>
      <c r="I245" s="1020"/>
      <c r="J245" s="1020"/>
      <c r="K245" s="1020"/>
      <c r="L245" s="1020"/>
      <c r="M245" s="1020"/>
      <c r="N245" s="1020"/>
      <c r="O245" s="1020"/>
      <c r="P245" s="1020"/>
      <c r="Q245" s="1020"/>
      <c r="R245" s="1020"/>
      <c r="S245" s="1020"/>
      <c r="T245" s="1020"/>
      <c r="X245" s="494"/>
    </row>
    <row r="246" spans="1:26" s="5" customFormat="1" ht="15" customHeight="1">
      <c r="A246" s="1020"/>
      <c r="B246" s="1012"/>
      <c r="C246" s="1012"/>
      <c r="D246" s="1020"/>
      <c r="E246" s="1020"/>
      <c r="F246" s="1020"/>
      <c r="G246" s="1020"/>
      <c r="H246" s="1012"/>
      <c r="I246" s="1020"/>
      <c r="J246" s="1020"/>
      <c r="K246" s="1017"/>
      <c r="L246" s="1017"/>
      <c r="M246" s="1017"/>
      <c r="N246" s="1017"/>
      <c r="O246" s="1017"/>
      <c r="P246" s="1017"/>
      <c r="Q246" s="1017"/>
      <c r="R246" s="1017"/>
      <c r="S246" s="1017"/>
      <c r="T246" s="1048"/>
      <c r="X246" s="494"/>
    </row>
    <row r="247" spans="1:26" s="5" customFormat="1" ht="15" customHeight="1">
      <c r="A247" s="1020"/>
      <c r="B247" s="1012"/>
      <c r="C247" s="1012"/>
      <c r="D247" s="1020"/>
      <c r="E247" s="1020"/>
      <c r="F247" s="1020"/>
      <c r="G247" s="1020"/>
      <c r="H247" s="1012"/>
      <c r="I247" s="1020"/>
      <c r="J247" s="1020"/>
      <c r="K247" s="1017"/>
      <c r="L247" s="1017"/>
      <c r="M247" s="1017"/>
      <c r="N247" s="1017"/>
      <c r="O247" s="1017"/>
      <c r="P247" s="1017"/>
      <c r="Q247" s="1017"/>
      <c r="R247" s="1017"/>
      <c r="S247" s="1017"/>
      <c r="T247" s="1048"/>
      <c r="X247" s="494"/>
    </row>
    <row r="248" spans="1:26" s="5" customFormat="1" ht="15" customHeight="1">
      <c r="A248" s="1020"/>
      <c r="B248" s="1012"/>
      <c r="C248" s="1012"/>
      <c r="D248" s="1020"/>
      <c r="E248" s="1020"/>
      <c r="F248" s="1020"/>
      <c r="G248" s="1020"/>
      <c r="H248" s="1012"/>
      <c r="I248" s="1020"/>
      <c r="J248" s="1020"/>
      <c r="K248" s="1017"/>
      <c r="L248" s="1017"/>
      <c r="M248" s="1017"/>
      <c r="N248" s="1017"/>
      <c r="O248" s="1017"/>
      <c r="P248" s="1017"/>
      <c r="Q248" s="1017"/>
      <c r="R248" s="1017"/>
      <c r="S248" s="1017"/>
      <c r="T248" s="1048"/>
      <c r="X248" s="494"/>
    </row>
    <row r="249" spans="1:26" s="5" customFormat="1" ht="15" customHeight="1">
      <c r="A249" s="1020"/>
      <c r="B249" s="1012"/>
      <c r="C249" s="1012"/>
      <c r="D249" s="1020"/>
      <c r="E249" s="1020"/>
      <c r="F249" s="1020"/>
      <c r="G249" s="1020"/>
      <c r="H249" s="1012"/>
      <c r="I249" s="1020"/>
      <c r="J249" s="1020"/>
      <c r="K249" s="1017"/>
      <c r="L249" s="1017"/>
      <c r="M249" s="1017"/>
      <c r="N249" s="1017"/>
      <c r="O249" s="1017"/>
      <c r="P249" s="1017"/>
      <c r="Q249" s="1017"/>
      <c r="R249" s="1017"/>
      <c r="S249" s="1017"/>
      <c r="T249" s="1048"/>
      <c r="X249" s="494"/>
    </row>
    <row r="250" spans="1:26" s="5" customFormat="1" ht="15" customHeight="1">
      <c r="A250" s="1020"/>
      <c r="B250" s="1012"/>
      <c r="C250" s="1012"/>
      <c r="D250" s="1020"/>
      <c r="E250" s="1020"/>
      <c r="F250" s="1020"/>
      <c r="G250" s="1020"/>
      <c r="H250" s="1012"/>
      <c r="I250" s="1020"/>
      <c r="J250" s="1020"/>
      <c r="K250" s="1017"/>
      <c r="L250" s="1017"/>
      <c r="M250" s="1017"/>
      <c r="N250" s="1017"/>
      <c r="O250" s="1017"/>
      <c r="P250" s="1017"/>
      <c r="Q250" s="1017"/>
      <c r="R250" s="1017"/>
      <c r="S250" s="1017"/>
      <c r="T250" s="1048"/>
      <c r="X250" s="494"/>
    </row>
    <row r="251" spans="1:26" s="5" customFormat="1" ht="15" customHeight="1">
      <c r="A251" s="1020"/>
      <c r="B251" s="1012"/>
      <c r="C251" s="1012"/>
      <c r="D251" s="1020"/>
      <c r="E251" s="1020"/>
      <c r="F251" s="1020"/>
      <c r="G251" s="1020"/>
      <c r="H251" s="1012"/>
      <c r="I251" s="1020"/>
      <c r="J251" s="1020"/>
      <c r="K251" s="1017"/>
      <c r="L251" s="1017"/>
      <c r="M251" s="1017"/>
      <c r="N251" s="1017"/>
      <c r="O251" s="1017"/>
      <c r="P251" s="1017"/>
      <c r="Q251" s="1017"/>
      <c r="R251" s="1017"/>
      <c r="S251" s="1017"/>
      <c r="T251" s="1048"/>
      <c r="X251" s="494"/>
    </row>
    <row r="252" spans="1:26" s="5" customFormat="1" ht="15" customHeight="1">
      <c r="A252" s="1020"/>
      <c r="B252" s="1012"/>
      <c r="C252" s="1012"/>
      <c r="D252" s="1020"/>
      <c r="E252" s="1020"/>
      <c r="F252" s="1020"/>
      <c r="G252" s="1020"/>
      <c r="H252" s="1012"/>
      <c r="I252" s="1020"/>
      <c r="J252" s="1020"/>
      <c r="K252" s="1017"/>
      <c r="L252" s="1017"/>
      <c r="M252" s="1017"/>
      <c r="N252" s="1017"/>
      <c r="O252" s="1017"/>
      <c r="P252" s="1017"/>
      <c r="Q252" s="1017"/>
      <c r="R252" s="1017"/>
      <c r="S252" s="1017"/>
      <c r="T252" s="1048"/>
      <c r="X252" s="494"/>
    </row>
    <row r="253" spans="1:26" s="5" customFormat="1" ht="15" customHeight="1">
      <c r="A253" s="1020"/>
      <c r="B253" s="1012"/>
      <c r="C253" s="1012"/>
      <c r="D253" s="1020"/>
      <c r="E253" s="1020"/>
      <c r="F253" s="1020"/>
      <c r="G253" s="1020"/>
      <c r="H253" s="1012"/>
      <c r="I253" s="1020"/>
      <c r="J253" s="1020"/>
      <c r="K253" s="1017"/>
      <c r="L253" s="1017"/>
      <c r="M253" s="1017"/>
      <c r="N253" s="1017"/>
      <c r="O253" s="1017"/>
      <c r="P253" s="1017"/>
      <c r="Q253" s="1017"/>
      <c r="R253" s="1017"/>
      <c r="S253" s="1017"/>
      <c r="T253" s="1048"/>
      <c r="X253" s="494"/>
    </row>
    <row r="254" spans="1:26" s="5" customFormat="1" ht="15" customHeight="1">
      <c r="A254" s="1020"/>
      <c r="B254" s="1012"/>
      <c r="C254" s="1012"/>
      <c r="D254" s="1020"/>
      <c r="E254" s="1020"/>
      <c r="F254" s="1020"/>
      <c r="G254" s="1020"/>
      <c r="H254" s="1012"/>
      <c r="I254" s="1020"/>
      <c r="J254" s="1020"/>
      <c r="K254" s="1017"/>
      <c r="L254" s="1017"/>
      <c r="M254" s="1017"/>
      <c r="N254" s="1017"/>
      <c r="O254" s="1017"/>
      <c r="P254" s="1017"/>
      <c r="Q254" s="1017"/>
      <c r="R254" s="1017"/>
      <c r="S254" s="1017"/>
      <c r="T254" s="1048"/>
      <c r="X254" s="494"/>
    </row>
    <row r="255" spans="1:26" s="5" customFormat="1" ht="15" customHeight="1">
      <c r="A255" s="1020"/>
      <c r="B255" s="1012"/>
      <c r="C255" s="1012"/>
      <c r="D255" s="1020"/>
      <c r="E255" s="1020"/>
      <c r="F255" s="1020"/>
      <c r="G255" s="1020"/>
      <c r="H255" s="1012"/>
      <c r="I255" s="1020"/>
      <c r="J255" s="1020"/>
      <c r="K255" s="1017"/>
      <c r="L255" s="1017"/>
      <c r="M255" s="1017"/>
      <c r="N255" s="1017"/>
      <c r="O255" s="1017"/>
      <c r="P255" s="1017"/>
      <c r="Q255" s="1017"/>
      <c r="R255" s="1017"/>
      <c r="S255" s="1017"/>
      <c r="T255" s="1048"/>
      <c r="X255" s="494"/>
    </row>
    <row r="256" spans="1:26" s="5" customFormat="1" ht="15" customHeight="1">
      <c r="A256" s="1020"/>
      <c r="B256" s="1012"/>
      <c r="C256" s="1012"/>
      <c r="D256" s="1020"/>
      <c r="E256" s="1020"/>
      <c r="F256" s="1020"/>
      <c r="G256" s="1020"/>
      <c r="H256" s="1012"/>
      <c r="I256" s="1020"/>
      <c r="J256" s="1020"/>
      <c r="K256" s="1017"/>
      <c r="L256" s="1017"/>
      <c r="M256" s="1017"/>
      <c r="N256" s="1017"/>
      <c r="O256" s="1017"/>
      <c r="P256" s="1017"/>
      <c r="Q256" s="1017"/>
      <c r="R256" s="1017"/>
      <c r="S256" s="1017"/>
      <c r="T256" s="1048"/>
      <c r="X256" s="494"/>
    </row>
    <row r="257" spans="1:24" s="5" customFormat="1" ht="15" customHeight="1">
      <c r="A257" s="1020"/>
      <c r="B257" s="1012"/>
      <c r="C257" s="1012"/>
      <c r="D257" s="1020"/>
      <c r="E257" s="1020"/>
      <c r="F257" s="1020"/>
      <c r="G257" s="1020"/>
      <c r="H257" s="1012"/>
      <c r="I257" s="1020"/>
      <c r="J257" s="1020"/>
      <c r="K257" s="1017"/>
      <c r="L257" s="1017"/>
      <c r="M257" s="1017"/>
      <c r="N257" s="1017"/>
      <c r="O257" s="1017"/>
      <c r="P257" s="1017"/>
      <c r="Q257" s="1017"/>
      <c r="R257" s="1017"/>
      <c r="S257" s="1017"/>
      <c r="T257" s="1048"/>
      <c r="X257" s="494"/>
    </row>
    <row r="258" spans="1:24" s="5" customFormat="1" ht="15" customHeight="1">
      <c r="A258" s="1020"/>
      <c r="B258" s="1012"/>
      <c r="C258" s="1012"/>
      <c r="D258" s="1020"/>
      <c r="E258" s="1020"/>
      <c r="F258" s="1020"/>
      <c r="G258" s="1020"/>
      <c r="H258" s="1012"/>
      <c r="I258" s="1020"/>
      <c r="J258" s="1020"/>
      <c r="K258" s="1017"/>
      <c r="L258" s="1017"/>
      <c r="M258" s="1017"/>
      <c r="N258" s="1017"/>
      <c r="O258" s="1017"/>
      <c r="P258" s="1017"/>
      <c r="Q258" s="1017"/>
      <c r="R258" s="1017"/>
      <c r="S258" s="1017"/>
      <c r="T258" s="1048"/>
      <c r="X258" s="494"/>
    </row>
    <row r="259" spans="1:24" s="5" customFormat="1" ht="15" customHeight="1">
      <c r="A259" s="1020"/>
      <c r="B259" s="1012"/>
      <c r="C259" s="1012"/>
      <c r="D259" s="1020"/>
      <c r="E259" s="1020"/>
      <c r="F259" s="1020"/>
      <c r="G259" s="1020"/>
      <c r="H259" s="1012"/>
      <c r="I259" s="1020"/>
      <c r="J259" s="1020"/>
      <c r="K259" s="1017"/>
      <c r="L259" s="1017"/>
      <c r="M259" s="1017"/>
      <c r="N259" s="1017"/>
      <c r="O259" s="1017"/>
      <c r="P259" s="1017"/>
      <c r="Q259" s="1017"/>
      <c r="R259" s="1017"/>
      <c r="S259" s="1017"/>
      <c r="T259" s="1048"/>
      <c r="X259" s="494"/>
    </row>
    <row r="260" spans="1:24" s="5" customFormat="1" ht="15" customHeight="1">
      <c r="A260" s="1020"/>
      <c r="B260" s="1012"/>
      <c r="C260" s="1012"/>
      <c r="D260" s="1020"/>
      <c r="E260" s="1020"/>
      <c r="F260" s="1020"/>
      <c r="G260" s="1020"/>
      <c r="H260" s="1012"/>
      <c r="I260" s="1020"/>
      <c r="J260" s="1020"/>
      <c r="K260" s="1017"/>
      <c r="L260" s="1017"/>
      <c r="M260" s="1017"/>
      <c r="N260" s="1017"/>
      <c r="O260" s="1017"/>
      <c r="P260" s="1017"/>
      <c r="Q260" s="1017"/>
      <c r="R260" s="1017"/>
      <c r="S260" s="1017"/>
      <c r="T260" s="1048"/>
      <c r="X260" s="494"/>
    </row>
    <row r="261" spans="1:24" s="5" customFormat="1" ht="15" customHeight="1">
      <c r="A261" s="1020"/>
      <c r="B261" s="1012"/>
      <c r="C261" s="1012"/>
      <c r="D261" s="1020"/>
      <c r="E261" s="1020"/>
      <c r="F261" s="1020"/>
      <c r="G261" s="1020"/>
      <c r="H261" s="1012"/>
      <c r="I261" s="1020"/>
      <c r="J261" s="1020"/>
      <c r="K261" s="1017"/>
      <c r="L261" s="1017"/>
      <c r="M261" s="1017"/>
      <c r="N261" s="1017"/>
      <c r="O261" s="1017"/>
      <c r="P261" s="1017"/>
      <c r="Q261" s="1017"/>
      <c r="R261" s="1017"/>
      <c r="S261" s="1017"/>
      <c r="T261" s="1048"/>
      <c r="X261" s="494"/>
    </row>
    <row r="262" spans="1:24" s="5" customFormat="1" ht="15" customHeight="1">
      <c r="A262" s="1020"/>
      <c r="B262" s="1012"/>
      <c r="C262" s="1012"/>
      <c r="D262" s="1020"/>
      <c r="E262" s="1020"/>
      <c r="F262" s="1020"/>
      <c r="G262" s="1020"/>
      <c r="H262" s="1012"/>
      <c r="I262" s="1020"/>
      <c r="J262" s="1020"/>
      <c r="K262" s="1017"/>
      <c r="L262" s="1017"/>
      <c r="M262" s="1017"/>
      <c r="N262" s="1017"/>
      <c r="O262" s="1017"/>
      <c r="P262" s="1017"/>
      <c r="Q262" s="1017"/>
      <c r="R262" s="1017"/>
      <c r="S262" s="1017"/>
      <c r="T262" s="1048"/>
      <c r="X262" s="494"/>
    </row>
    <row r="263" spans="1:24" s="5" customFormat="1" ht="15" customHeight="1">
      <c r="A263" s="1020"/>
      <c r="B263" s="1012"/>
      <c r="C263" s="1012"/>
      <c r="D263" s="1020"/>
      <c r="E263" s="1020"/>
      <c r="F263" s="1020"/>
      <c r="G263" s="1020"/>
      <c r="H263" s="1012"/>
      <c r="I263" s="1020"/>
      <c r="J263" s="1020"/>
      <c r="K263" s="1017"/>
      <c r="L263" s="1017"/>
      <c r="M263" s="1017"/>
      <c r="N263" s="1017"/>
      <c r="O263" s="1017"/>
      <c r="P263" s="1017"/>
      <c r="Q263" s="1017"/>
      <c r="R263" s="1017"/>
      <c r="S263" s="1017"/>
      <c r="T263" s="1048"/>
      <c r="X263" s="494"/>
    </row>
    <row r="264" spans="1:24" s="5" customFormat="1" ht="15" customHeight="1">
      <c r="A264" s="1020"/>
      <c r="B264" s="1012"/>
      <c r="C264" s="1012"/>
      <c r="D264" s="1020"/>
      <c r="E264" s="1020"/>
      <c r="F264" s="1020"/>
      <c r="G264" s="1020"/>
      <c r="H264" s="1012"/>
      <c r="I264" s="1020"/>
      <c r="J264" s="1020"/>
      <c r="K264" s="1017"/>
      <c r="L264" s="1017"/>
      <c r="M264" s="1017"/>
      <c r="N264" s="1017"/>
      <c r="O264" s="1017"/>
      <c r="P264" s="1017"/>
      <c r="Q264" s="1017"/>
      <c r="R264" s="1017"/>
      <c r="S264" s="1017"/>
      <c r="T264" s="1048"/>
      <c r="X264" s="494"/>
    </row>
    <row r="265" spans="1:24" s="5" customFormat="1" ht="15" customHeight="1">
      <c r="A265" s="1020"/>
      <c r="B265" s="1012"/>
      <c r="C265" s="1012"/>
      <c r="D265" s="1020"/>
      <c r="E265" s="1020"/>
      <c r="F265" s="1020"/>
      <c r="G265" s="1020"/>
      <c r="H265" s="1012"/>
      <c r="I265" s="1020"/>
      <c r="J265" s="1020"/>
      <c r="K265" s="1017"/>
      <c r="L265" s="1017"/>
      <c r="M265" s="1017"/>
      <c r="N265" s="1017"/>
      <c r="O265" s="1017"/>
      <c r="P265" s="1017"/>
      <c r="Q265" s="1017"/>
      <c r="R265" s="1017"/>
      <c r="S265" s="1017"/>
      <c r="T265" s="1048"/>
      <c r="X265" s="494"/>
    </row>
    <row r="266" spans="1:24" s="5" customFormat="1" ht="15" customHeight="1">
      <c r="A266" s="1020"/>
      <c r="B266" s="1012"/>
      <c r="C266" s="1012"/>
      <c r="D266" s="1020"/>
      <c r="E266" s="1020"/>
      <c r="F266" s="1020"/>
      <c r="G266" s="1020"/>
      <c r="H266" s="1012"/>
      <c r="I266" s="1020"/>
      <c r="J266" s="1020"/>
      <c r="K266" s="1017"/>
      <c r="L266" s="1017"/>
      <c r="M266" s="1017"/>
      <c r="N266" s="1017"/>
      <c r="O266" s="1017"/>
      <c r="P266" s="1017"/>
      <c r="Q266" s="1017"/>
      <c r="R266" s="1017"/>
      <c r="S266" s="1017"/>
      <c r="T266" s="1048"/>
      <c r="X266" s="494"/>
    </row>
    <row r="267" spans="1:24" s="5" customFormat="1" ht="15" customHeight="1">
      <c r="A267" s="1020"/>
      <c r="B267" s="1012"/>
      <c r="C267" s="1012"/>
      <c r="D267" s="1020"/>
      <c r="E267" s="1020"/>
      <c r="F267" s="1020"/>
      <c r="G267" s="1020"/>
      <c r="H267" s="1012"/>
      <c r="I267" s="1020"/>
      <c r="J267" s="1020"/>
      <c r="K267" s="1017"/>
      <c r="L267" s="1017"/>
      <c r="M267" s="1017"/>
      <c r="N267" s="1017"/>
      <c r="O267" s="1017"/>
      <c r="P267" s="1017"/>
      <c r="Q267" s="1017"/>
      <c r="R267" s="1017"/>
      <c r="S267" s="1017"/>
      <c r="T267" s="1048"/>
      <c r="X267" s="494"/>
    </row>
    <row r="268" spans="1:24" s="5" customFormat="1" ht="15" customHeight="1">
      <c r="A268" s="1020"/>
      <c r="B268" s="1012"/>
      <c r="C268" s="1012"/>
      <c r="D268" s="1020"/>
      <c r="E268" s="1020"/>
      <c r="F268" s="1020"/>
      <c r="G268" s="1020"/>
      <c r="H268" s="1012"/>
      <c r="I268" s="1020"/>
      <c r="J268" s="1020"/>
      <c r="K268" s="1017"/>
      <c r="L268" s="1017"/>
      <c r="M268" s="1017"/>
      <c r="N268" s="1017"/>
      <c r="O268" s="1017"/>
      <c r="P268" s="1017"/>
      <c r="Q268" s="1017"/>
      <c r="R268" s="1017"/>
      <c r="S268" s="1017"/>
      <c r="T268" s="1048"/>
      <c r="X268" s="494"/>
    </row>
    <row r="269" spans="1:24" s="5" customFormat="1" ht="15" customHeight="1">
      <c r="A269" s="1020"/>
      <c r="B269" s="1012"/>
      <c r="C269" s="1012"/>
      <c r="D269" s="1020"/>
      <c r="E269" s="1020"/>
      <c r="F269" s="1020"/>
      <c r="G269" s="1020"/>
      <c r="H269" s="1012"/>
      <c r="I269" s="1020"/>
      <c r="J269" s="1020"/>
      <c r="K269" s="1017"/>
      <c r="L269" s="1017"/>
      <c r="M269" s="1017"/>
      <c r="N269" s="1017"/>
      <c r="O269" s="1017"/>
      <c r="P269" s="1017"/>
      <c r="Q269" s="1017"/>
      <c r="R269" s="1017"/>
      <c r="S269" s="1017"/>
      <c r="T269" s="1048"/>
      <c r="X269" s="494"/>
    </row>
    <row r="270" spans="1:24" s="5" customFormat="1" ht="15" customHeight="1">
      <c r="A270" s="1020"/>
      <c r="B270" s="1012"/>
      <c r="C270" s="1012"/>
      <c r="D270" s="1020"/>
      <c r="E270" s="1020"/>
      <c r="F270" s="1020"/>
      <c r="G270" s="1020"/>
      <c r="H270" s="1012"/>
      <c r="I270" s="1020"/>
      <c r="J270" s="1020"/>
      <c r="K270" s="1017"/>
      <c r="L270" s="1017"/>
      <c r="M270" s="1017"/>
      <c r="N270" s="1017"/>
      <c r="O270" s="1017"/>
      <c r="P270" s="1017"/>
      <c r="Q270" s="1017"/>
      <c r="R270" s="1017"/>
      <c r="S270" s="1017"/>
      <c r="T270" s="1048"/>
      <c r="X270" s="494"/>
    </row>
    <row r="271" spans="1:24" s="5" customFormat="1" ht="15" customHeight="1">
      <c r="A271" s="1020"/>
      <c r="B271" s="1012"/>
      <c r="C271" s="1012"/>
      <c r="D271" s="1020"/>
      <c r="E271" s="1020"/>
      <c r="F271" s="1020"/>
      <c r="G271" s="1020"/>
      <c r="H271" s="1012"/>
      <c r="I271" s="1020"/>
      <c r="J271" s="1020"/>
      <c r="K271" s="1017"/>
      <c r="L271" s="1017"/>
      <c r="M271" s="1017"/>
      <c r="N271" s="1017"/>
      <c r="O271" s="1017"/>
      <c r="P271" s="1017"/>
      <c r="Q271" s="1017"/>
      <c r="R271" s="1017"/>
      <c r="S271" s="1017"/>
      <c r="T271" s="1048"/>
      <c r="X271" s="494"/>
    </row>
    <row r="272" spans="1:24" s="5" customFormat="1" ht="15" customHeight="1">
      <c r="A272" s="1020"/>
      <c r="B272" s="1012"/>
      <c r="C272" s="1012"/>
      <c r="D272" s="1020"/>
      <c r="E272" s="1020"/>
      <c r="F272" s="1020"/>
      <c r="G272" s="1020"/>
      <c r="H272" s="1020"/>
      <c r="I272" s="1020"/>
      <c r="J272" s="1020"/>
      <c r="K272" s="1020"/>
      <c r="L272" s="1020"/>
      <c r="M272" s="1020"/>
      <c r="N272" s="1020"/>
      <c r="O272" s="1020"/>
      <c r="P272" s="1020"/>
      <c r="Q272" s="1020"/>
      <c r="R272" s="1020"/>
      <c r="S272" s="1020"/>
      <c r="T272" s="1020"/>
      <c r="X272" s="494"/>
    </row>
    <row r="273" spans="1:24" s="5" customFormat="1" ht="15" customHeight="1">
      <c r="A273" s="1020"/>
      <c r="B273" s="1012"/>
      <c r="C273" s="1012"/>
      <c r="D273" s="1020"/>
      <c r="E273" s="1020"/>
      <c r="F273" s="1020"/>
      <c r="G273" s="1020"/>
      <c r="H273" s="1020"/>
      <c r="I273" s="1020"/>
      <c r="J273" s="1020"/>
      <c r="K273" s="1020"/>
      <c r="L273" s="1020"/>
      <c r="M273" s="1020"/>
      <c r="N273" s="1020"/>
      <c r="O273" s="1020"/>
      <c r="P273" s="1020"/>
      <c r="Q273" s="1020"/>
      <c r="R273" s="1020"/>
      <c r="S273" s="1020"/>
      <c r="T273" s="1020"/>
      <c r="X273" s="494"/>
    </row>
    <row r="274" spans="1:24" s="5" customFormat="1" ht="15" customHeight="1">
      <c r="A274" s="1020"/>
      <c r="B274" s="1012"/>
      <c r="C274" s="1012"/>
      <c r="D274" s="1020"/>
      <c r="E274" s="1020"/>
      <c r="F274" s="1020"/>
      <c r="G274" s="1020"/>
      <c r="H274" s="1020"/>
      <c r="I274" s="1020"/>
      <c r="J274" s="1020"/>
      <c r="K274" s="1020"/>
      <c r="L274" s="1020"/>
      <c r="M274" s="1020"/>
      <c r="N274" s="1020"/>
      <c r="O274" s="1020"/>
      <c r="P274" s="1020"/>
      <c r="Q274" s="1020"/>
      <c r="R274" s="1020"/>
      <c r="S274" s="1020"/>
      <c r="T274" s="1020"/>
      <c r="X274" s="494"/>
    </row>
    <row r="275" spans="1:24" s="5" customFormat="1" ht="15" customHeight="1">
      <c r="A275" s="1020"/>
      <c r="B275" s="1012"/>
      <c r="C275" s="1012"/>
      <c r="D275" s="1020"/>
      <c r="E275" s="1020"/>
      <c r="F275" s="1020"/>
      <c r="G275" s="1020"/>
      <c r="H275" s="1020"/>
      <c r="I275" s="1020"/>
      <c r="J275" s="1020"/>
      <c r="K275" s="1020"/>
      <c r="L275" s="1020"/>
      <c r="M275" s="1020"/>
      <c r="N275" s="1020"/>
      <c r="O275" s="1020"/>
      <c r="P275" s="1020"/>
      <c r="Q275" s="1020"/>
      <c r="R275" s="1020"/>
      <c r="S275" s="1020"/>
      <c r="T275" s="1020"/>
      <c r="X275" s="494"/>
    </row>
    <row r="276" spans="1:24" s="5" customFormat="1" ht="15" customHeight="1">
      <c r="A276" s="1020"/>
      <c r="B276" s="1012"/>
      <c r="C276" s="1012"/>
      <c r="D276" s="1020"/>
      <c r="E276" s="1020"/>
      <c r="F276" s="1020"/>
      <c r="G276" s="1020"/>
      <c r="H276" s="1020"/>
      <c r="I276" s="1020"/>
      <c r="J276" s="1020"/>
      <c r="K276" s="1020"/>
      <c r="L276" s="1020"/>
      <c r="M276" s="1020"/>
      <c r="N276" s="1020"/>
      <c r="O276" s="1020"/>
      <c r="P276" s="1020"/>
      <c r="Q276" s="1020"/>
      <c r="R276" s="1020"/>
      <c r="S276" s="1020"/>
      <c r="T276" s="1020"/>
      <c r="X276" s="494"/>
    </row>
    <row r="277" spans="1:24" ht="15" customHeight="1">
      <c r="A277" s="1020"/>
      <c r="B277" s="1012"/>
      <c r="C277" s="1012"/>
      <c r="D277" s="1020"/>
      <c r="E277" s="1020"/>
      <c r="F277" s="1020"/>
      <c r="G277" s="1020"/>
      <c r="H277" s="1020"/>
      <c r="I277" s="1020"/>
      <c r="J277" s="1020"/>
      <c r="K277" s="1020"/>
      <c r="L277" s="1020"/>
      <c r="M277" s="1020"/>
      <c r="N277" s="1020"/>
      <c r="O277" s="1020"/>
      <c r="P277" s="1020"/>
      <c r="Q277" s="1020"/>
      <c r="R277" s="1020"/>
      <c r="S277" s="1020"/>
      <c r="T277" s="1020"/>
    </row>
  </sheetData>
  <sheetProtection selectLockedCells="1"/>
  <mergeCells count="301">
    <mergeCell ref="F114:J114"/>
    <mergeCell ref="K117:T117"/>
    <mergeCell ref="C166:T169"/>
    <mergeCell ref="L145:M145"/>
    <mergeCell ref="A142:F148"/>
    <mergeCell ref="B105:E106"/>
    <mergeCell ref="B107:E107"/>
    <mergeCell ref="B110:E110"/>
    <mergeCell ref="B116:E116"/>
    <mergeCell ref="B119:E119"/>
    <mergeCell ref="B117:E118"/>
    <mergeCell ref="B114:E115"/>
    <mergeCell ref="B113:E113"/>
    <mergeCell ref="B111:E112"/>
    <mergeCell ref="B108:E109"/>
    <mergeCell ref="W237:X240"/>
    <mergeCell ref="B238:E238"/>
    <mergeCell ref="F238:H238"/>
    <mergeCell ref="I238:L238"/>
    <mergeCell ref="M238:S238"/>
    <mergeCell ref="B239:E239"/>
    <mergeCell ref="F239:L239"/>
    <mergeCell ref="B240:E240"/>
    <mergeCell ref="F240:H240"/>
    <mergeCell ref="I240:L240"/>
    <mergeCell ref="M240:S240"/>
    <mergeCell ref="C219:T219"/>
    <mergeCell ref="C201:T201"/>
    <mergeCell ref="C206:T206"/>
    <mergeCell ref="C207:T207"/>
    <mergeCell ref="C208:T208"/>
    <mergeCell ref="B210:T210"/>
    <mergeCell ref="C212:T212"/>
    <mergeCell ref="C213:T213"/>
    <mergeCell ref="C214:T214"/>
    <mergeCell ref="C202:T202"/>
    <mergeCell ref="C216:T216"/>
    <mergeCell ref="C217:T217"/>
    <mergeCell ref="B14:F14"/>
    <mergeCell ref="H14:T14"/>
    <mergeCell ref="B15:F17"/>
    <mergeCell ref="H15:J15"/>
    <mergeCell ref="A108:A110"/>
    <mergeCell ref="F108:J108"/>
    <mergeCell ref="K108:T108"/>
    <mergeCell ref="F109:J109"/>
    <mergeCell ref="K109:T109"/>
    <mergeCell ref="F110:J110"/>
    <mergeCell ref="K110:T110"/>
    <mergeCell ref="K15:T15"/>
    <mergeCell ref="H16:J16"/>
    <mergeCell ref="K16:T16"/>
    <mergeCell ref="H17:J17"/>
    <mergeCell ref="N23:O23"/>
    <mergeCell ref="F24:G24"/>
    <mergeCell ref="H24:I24"/>
    <mergeCell ref="K17:T17"/>
    <mergeCell ref="B18:F18"/>
    <mergeCell ref="H18:T18"/>
    <mergeCell ref="B19:F19"/>
    <mergeCell ref="H19:T19"/>
    <mergeCell ref="B20:F20"/>
    <mergeCell ref="A1:T2"/>
    <mergeCell ref="A3:T3"/>
    <mergeCell ref="B6:F6"/>
    <mergeCell ref="H6:P6"/>
    <mergeCell ref="Q6:T6"/>
    <mergeCell ref="B7:F7"/>
    <mergeCell ref="H7:T7"/>
    <mergeCell ref="B8:F10"/>
    <mergeCell ref="H8:J8"/>
    <mergeCell ref="K8:T8"/>
    <mergeCell ref="H9:J9"/>
    <mergeCell ref="K9:T9"/>
    <mergeCell ref="H10:J10"/>
    <mergeCell ref="K10:T10"/>
    <mergeCell ref="R20:S20"/>
    <mergeCell ref="H20:O20"/>
    <mergeCell ref="P20:Q20"/>
    <mergeCell ref="P25:T25"/>
    <mergeCell ref="A26:E26"/>
    <mergeCell ref="F26:G26"/>
    <mergeCell ref="H26:I26"/>
    <mergeCell ref="J26:K26"/>
    <mergeCell ref="L26:M26"/>
    <mergeCell ref="N26:O26"/>
    <mergeCell ref="P26:T26"/>
    <mergeCell ref="J24:K24"/>
    <mergeCell ref="L24:M24"/>
    <mergeCell ref="N24:O24"/>
    <mergeCell ref="A25:E25"/>
    <mergeCell ref="F25:G25"/>
    <mergeCell ref="H25:I25"/>
    <mergeCell ref="J25:K25"/>
    <mergeCell ref="L25:M25"/>
    <mergeCell ref="N25:O25"/>
    <mergeCell ref="A22:E24"/>
    <mergeCell ref="F22:G23"/>
    <mergeCell ref="H22:O22"/>
    <mergeCell ref="P22:T24"/>
    <mergeCell ref="H23:I23"/>
    <mergeCell ref="J23:K23"/>
    <mergeCell ref="L23:M23"/>
    <mergeCell ref="P27:T27"/>
    <mergeCell ref="A28:E28"/>
    <mergeCell ref="F28:G28"/>
    <mergeCell ref="H28:I28"/>
    <mergeCell ref="J28:K28"/>
    <mergeCell ref="L28:M28"/>
    <mergeCell ref="N28:O28"/>
    <mergeCell ref="P28:T28"/>
    <mergeCell ref="A27:E27"/>
    <mergeCell ref="F27:G27"/>
    <mergeCell ref="H27:I27"/>
    <mergeCell ref="J27:K27"/>
    <mergeCell ref="L27:M27"/>
    <mergeCell ref="N27:O27"/>
    <mergeCell ref="A34:E35"/>
    <mergeCell ref="F34:O34"/>
    <mergeCell ref="P34:T35"/>
    <mergeCell ref="F35:O35"/>
    <mergeCell ref="A36:E37"/>
    <mergeCell ref="F36:O36"/>
    <mergeCell ref="P36:T37"/>
    <mergeCell ref="F37:O37"/>
    <mergeCell ref="P29:T29"/>
    <mergeCell ref="A31:E31"/>
    <mergeCell ref="F31:O31"/>
    <mergeCell ref="P31:T31"/>
    <mergeCell ref="A32:E33"/>
    <mergeCell ref="F32:O32"/>
    <mergeCell ref="P32:T33"/>
    <mergeCell ref="F33:O33"/>
    <mergeCell ref="A29:E29"/>
    <mergeCell ref="F29:G29"/>
    <mergeCell ref="H29:I29"/>
    <mergeCell ref="J29:K29"/>
    <mergeCell ref="L29:M29"/>
    <mergeCell ref="N29:O29"/>
    <mergeCell ref="A43:E43"/>
    <mergeCell ref="F43:T43"/>
    <mergeCell ref="B45:F45"/>
    <mergeCell ref="H45:N45"/>
    <mergeCell ref="B46:F46"/>
    <mergeCell ref="H46:N46"/>
    <mergeCell ref="A38:E39"/>
    <mergeCell ref="F38:O38"/>
    <mergeCell ref="P38:T39"/>
    <mergeCell ref="F39:O39"/>
    <mergeCell ref="A40:E41"/>
    <mergeCell ref="F40:O40"/>
    <mergeCell ref="P40:T41"/>
    <mergeCell ref="F41:O41"/>
    <mergeCell ref="B55:D56"/>
    <mergeCell ref="F55:T55"/>
    <mergeCell ref="F56:T56"/>
    <mergeCell ref="B57:D58"/>
    <mergeCell ref="F57:T58"/>
    <mergeCell ref="B59:D60"/>
    <mergeCell ref="F59:T60"/>
    <mergeCell ref="B47:F47"/>
    <mergeCell ref="H47:N47"/>
    <mergeCell ref="A53:E53"/>
    <mergeCell ref="F53:T53"/>
    <mergeCell ref="B54:D54"/>
    <mergeCell ref="F54:T54"/>
    <mergeCell ref="C81:T81"/>
    <mergeCell ref="C76:T79"/>
    <mergeCell ref="B64:D65"/>
    <mergeCell ref="F64:T65"/>
    <mergeCell ref="B66:D67"/>
    <mergeCell ref="F66:T67"/>
    <mergeCell ref="B61:D62"/>
    <mergeCell ref="F61:T61"/>
    <mergeCell ref="F62:T62"/>
    <mergeCell ref="B63:D63"/>
    <mergeCell ref="F63:T63"/>
    <mergeCell ref="M95:T95"/>
    <mergeCell ref="F96:L96"/>
    <mergeCell ref="M96:T96"/>
    <mergeCell ref="F97:L97"/>
    <mergeCell ref="M97:T97"/>
    <mergeCell ref="A94:E94"/>
    <mergeCell ref="F94:T94"/>
    <mergeCell ref="C82:T83"/>
    <mergeCell ref="C84:T85"/>
    <mergeCell ref="C86:T87"/>
    <mergeCell ref="C88:T89"/>
    <mergeCell ref="C90:T90"/>
    <mergeCell ref="A92:E92"/>
    <mergeCell ref="F92:T92"/>
    <mergeCell ref="A100:A104"/>
    <mergeCell ref="B100:E104"/>
    <mergeCell ref="F100:J100"/>
    <mergeCell ref="K100:T100"/>
    <mergeCell ref="F101:J101"/>
    <mergeCell ref="K101:T101"/>
    <mergeCell ref="I102:J102"/>
    <mergeCell ref="K102:T102"/>
    <mergeCell ref="F102:H104"/>
    <mergeCell ref="A111:A113"/>
    <mergeCell ref="F111:J111"/>
    <mergeCell ref="K111:T111"/>
    <mergeCell ref="F112:J112"/>
    <mergeCell ref="K112:T112"/>
    <mergeCell ref="F113:J113"/>
    <mergeCell ref="K113:T113"/>
    <mergeCell ref="A136:T138"/>
    <mergeCell ref="A125:T128"/>
    <mergeCell ref="A129:T131"/>
    <mergeCell ref="B132:H132"/>
    <mergeCell ref="I132:T132"/>
    <mergeCell ref="B133:H133"/>
    <mergeCell ref="K119:T119"/>
    <mergeCell ref="K114:T114"/>
    <mergeCell ref="K115:T115"/>
    <mergeCell ref="K116:T116"/>
    <mergeCell ref="A117:A119"/>
    <mergeCell ref="F117:J117"/>
    <mergeCell ref="F118:J118"/>
    <mergeCell ref="F115:J115"/>
    <mergeCell ref="K118:T118"/>
    <mergeCell ref="F116:J116"/>
    <mergeCell ref="A114:A116"/>
    <mergeCell ref="G142:T142"/>
    <mergeCell ref="G143:K143"/>
    <mergeCell ref="N147:R147"/>
    <mergeCell ref="S147:T147"/>
    <mergeCell ref="B177:T177"/>
    <mergeCell ref="C178:T179"/>
    <mergeCell ref="C181:T182"/>
    <mergeCell ref="C183:T184"/>
    <mergeCell ref="C185:T186"/>
    <mergeCell ref="C170:T170"/>
    <mergeCell ref="C171:T171"/>
    <mergeCell ref="C172:T172"/>
    <mergeCell ref="C173:T173"/>
    <mergeCell ref="C174:T174"/>
    <mergeCell ref="G145:K145"/>
    <mergeCell ref="N145:R145"/>
    <mergeCell ref="S145:T145"/>
    <mergeCell ref="L147:M147"/>
    <mergeCell ref="C187:T188"/>
    <mergeCell ref="C189:T191"/>
    <mergeCell ref="C192:T193"/>
    <mergeCell ref="A178:B179"/>
    <mergeCell ref="A187:B188"/>
    <mergeCell ref="A189:B190"/>
    <mergeCell ref="A192:B193"/>
    <mergeCell ref="A151:T152"/>
    <mergeCell ref="C157:G157"/>
    <mergeCell ref="C158:T160"/>
    <mergeCell ref="C163:T165"/>
    <mergeCell ref="A242:T242"/>
    <mergeCell ref="E70:O70"/>
    <mergeCell ref="A120:A122"/>
    <mergeCell ref="A105:A107"/>
    <mergeCell ref="A141:F141"/>
    <mergeCell ref="G141:T141"/>
    <mergeCell ref="C221:T221"/>
    <mergeCell ref="C225:T225"/>
    <mergeCell ref="C234:T234"/>
    <mergeCell ref="G144:K144"/>
    <mergeCell ref="L144:M144"/>
    <mergeCell ref="N144:R144"/>
    <mergeCell ref="S144:T144"/>
    <mergeCell ref="L143:M143"/>
    <mergeCell ref="N143:R143"/>
    <mergeCell ref="S143:T143"/>
    <mergeCell ref="L146:M146"/>
    <mergeCell ref="N146:R146"/>
    <mergeCell ref="G148:T148"/>
    <mergeCell ref="G146:K146"/>
    <mergeCell ref="S146:T146"/>
    <mergeCell ref="G147:K147"/>
    <mergeCell ref="C197:T197"/>
    <mergeCell ref="I133:T133"/>
    <mergeCell ref="AA53:AN53"/>
    <mergeCell ref="AA54:AN54"/>
    <mergeCell ref="K121:T121"/>
    <mergeCell ref="F119:J119"/>
    <mergeCell ref="K122:T122"/>
    <mergeCell ref="B120:E122"/>
    <mergeCell ref="F120:J120"/>
    <mergeCell ref="F121:J121"/>
    <mergeCell ref="F122:J122"/>
    <mergeCell ref="K120:T120"/>
    <mergeCell ref="F105:J105"/>
    <mergeCell ref="K105:T105"/>
    <mergeCell ref="F106:J106"/>
    <mergeCell ref="K106:T106"/>
    <mergeCell ref="F107:J107"/>
    <mergeCell ref="K107:T107"/>
    <mergeCell ref="I103:J103"/>
    <mergeCell ref="K103:T103"/>
    <mergeCell ref="I104:J104"/>
    <mergeCell ref="K104:T104"/>
    <mergeCell ref="A93:E93"/>
    <mergeCell ref="F93:T93"/>
    <mergeCell ref="A95:E97"/>
    <mergeCell ref="F95:L95"/>
  </mergeCells>
  <phoneticPr fontId="17"/>
  <dataValidations count="1">
    <dataValidation imeMode="fullAlpha" allowBlank="1" showInputMessage="1" showErrorMessage="1" sqref="H46 K123:T123" xr:uid="{00000000-0002-0000-0300-000000000000}"/>
  </dataValidations>
  <printOptions horizontalCentered="1"/>
  <pageMargins left="0.70866141732283472" right="0.70866141732283472" top="0.74803149606299213" bottom="0.74803149606299213" header="0.31496062992125984" footer="0.31496062992125984"/>
  <pageSetup paperSize="9" scale="96" fitToHeight="0" orientation="portrait" r:id="rId1"/>
  <headerFooter scaleWithDoc="0">
    <oddFooter>&amp;L【通所介護_BMC】&amp;C&amp;P</oddFooter>
    <firstFooter>&amp;L【通所介護】BMC</firstFooter>
  </headerFooter>
  <rowBreaks count="3" manualBreakCount="3">
    <brk id="49" max="19" man="1"/>
    <brk id="97" max="19" man="1"/>
    <brk id="203"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W191"/>
  <sheetViews>
    <sheetView view="pageBreakPreview" topLeftCell="A145" zoomScale="129" zoomScaleNormal="180" zoomScaleSheetLayoutView="129" workbookViewId="0">
      <selection activeCell="J164" sqref="J164"/>
    </sheetView>
  </sheetViews>
  <sheetFormatPr defaultColWidth="9" defaultRowHeight="15" customHeight="1"/>
  <cols>
    <col min="1" max="1" width="4.625" style="299" customWidth="1"/>
    <col min="2" max="3" width="9.875" style="298" customWidth="1"/>
    <col min="4" max="8" width="13.625" style="299" customWidth="1"/>
    <col min="9" max="20" width="4.625" style="299" customWidth="1"/>
    <col min="21" max="16384" width="9" style="299"/>
  </cols>
  <sheetData>
    <row r="1" spans="1:9" s="306" customFormat="1" ht="15" customHeight="1">
      <c r="A1" s="322" t="s">
        <v>502</v>
      </c>
      <c r="B1" s="323"/>
      <c r="C1" s="324"/>
      <c r="D1" s="324"/>
      <c r="E1" s="324"/>
      <c r="F1" s="324"/>
      <c r="H1" s="325" t="s">
        <v>2029</v>
      </c>
      <c r="I1" s="307"/>
    </row>
    <row r="2" spans="1:9" s="306" customFormat="1" ht="15" customHeight="1">
      <c r="A2" s="326" t="s">
        <v>347</v>
      </c>
      <c r="B2" s="323"/>
      <c r="C2" s="324"/>
      <c r="D2" s="324"/>
      <c r="E2" s="324"/>
      <c r="F2" s="324"/>
      <c r="H2" s="325"/>
    </row>
    <row r="3" spans="1:9" s="306" customFormat="1" ht="15" customHeight="1">
      <c r="A3" s="327" t="s">
        <v>503</v>
      </c>
      <c r="B3" s="323"/>
      <c r="C3" s="324"/>
      <c r="D3" s="324"/>
      <c r="E3" s="324"/>
      <c r="F3" s="324"/>
      <c r="G3" s="328" t="s">
        <v>504</v>
      </c>
      <c r="H3" s="329">
        <f>【マスター】!F39</f>
        <v>10.14</v>
      </c>
    </row>
    <row r="4" spans="1:9" s="306" customFormat="1" ht="15" customHeight="1">
      <c r="A4" s="327" t="s">
        <v>505</v>
      </c>
      <c r="B4" s="323"/>
      <c r="C4" s="324"/>
      <c r="D4" s="324"/>
      <c r="E4" s="324"/>
      <c r="F4" s="324"/>
      <c r="H4" s="324"/>
    </row>
    <row r="5" spans="1:9" s="306" customFormat="1" ht="15" customHeight="1">
      <c r="A5" s="1460" t="s">
        <v>506</v>
      </c>
      <c r="B5" s="1460"/>
      <c r="C5" s="1460"/>
      <c r="D5" s="1460" t="s">
        <v>507</v>
      </c>
      <c r="E5" s="1460" t="s">
        <v>508</v>
      </c>
      <c r="F5" s="1476" t="s">
        <v>2055</v>
      </c>
      <c r="G5" s="1477"/>
      <c r="H5" s="1478"/>
    </row>
    <row r="6" spans="1:9" s="306" customFormat="1" ht="15" customHeight="1">
      <c r="A6" s="1460"/>
      <c r="B6" s="1460"/>
      <c r="C6" s="1460"/>
      <c r="D6" s="1460"/>
      <c r="E6" s="1460"/>
      <c r="F6" s="303" t="s">
        <v>509</v>
      </c>
      <c r="G6" s="304" t="s">
        <v>510</v>
      </c>
      <c r="H6" s="305" t="s">
        <v>511</v>
      </c>
    </row>
    <row r="7" spans="1:9" s="306" customFormat="1" ht="15" customHeight="1">
      <c r="A7" s="1479" t="s">
        <v>512</v>
      </c>
      <c r="B7" s="1479"/>
      <c r="C7" s="1479"/>
      <c r="D7" s="554" t="str">
        <f>ASC(【マスター】!Q5&amp;"単位")</f>
        <v>370単位</v>
      </c>
      <c r="E7" s="308" t="str">
        <f>ASC(【マスター】!R5)</f>
        <v>3,751</v>
      </c>
      <c r="F7" s="330">
        <f>E7-(ROUNDDOWN(E7*0.9,0))</f>
        <v>376</v>
      </c>
      <c r="G7" s="331">
        <f>E7-(ROUNDDOWN(E7*0.8,0))</f>
        <v>751</v>
      </c>
      <c r="H7" s="332">
        <f>E7-(ROUNDDOWN(E7*0.7,0))</f>
        <v>1126</v>
      </c>
      <c r="I7" s="307"/>
    </row>
    <row r="8" spans="1:9" s="306" customFormat="1" ht="15" customHeight="1">
      <c r="A8" s="1480" t="s">
        <v>513</v>
      </c>
      <c r="B8" s="1480"/>
      <c r="C8" s="1480"/>
      <c r="D8" s="555" t="str">
        <f>ASC(【マスター】!Q6&amp;"単位")</f>
        <v>423単位</v>
      </c>
      <c r="E8" s="309" t="str">
        <f>ASC(【マスター】!R6)</f>
        <v>4,289</v>
      </c>
      <c r="F8" s="333">
        <f t="shared" ref="F8:F11" si="0">E8-(ROUNDDOWN(E8*0.9,0))</f>
        <v>429</v>
      </c>
      <c r="G8" s="331">
        <f t="shared" ref="G8:G11" si="1">E8-(ROUNDDOWN(E8*0.8,0))</f>
        <v>858</v>
      </c>
      <c r="H8" s="332">
        <f t="shared" ref="H8:H11" si="2">E8-(ROUNDDOWN(E8*0.7,0))</f>
        <v>1287</v>
      </c>
      <c r="I8" s="307"/>
    </row>
    <row r="9" spans="1:9" s="306" customFormat="1" ht="15" customHeight="1">
      <c r="A9" s="1480" t="s">
        <v>514</v>
      </c>
      <c r="B9" s="1480"/>
      <c r="C9" s="1480"/>
      <c r="D9" s="555" t="str">
        <f>ASC(【マスター】!Q7&amp;"単位")</f>
        <v>479単位</v>
      </c>
      <c r="E9" s="309" t="str">
        <f>ASC(【マスター】!R7)</f>
        <v>4,857</v>
      </c>
      <c r="F9" s="333">
        <f t="shared" si="0"/>
        <v>486</v>
      </c>
      <c r="G9" s="331">
        <f t="shared" si="1"/>
        <v>972</v>
      </c>
      <c r="H9" s="332">
        <f t="shared" si="2"/>
        <v>1458</v>
      </c>
    </row>
    <row r="10" spans="1:9" s="306" customFormat="1" ht="15" customHeight="1">
      <c r="A10" s="1480" t="s">
        <v>515</v>
      </c>
      <c r="B10" s="1480"/>
      <c r="C10" s="1480"/>
      <c r="D10" s="555" t="str">
        <f>ASC(【マスター】!Q8&amp;"単位")</f>
        <v>533単位</v>
      </c>
      <c r="E10" s="309" t="str">
        <f>ASC(【マスター】!R8)</f>
        <v>5,404</v>
      </c>
      <c r="F10" s="333">
        <f t="shared" si="0"/>
        <v>541</v>
      </c>
      <c r="G10" s="331">
        <f t="shared" si="1"/>
        <v>1081</v>
      </c>
      <c r="H10" s="332">
        <f t="shared" si="2"/>
        <v>1622</v>
      </c>
    </row>
    <row r="11" spans="1:9" s="306" customFormat="1" ht="15" customHeight="1">
      <c r="A11" s="1481" t="s">
        <v>516</v>
      </c>
      <c r="B11" s="1481"/>
      <c r="C11" s="1481"/>
      <c r="D11" s="556" t="str">
        <f>ASC(【マスター】!Q9&amp;"単位")</f>
        <v>588単位</v>
      </c>
      <c r="E11" s="334" t="str">
        <f>ASC(【マスター】!R9)</f>
        <v>5,962</v>
      </c>
      <c r="F11" s="335">
        <f t="shared" si="0"/>
        <v>597</v>
      </c>
      <c r="G11" s="331">
        <f t="shared" si="1"/>
        <v>1193</v>
      </c>
      <c r="H11" s="332">
        <f t="shared" si="2"/>
        <v>1789</v>
      </c>
    </row>
    <row r="12" spans="1:9" s="306" customFormat="1" ht="15" customHeight="1">
      <c r="A12" s="1460" t="s">
        <v>517</v>
      </c>
      <c r="B12" s="1460"/>
      <c r="C12" s="1460"/>
      <c r="D12" s="1460" t="s">
        <v>507</v>
      </c>
      <c r="E12" s="1460" t="s">
        <v>508</v>
      </c>
      <c r="F12" s="1476" t="s">
        <v>2056</v>
      </c>
      <c r="G12" s="1477"/>
      <c r="H12" s="1478"/>
    </row>
    <row r="13" spans="1:9" s="306" customFormat="1" ht="15" customHeight="1">
      <c r="A13" s="1460"/>
      <c r="B13" s="1460"/>
      <c r="C13" s="1460"/>
      <c r="D13" s="1460"/>
      <c r="E13" s="1460"/>
      <c r="F13" s="303" t="s">
        <v>509</v>
      </c>
      <c r="G13" s="304" t="s">
        <v>510</v>
      </c>
      <c r="H13" s="305" t="s">
        <v>511</v>
      </c>
    </row>
    <row r="14" spans="1:9" s="306" customFormat="1" ht="15" customHeight="1">
      <c r="A14" s="1479" t="s">
        <v>512</v>
      </c>
      <c r="B14" s="1479"/>
      <c r="C14" s="1479"/>
      <c r="D14" s="554" t="str">
        <f>ASC(【マスター】!Q10&amp;"単位")</f>
        <v>388単位</v>
      </c>
      <c r="E14" s="308" t="str">
        <f>ASC(【マスター】!R10)</f>
        <v>3,934</v>
      </c>
      <c r="F14" s="330">
        <f>E14-(ROUNDDOWN(E14*0.9,0))</f>
        <v>394</v>
      </c>
      <c r="G14" s="331">
        <f>E14-(ROUNDDOWN(E14*0.8,0))</f>
        <v>787</v>
      </c>
      <c r="H14" s="332">
        <f>E14-(ROUNDDOWN(E14*0.7,0))</f>
        <v>1181</v>
      </c>
    </row>
    <row r="15" spans="1:9" s="306" customFormat="1" ht="15" customHeight="1">
      <c r="A15" s="1480" t="s">
        <v>513</v>
      </c>
      <c r="B15" s="1480"/>
      <c r="C15" s="1480"/>
      <c r="D15" s="555" t="str">
        <f>ASC(【マスター】!Q11&amp;"単位")</f>
        <v>444単位</v>
      </c>
      <c r="E15" s="309" t="str">
        <f>ASC(【マスター】!R11)</f>
        <v>4,502</v>
      </c>
      <c r="F15" s="333">
        <f t="shared" ref="F15:F18" si="3">E15-(ROUNDDOWN(E15*0.9,0))</f>
        <v>451</v>
      </c>
      <c r="G15" s="331">
        <f t="shared" ref="G15:G18" si="4">E15-(ROUNDDOWN(E15*0.8,0))</f>
        <v>901</v>
      </c>
      <c r="H15" s="332">
        <f t="shared" ref="H15:H18" si="5">E15-(ROUNDDOWN(E15*0.7,0))</f>
        <v>1351</v>
      </c>
    </row>
    <row r="16" spans="1:9" s="306" customFormat="1" ht="15" customHeight="1">
      <c r="A16" s="1480" t="s">
        <v>514</v>
      </c>
      <c r="B16" s="1480"/>
      <c r="C16" s="1480"/>
      <c r="D16" s="555" t="str">
        <f>ASC(【マスター】!Q12&amp;"単位")</f>
        <v>502単位</v>
      </c>
      <c r="E16" s="309" t="str">
        <f>ASC(【マスター】!R12)</f>
        <v>5,090</v>
      </c>
      <c r="F16" s="333">
        <f t="shared" si="3"/>
        <v>509</v>
      </c>
      <c r="G16" s="331">
        <f t="shared" si="4"/>
        <v>1018</v>
      </c>
      <c r="H16" s="332">
        <f t="shared" si="5"/>
        <v>1527</v>
      </c>
    </row>
    <row r="17" spans="1:8" s="306" customFormat="1" ht="15" customHeight="1">
      <c r="A17" s="1480" t="s">
        <v>515</v>
      </c>
      <c r="B17" s="1480"/>
      <c r="C17" s="1480"/>
      <c r="D17" s="555" t="str">
        <f>ASC(【マスター】!Q13&amp;"単位")</f>
        <v>560単位</v>
      </c>
      <c r="E17" s="309" t="str">
        <f>ASC(【マスター】!R13)</f>
        <v>5,678</v>
      </c>
      <c r="F17" s="333">
        <f t="shared" si="3"/>
        <v>568</v>
      </c>
      <c r="G17" s="331">
        <f t="shared" si="4"/>
        <v>1136</v>
      </c>
      <c r="H17" s="332">
        <f t="shared" si="5"/>
        <v>1704</v>
      </c>
    </row>
    <row r="18" spans="1:8" s="306" customFormat="1" ht="15" customHeight="1">
      <c r="A18" s="1481" t="s">
        <v>516</v>
      </c>
      <c r="B18" s="1481"/>
      <c r="C18" s="1481"/>
      <c r="D18" s="556" t="str">
        <f>ASC(【マスター】!Q14&amp;"単位")</f>
        <v>617単位</v>
      </c>
      <c r="E18" s="334" t="str">
        <f>ASC(【マスター】!R14)</f>
        <v>6,256</v>
      </c>
      <c r="F18" s="335">
        <f t="shared" si="3"/>
        <v>626</v>
      </c>
      <c r="G18" s="331">
        <f t="shared" si="4"/>
        <v>1252</v>
      </c>
      <c r="H18" s="332">
        <f t="shared" si="5"/>
        <v>1877</v>
      </c>
    </row>
    <row r="19" spans="1:8" s="306" customFormat="1" ht="15" customHeight="1">
      <c r="A19" s="1460" t="s">
        <v>518</v>
      </c>
      <c r="B19" s="1460"/>
      <c r="C19" s="1460"/>
      <c r="D19" s="1460" t="s">
        <v>507</v>
      </c>
      <c r="E19" s="1460" t="s">
        <v>508</v>
      </c>
      <c r="F19" s="1476" t="s">
        <v>2056</v>
      </c>
      <c r="G19" s="1477"/>
      <c r="H19" s="1478"/>
    </row>
    <row r="20" spans="1:8" s="306" customFormat="1" ht="15" customHeight="1">
      <c r="A20" s="1460"/>
      <c r="B20" s="1460"/>
      <c r="C20" s="1460"/>
      <c r="D20" s="1460"/>
      <c r="E20" s="1460"/>
      <c r="F20" s="303" t="s">
        <v>509</v>
      </c>
      <c r="G20" s="304" t="s">
        <v>510</v>
      </c>
      <c r="H20" s="305" t="s">
        <v>511</v>
      </c>
    </row>
    <row r="21" spans="1:8" s="306" customFormat="1" ht="15" customHeight="1">
      <c r="A21" s="1479" t="s">
        <v>512</v>
      </c>
      <c r="B21" s="1479"/>
      <c r="C21" s="1479"/>
      <c r="D21" s="554" t="str">
        <f>ASC(【マスター】!Q15&amp;"単位")</f>
        <v>570単位</v>
      </c>
      <c r="E21" s="308" t="str">
        <f>ASC(【マスター】!R15)</f>
        <v>5,779</v>
      </c>
      <c r="F21" s="330">
        <f>E21-(ROUNDDOWN(E21*0.9,0))</f>
        <v>578</v>
      </c>
      <c r="G21" s="331">
        <f>E21-(ROUNDDOWN(E21*0.8,0))</f>
        <v>1156</v>
      </c>
      <c r="H21" s="332">
        <f>E21-(ROUNDDOWN(E21*0.7,0))</f>
        <v>1734</v>
      </c>
    </row>
    <row r="22" spans="1:8" s="306" customFormat="1" ht="15" customHeight="1">
      <c r="A22" s="1480" t="s">
        <v>513</v>
      </c>
      <c r="B22" s="1480"/>
      <c r="C22" s="1480"/>
      <c r="D22" s="555" t="str">
        <f>ASC(【マスター】!Q16&amp;"単位")</f>
        <v>673単位</v>
      </c>
      <c r="E22" s="309" t="str">
        <f>ASC(【マスター】!R16)</f>
        <v>6,824</v>
      </c>
      <c r="F22" s="333">
        <f t="shared" ref="F22:F25" si="6">E22-(ROUNDDOWN(E22*0.9,0))</f>
        <v>683</v>
      </c>
      <c r="G22" s="331">
        <f t="shared" ref="G22:G25" si="7">E22-(ROUNDDOWN(E22*0.8,0))</f>
        <v>1365</v>
      </c>
      <c r="H22" s="332">
        <f t="shared" ref="H22:H25" si="8">E22-(ROUNDDOWN(E22*0.7,0))</f>
        <v>2048</v>
      </c>
    </row>
    <row r="23" spans="1:8" s="306" customFormat="1" ht="15" customHeight="1">
      <c r="A23" s="1480" t="s">
        <v>514</v>
      </c>
      <c r="B23" s="1480"/>
      <c r="C23" s="1480"/>
      <c r="D23" s="555" t="str">
        <f>ASC(【マスター】!Q17&amp;"単位")</f>
        <v>777単位</v>
      </c>
      <c r="E23" s="309" t="str">
        <f>ASC(【マスター】!R17)</f>
        <v>7,878</v>
      </c>
      <c r="F23" s="333">
        <f t="shared" si="6"/>
        <v>788</v>
      </c>
      <c r="G23" s="331">
        <f t="shared" si="7"/>
        <v>1576</v>
      </c>
      <c r="H23" s="332">
        <f t="shared" si="8"/>
        <v>2364</v>
      </c>
    </row>
    <row r="24" spans="1:8" s="306" customFormat="1" ht="15" customHeight="1">
      <c r="A24" s="1480" t="s">
        <v>515</v>
      </c>
      <c r="B24" s="1480"/>
      <c r="C24" s="1480"/>
      <c r="D24" s="555" t="str">
        <f>ASC(【マスター】!Q18&amp;"単位")</f>
        <v>880単位</v>
      </c>
      <c r="E24" s="309" t="str">
        <f>ASC(【マスター】!R18)</f>
        <v>8,923</v>
      </c>
      <c r="F24" s="333">
        <f t="shared" si="6"/>
        <v>893</v>
      </c>
      <c r="G24" s="331">
        <f t="shared" si="7"/>
        <v>1785</v>
      </c>
      <c r="H24" s="332">
        <f t="shared" si="8"/>
        <v>2677</v>
      </c>
    </row>
    <row r="25" spans="1:8" s="306" customFormat="1" ht="15" customHeight="1">
      <c r="A25" s="1481" t="s">
        <v>516</v>
      </c>
      <c r="B25" s="1481"/>
      <c r="C25" s="1481"/>
      <c r="D25" s="556" t="str">
        <f>ASC(【マスター】!Q19&amp;"単位")</f>
        <v>984単位</v>
      </c>
      <c r="E25" s="334" t="str">
        <f>ASC(【マスター】!R19)</f>
        <v>9,977</v>
      </c>
      <c r="F25" s="335">
        <f t="shared" si="6"/>
        <v>998</v>
      </c>
      <c r="G25" s="331">
        <f t="shared" si="7"/>
        <v>1996</v>
      </c>
      <c r="H25" s="332">
        <f t="shared" si="8"/>
        <v>2994</v>
      </c>
    </row>
    <row r="26" spans="1:8" s="306" customFormat="1" ht="15" customHeight="1">
      <c r="A26" s="1460" t="s">
        <v>519</v>
      </c>
      <c r="B26" s="1460"/>
      <c r="C26" s="1460"/>
      <c r="D26" s="1460" t="s">
        <v>507</v>
      </c>
      <c r="E26" s="1460" t="s">
        <v>508</v>
      </c>
      <c r="F26" s="1476" t="s">
        <v>2056</v>
      </c>
      <c r="G26" s="1477"/>
      <c r="H26" s="1478"/>
    </row>
    <row r="27" spans="1:8" s="306" customFormat="1" ht="15" customHeight="1">
      <c r="A27" s="1460"/>
      <c r="B27" s="1460"/>
      <c r="C27" s="1460"/>
      <c r="D27" s="1460"/>
      <c r="E27" s="1460"/>
      <c r="F27" s="303" t="s">
        <v>509</v>
      </c>
      <c r="G27" s="304" t="s">
        <v>510</v>
      </c>
      <c r="H27" s="305" t="s">
        <v>511</v>
      </c>
    </row>
    <row r="28" spans="1:8" s="306" customFormat="1" ht="15" customHeight="1">
      <c r="A28" s="1479" t="s">
        <v>512</v>
      </c>
      <c r="B28" s="1479"/>
      <c r="C28" s="1479"/>
      <c r="D28" s="554" t="str">
        <f>ASC(【マスター】!Q20&amp;"単位")</f>
        <v>584単位</v>
      </c>
      <c r="E28" s="308" t="str">
        <f>ASC(【マスター】!R20)</f>
        <v>5,921</v>
      </c>
      <c r="F28" s="330">
        <f>E28-(ROUNDDOWN(E28*0.9,0))</f>
        <v>593</v>
      </c>
      <c r="G28" s="331">
        <f>E28-(ROUNDDOWN(E28*0.8,0))</f>
        <v>1185</v>
      </c>
      <c r="H28" s="332">
        <f>E28-(ROUNDDOWN(E28*0.7,0))</f>
        <v>1777</v>
      </c>
    </row>
    <row r="29" spans="1:8" s="306" customFormat="1" ht="15" customHeight="1">
      <c r="A29" s="1480" t="s">
        <v>513</v>
      </c>
      <c r="B29" s="1480"/>
      <c r="C29" s="1480"/>
      <c r="D29" s="555" t="str">
        <f>ASC(【マスター】!Q21&amp;"単位")</f>
        <v>689単位</v>
      </c>
      <c r="E29" s="309" t="str">
        <f>ASC(【マスター】!R21)</f>
        <v>6,986</v>
      </c>
      <c r="F29" s="333">
        <f t="shared" ref="F29:F32" si="9">E29-(ROUNDDOWN(E29*0.9,0))</f>
        <v>699</v>
      </c>
      <c r="G29" s="331">
        <f t="shared" ref="G29:G32" si="10">E29-(ROUNDDOWN(E29*0.8,0))</f>
        <v>1398</v>
      </c>
      <c r="H29" s="332">
        <f t="shared" ref="H29:H32" si="11">E29-(ROUNDDOWN(E29*0.7,0))</f>
        <v>2096</v>
      </c>
    </row>
    <row r="30" spans="1:8" s="306" customFormat="1" ht="15" customHeight="1">
      <c r="A30" s="1480" t="s">
        <v>514</v>
      </c>
      <c r="B30" s="1480"/>
      <c r="C30" s="1480"/>
      <c r="D30" s="555" t="str">
        <f>ASC(【マスター】!Q22&amp;"単位")</f>
        <v>796単位</v>
      </c>
      <c r="E30" s="309" t="str">
        <f>ASC(【マスター】!R22)</f>
        <v>8,071</v>
      </c>
      <c r="F30" s="333">
        <f t="shared" si="9"/>
        <v>808</v>
      </c>
      <c r="G30" s="331">
        <f t="shared" si="10"/>
        <v>1615</v>
      </c>
      <c r="H30" s="332">
        <f t="shared" si="11"/>
        <v>2422</v>
      </c>
    </row>
    <row r="31" spans="1:8" s="306" customFormat="1" ht="15" customHeight="1">
      <c r="A31" s="1480" t="s">
        <v>515</v>
      </c>
      <c r="B31" s="1480"/>
      <c r="C31" s="1480"/>
      <c r="D31" s="555" t="str">
        <f>ASC(【マスター】!Q23&amp;"単位")</f>
        <v>901単位</v>
      </c>
      <c r="E31" s="309" t="str">
        <f>ASC(【マスター】!R23)</f>
        <v>9,136</v>
      </c>
      <c r="F31" s="333">
        <f t="shared" si="9"/>
        <v>914</v>
      </c>
      <c r="G31" s="331">
        <f t="shared" si="10"/>
        <v>1828</v>
      </c>
      <c r="H31" s="332">
        <f t="shared" si="11"/>
        <v>2741</v>
      </c>
    </row>
    <row r="32" spans="1:8" s="306" customFormat="1" ht="15" customHeight="1">
      <c r="A32" s="1481" t="s">
        <v>516</v>
      </c>
      <c r="B32" s="1481"/>
      <c r="C32" s="1481"/>
      <c r="D32" s="556" t="str">
        <f>ASC(【マスター】!Q24&amp;"単位")</f>
        <v>1,008単位</v>
      </c>
      <c r="E32" s="334" t="str">
        <f>ASC(【マスター】!R24)</f>
        <v>10,221</v>
      </c>
      <c r="F32" s="335">
        <f t="shared" si="9"/>
        <v>1023</v>
      </c>
      <c r="G32" s="331">
        <f t="shared" si="10"/>
        <v>2045</v>
      </c>
      <c r="H32" s="332">
        <f t="shared" si="11"/>
        <v>3067</v>
      </c>
    </row>
    <row r="33" spans="1:8" s="306" customFormat="1" ht="15" customHeight="1">
      <c r="A33" s="1460" t="s">
        <v>520</v>
      </c>
      <c r="B33" s="1460"/>
      <c r="C33" s="1460"/>
      <c r="D33" s="1460" t="s">
        <v>507</v>
      </c>
      <c r="E33" s="1460" t="s">
        <v>508</v>
      </c>
      <c r="F33" s="1476" t="s">
        <v>2056</v>
      </c>
      <c r="G33" s="1477"/>
      <c r="H33" s="1478"/>
    </row>
    <row r="34" spans="1:8" s="306" customFormat="1" ht="15" customHeight="1">
      <c r="A34" s="1460"/>
      <c r="B34" s="1460"/>
      <c r="C34" s="1460"/>
      <c r="D34" s="1460"/>
      <c r="E34" s="1460"/>
      <c r="F34" s="303" t="s">
        <v>509</v>
      </c>
      <c r="G34" s="304" t="s">
        <v>510</v>
      </c>
      <c r="H34" s="305" t="s">
        <v>511</v>
      </c>
    </row>
    <row r="35" spans="1:8" s="306" customFormat="1" ht="15" customHeight="1">
      <c r="A35" s="1479" t="s">
        <v>512</v>
      </c>
      <c r="B35" s="1479"/>
      <c r="C35" s="1479"/>
      <c r="D35" s="554" t="str">
        <f>ASC(【マスター】!Q25&amp;"単位")</f>
        <v>658単位</v>
      </c>
      <c r="E35" s="308" t="str">
        <f>ASC(【マスター】!R25)</f>
        <v>6,672</v>
      </c>
      <c r="F35" s="330">
        <f>E35-(ROUNDDOWN(E35*0.9,0))</f>
        <v>668</v>
      </c>
      <c r="G35" s="331">
        <f>E35-(ROUNDDOWN(E35*0.8,0))</f>
        <v>1335</v>
      </c>
      <c r="H35" s="332">
        <f>E35-(ROUNDDOWN(E35*0.7,0))</f>
        <v>2002</v>
      </c>
    </row>
    <row r="36" spans="1:8" s="306" customFormat="1" ht="15" customHeight="1">
      <c r="A36" s="1480" t="s">
        <v>513</v>
      </c>
      <c r="B36" s="1480"/>
      <c r="C36" s="1480"/>
      <c r="D36" s="555" t="str">
        <f>ASC(【マスター】!Q26&amp;"単位")</f>
        <v>777単位</v>
      </c>
      <c r="E36" s="309" t="str">
        <f>ASC(【マスター】!R26)</f>
        <v>7,878</v>
      </c>
      <c r="F36" s="333">
        <f t="shared" ref="F36:F39" si="12">E36-(ROUNDDOWN(E36*0.9,0))</f>
        <v>788</v>
      </c>
      <c r="G36" s="331">
        <f t="shared" ref="G36:G39" si="13">E36-(ROUNDDOWN(E36*0.8,0))</f>
        <v>1576</v>
      </c>
      <c r="H36" s="332">
        <f t="shared" ref="H36:H39" si="14">E36-(ROUNDDOWN(E36*0.7,0))</f>
        <v>2364</v>
      </c>
    </row>
    <row r="37" spans="1:8" s="306" customFormat="1" ht="15" customHeight="1">
      <c r="A37" s="1480" t="s">
        <v>514</v>
      </c>
      <c r="B37" s="1480"/>
      <c r="C37" s="1480"/>
      <c r="D37" s="555" t="str">
        <f>ASC(【マスター】!Q27&amp;"単位")</f>
        <v>900単位</v>
      </c>
      <c r="E37" s="309" t="str">
        <f>ASC(【マスター】!R27)</f>
        <v>9,126</v>
      </c>
      <c r="F37" s="333">
        <f t="shared" si="12"/>
        <v>913</v>
      </c>
      <c r="G37" s="331">
        <f t="shared" si="13"/>
        <v>1826</v>
      </c>
      <c r="H37" s="332">
        <f t="shared" si="14"/>
        <v>2738</v>
      </c>
    </row>
    <row r="38" spans="1:8" s="306" customFormat="1" ht="15" customHeight="1">
      <c r="A38" s="1480" t="s">
        <v>515</v>
      </c>
      <c r="B38" s="1480"/>
      <c r="C38" s="1480"/>
      <c r="D38" s="555" t="str">
        <f>ASC(【マスター】!Q28&amp;"単位")</f>
        <v>1,023単位</v>
      </c>
      <c r="E38" s="309" t="str">
        <f>ASC(【マスター】!R28)</f>
        <v>10,373</v>
      </c>
      <c r="F38" s="333">
        <f t="shared" si="12"/>
        <v>1038</v>
      </c>
      <c r="G38" s="331">
        <f t="shared" si="13"/>
        <v>2075</v>
      </c>
      <c r="H38" s="332">
        <f t="shared" si="14"/>
        <v>3112</v>
      </c>
    </row>
    <row r="39" spans="1:8" s="306" customFormat="1" ht="15" customHeight="1">
      <c r="A39" s="1481" t="s">
        <v>516</v>
      </c>
      <c r="B39" s="1481"/>
      <c r="C39" s="1481"/>
      <c r="D39" s="556" t="str">
        <f>ASC(【マスター】!Q29&amp;"単位")</f>
        <v>1,148単位</v>
      </c>
      <c r="E39" s="334" t="str">
        <f>ASC(【マスター】!R29)</f>
        <v>11,640</v>
      </c>
      <c r="F39" s="335">
        <f t="shared" si="12"/>
        <v>1164</v>
      </c>
      <c r="G39" s="331">
        <f t="shared" si="13"/>
        <v>2328</v>
      </c>
      <c r="H39" s="332">
        <f t="shared" si="14"/>
        <v>3492</v>
      </c>
    </row>
    <row r="40" spans="1:8" s="306" customFormat="1" ht="15" customHeight="1">
      <c r="A40" s="1460" t="s">
        <v>521</v>
      </c>
      <c r="B40" s="1460"/>
      <c r="C40" s="1460"/>
      <c r="D40" s="1460" t="s">
        <v>507</v>
      </c>
      <c r="E40" s="1460" t="s">
        <v>508</v>
      </c>
      <c r="F40" s="1476" t="s">
        <v>2056</v>
      </c>
      <c r="G40" s="1477"/>
      <c r="H40" s="1478"/>
    </row>
    <row r="41" spans="1:8" s="306" customFormat="1" ht="15" customHeight="1">
      <c r="A41" s="1460"/>
      <c r="B41" s="1460"/>
      <c r="C41" s="1460"/>
      <c r="D41" s="1460"/>
      <c r="E41" s="1460"/>
      <c r="F41" s="303" t="s">
        <v>509</v>
      </c>
      <c r="G41" s="304" t="s">
        <v>510</v>
      </c>
      <c r="H41" s="305" t="s">
        <v>511</v>
      </c>
    </row>
    <row r="42" spans="1:8" s="306" customFormat="1" ht="15" customHeight="1">
      <c r="A42" s="1479" t="s">
        <v>512</v>
      </c>
      <c r="B42" s="1479"/>
      <c r="C42" s="1479"/>
      <c r="D42" s="554" t="str">
        <f>ASC(【マスター】!Q30&amp;"単位")</f>
        <v>669単位</v>
      </c>
      <c r="E42" s="308" t="str">
        <f>ASC(【マスター】!R30)</f>
        <v>6,783</v>
      </c>
      <c r="F42" s="330">
        <f>E42-(ROUNDDOWN(E42*0.9,0))</f>
        <v>679</v>
      </c>
      <c r="G42" s="331">
        <f>E42-(ROUNDDOWN(E42*0.8,0))</f>
        <v>1357</v>
      </c>
      <c r="H42" s="332">
        <f>E42-(ROUNDDOWN(E42*0.7,0))</f>
        <v>2035</v>
      </c>
    </row>
    <row r="43" spans="1:8" s="306" customFormat="1" ht="15" customHeight="1">
      <c r="A43" s="1480" t="s">
        <v>513</v>
      </c>
      <c r="B43" s="1480"/>
      <c r="C43" s="1480"/>
      <c r="D43" s="555" t="str">
        <f>ASC(【マスター】!Q31&amp;"単位")</f>
        <v>791単位</v>
      </c>
      <c r="E43" s="309" t="str">
        <f>ASC(【マスター】!R31)</f>
        <v>8,020</v>
      </c>
      <c r="F43" s="333">
        <f t="shared" ref="F43:F46" si="15">E43-(ROUNDDOWN(E43*0.9,0))</f>
        <v>802</v>
      </c>
      <c r="G43" s="331">
        <f t="shared" ref="G43:G46" si="16">E43-(ROUNDDOWN(E43*0.8,0))</f>
        <v>1604</v>
      </c>
      <c r="H43" s="332">
        <f t="shared" ref="H43:H46" si="17">E43-(ROUNDDOWN(E43*0.7,0))</f>
        <v>2406</v>
      </c>
    </row>
    <row r="44" spans="1:8" s="306" customFormat="1" ht="15" customHeight="1">
      <c r="A44" s="1480" t="s">
        <v>514</v>
      </c>
      <c r="B44" s="1480"/>
      <c r="C44" s="1480"/>
      <c r="D44" s="555" t="str">
        <f>ASC(【マスター】!Q32&amp;"単位")</f>
        <v>915単位</v>
      </c>
      <c r="E44" s="309" t="str">
        <f>ASC(【マスター】!R32)</f>
        <v>9,278</v>
      </c>
      <c r="F44" s="333">
        <f t="shared" si="15"/>
        <v>928</v>
      </c>
      <c r="G44" s="331">
        <f t="shared" si="16"/>
        <v>1856</v>
      </c>
      <c r="H44" s="332">
        <f t="shared" si="17"/>
        <v>2784</v>
      </c>
    </row>
    <row r="45" spans="1:8" s="306" customFormat="1" ht="15" customHeight="1">
      <c r="A45" s="1480" t="s">
        <v>515</v>
      </c>
      <c r="B45" s="1480"/>
      <c r="C45" s="1480"/>
      <c r="D45" s="555" t="str">
        <f>ASC(【マスター】!Q33&amp;"単位")</f>
        <v>1,041単位</v>
      </c>
      <c r="E45" s="309" t="str">
        <f>ASC(【マスター】!R33)</f>
        <v>10,555</v>
      </c>
      <c r="F45" s="333">
        <f t="shared" si="15"/>
        <v>1056</v>
      </c>
      <c r="G45" s="331">
        <f t="shared" si="16"/>
        <v>2111</v>
      </c>
      <c r="H45" s="332">
        <f t="shared" si="17"/>
        <v>3167</v>
      </c>
    </row>
    <row r="46" spans="1:8" s="306" customFormat="1" ht="15" customHeight="1">
      <c r="A46" s="1481" t="s">
        <v>516</v>
      </c>
      <c r="B46" s="1481"/>
      <c r="C46" s="1481"/>
      <c r="D46" s="556" t="str">
        <f>ASC(【マスター】!Q34&amp;"単位")</f>
        <v>1,168単位</v>
      </c>
      <c r="E46" s="334" t="str">
        <f>ASC(【マスター】!R34)</f>
        <v>11,843</v>
      </c>
      <c r="F46" s="335">
        <f t="shared" si="15"/>
        <v>1185</v>
      </c>
      <c r="G46" s="336">
        <f t="shared" si="16"/>
        <v>2369</v>
      </c>
      <c r="H46" s="337">
        <f t="shared" si="17"/>
        <v>3553</v>
      </c>
    </row>
    <row r="47" spans="1:8" s="306" customFormat="1" ht="15" customHeight="1">
      <c r="A47" s="607"/>
      <c r="B47" s="607"/>
      <c r="C47" s="607"/>
      <c r="D47" s="607"/>
      <c r="E47" s="776"/>
      <c r="F47" s="777"/>
      <c r="G47" s="778"/>
      <c r="H47" s="778"/>
    </row>
    <row r="48" spans="1:8" s="306" customFormat="1" ht="15" customHeight="1">
      <c r="A48" s="1471" t="s">
        <v>522</v>
      </c>
      <c r="B48" s="1471"/>
      <c r="C48" s="775"/>
      <c r="D48" s="775"/>
      <c r="E48" s="775"/>
      <c r="F48" s="775"/>
      <c r="G48" s="775"/>
      <c r="H48" s="775"/>
    </row>
    <row r="49" spans="1:9" s="306" customFormat="1" ht="15" customHeight="1">
      <c r="A49" s="1460" t="s">
        <v>170</v>
      </c>
      <c r="B49" s="1460"/>
      <c r="C49" s="1460"/>
      <c r="D49" s="1460" t="s">
        <v>507</v>
      </c>
      <c r="E49" s="1460" t="s">
        <v>508</v>
      </c>
      <c r="F49" s="1476" t="s">
        <v>2056</v>
      </c>
      <c r="G49" s="1477"/>
      <c r="H49" s="1478"/>
    </row>
    <row r="50" spans="1:9" s="306" customFormat="1" ht="15" customHeight="1">
      <c r="A50" s="1460"/>
      <c r="B50" s="1460"/>
      <c r="C50" s="1460"/>
      <c r="D50" s="1460"/>
      <c r="E50" s="1460"/>
      <c r="F50" s="303" t="s">
        <v>509</v>
      </c>
      <c r="G50" s="304" t="s">
        <v>510</v>
      </c>
      <c r="H50" s="305" t="s">
        <v>511</v>
      </c>
    </row>
    <row r="51" spans="1:9" s="306" customFormat="1" ht="15" customHeight="1">
      <c r="A51" s="1460" t="s">
        <v>523</v>
      </c>
      <c r="B51" s="1460"/>
      <c r="C51" s="1460"/>
      <c r="D51" s="338" t="str">
        <f>ASC(【マスター】!K51)</f>
        <v>47</v>
      </c>
      <c r="E51" s="466" t="str">
        <f>ASC(【マスター】!L51)</f>
        <v>476</v>
      </c>
      <c r="F51" s="780">
        <f>E51-(ROUNDDOWN(E51*0.9,0))</f>
        <v>48</v>
      </c>
      <c r="G51" s="781">
        <f>E51-(ROUNDDOWN(E51*0.8,0))</f>
        <v>96</v>
      </c>
      <c r="H51" s="782">
        <f>E51-(ROUNDDOWN(E51*0.7,0))</f>
        <v>143</v>
      </c>
    </row>
    <row r="52" spans="1:9" s="306" customFormat="1" ht="15" customHeight="1">
      <c r="A52" s="1471" t="s">
        <v>524</v>
      </c>
      <c r="B52" s="1471"/>
      <c r="C52" s="779"/>
      <c r="D52" s="775"/>
      <c r="E52" s="775"/>
      <c r="F52" s="775"/>
      <c r="G52" s="775"/>
      <c r="H52" s="775"/>
    </row>
    <row r="53" spans="1:9" s="306" customFormat="1" ht="15" customHeight="1">
      <c r="A53" s="1472" t="s">
        <v>525</v>
      </c>
      <c r="B53" s="1448" t="s">
        <v>526</v>
      </c>
      <c r="C53" s="1474"/>
      <c r="D53" s="1460" t="s">
        <v>507</v>
      </c>
      <c r="E53" s="1460" t="s">
        <v>508</v>
      </c>
      <c r="F53" s="1476" t="s">
        <v>2056</v>
      </c>
      <c r="G53" s="1477"/>
      <c r="H53" s="1478"/>
    </row>
    <row r="54" spans="1:9" s="306" customFormat="1" ht="15" customHeight="1">
      <c r="A54" s="1473"/>
      <c r="B54" s="1452"/>
      <c r="C54" s="1475"/>
      <c r="D54" s="1460"/>
      <c r="E54" s="1460"/>
      <c r="F54" s="303" t="s">
        <v>509</v>
      </c>
      <c r="G54" s="304" t="s">
        <v>510</v>
      </c>
      <c r="H54" s="305" t="s">
        <v>511</v>
      </c>
    </row>
    <row r="55" spans="1:9" s="306" customFormat="1" ht="15" customHeight="1">
      <c r="A55" s="608" t="str">
        <f>IF(【マスター】!C49="有","✔","－")</f>
        <v>✔</v>
      </c>
      <c r="B55" s="1468" t="s">
        <v>1824</v>
      </c>
      <c r="C55" s="1469"/>
      <c r="D55" s="737" t="str">
        <f>ASC(【マスター】!D49&amp;"単位／日")</f>
        <v>40単位/日</v>
      </c>
      <c r="E55" s="738" t="str">
        <f>ASC(【マスター】!E49)</f>
        <v>405</v>
      </c>
      <c r="F55" s="739">
        <f>E55-(ROUNDDOWN(E55*0.9,0))</f>
        <v>41</v>
      </c>
      <c r="G55" s="790">
        <f>E55-(ROUNDDOWN(E55*0.8,0))</f>
        <v>81</v>
      </c>
      <c r="H55" s="791">
        <f>E55-(ROUNDDOWN(E55*0.7,0))</f>
        <v>122</v>
      </c>
      <c r="I55" s="307"/>
    </row>
    <row r="56" spans="1:9" s="306" customFormat="1" ht="15" customHeight="1">
      <c r="A56" s="797" t="str">
        <f>IF(【マスター】!C50="有","✔","－")</f>
        <v>✔</v>
      </c>
      <c r="B56" s="1463" t="s">
        <v>1825</v>
      </c>
      <c r="C56" s="1464"/>
      <c r="D56" s="555" t="str">
        <f>ASC(【マスター】!D50&amp;"単位／日")</f>
        <v>55単位/日</v>
      </c>
      <c r="E56" s="309" t="str">
        <f>ASC(【マスター】!E50)</f>
        <v>557</v>
      </c>
      <c r="F56" s="333">
        <f t="shared" ref="F56:F69" si="18">E56-(ROUNDDOWN(E56*0.9,0))</f>
        <v>56</v>
      </c>
      <c r="G56" s="331">
        <f t="shared" ref="G56:G69" si="19">E56-(ROUNDDOWN(E56*0.8,0))</f>
        <v>112</v>
      </c>
      <c r="H56" s="332">
        <f t="shared" ref="H56:H69" si="20">E56-(ROUNDDOWN(E56*0.7,0))</f>
        <v>168</v>
      </c>
      <c r="I56" s="307"/>
    </row>
    <row r="57" spans="1:9" s="306" customFormat="1" ht="15" customHeight="1">
      <c r="A57" s="797" t="str">
        <f>IF(【マスター】!C51="有","✔","－")</f>
        <v>－</v>
      </c>
      <c r="B57" s="1470" t="s">
        <v>172</v>
      </c>
      <c r="C57" s="1470"/>
      <c r="D57" s="555" t="str">
        <f>ASC(【マスター】!D51&amp;"単位／日")</f>
        <v>60単位/日</v>
      </c>
      <c r="E57" s="309" t="str">
        <f>ASC(【マスター】!E51)</f>
        <v>608</v>
      </c>
      <c r="F57" s="333">
        <f t="shared" si="18"/>
        <v>61</v>
      </c>
      <c r="G57" s="331">
        <f t="shared" si="19"/>
        <v>122</v>
      </c>
      <c r="H57" s="332">
        <f t="shared" si="20"/>
        <v>183</v>
      </c>
    </row>
    <row r="58" spans="1:9" s="306" customFormat="1" ht="15" customHeight="1">
      <c r="A58" s="797" t="str">
        <f>IF(【マスター】!C52="有","✔","－")</f>
        <v>✔</v>
      </c>
      <c r="B58" s="1470" t="s">
        <v>173</v>
      </c>
      <c r="C58" s="1470"/>
      <c r="D58" s="555" t="str">
        <f>ASC(【マスター】!D52&amp;"単位／日")</f>
        <v>60単位/日</v>
      </c>
      <c r="E58" s="309" t="str">
        <f>ASC(【マスター】!E52)</f>
        <v>608</v>
      </c>
      <c r="F58" s="333">
        <f t="shared" si="18"/>
        <v>61</v>
      </c>
      <c r="G58" s="331">
        <f t="shared" si="19"/>
        <v>122</v>
      </c>
      <c r="H58" s="332">
        <f t="shared" si="20"/>
        <v>183</v>
      </c>
    </row>
    <row r="59" spans="1:9" s="306" customFormat="1" ht="15" customHeight="1">
      <c r="A59" s="797" t="str">
        <f>IF(【マスター】!C53="有","✔","－")</f>
        <v>－</v>
      </c>
      <c r="B59" s="1470" t="s">
        <v>174</v>
      </c>
      <c r="C59" s="1470"/>
      <c r="D59" s="555" t="str">
        <f>ASC(【マスター】!D53&amp;"単位／日")</f>
        <v>45単位/日</v>
      </c>
      <c r="E59" s="309" t="str">
        <f>ASC(【マスター】!E53)</f>
        <v>456</v>
      </c>
      <c r="F59" s="333">
        <f t="shared" si="18"/>
        <v>46</v>
      </c>
      <c r="G59" s="331">
        <f t="shared" si="19"/>
        <v>92</v>
      </c>
      <c r="H59" s="332">
        <f t="shared" si="20"/>
        <v>137</v>
      </c>
    </row>
    <row r="60" spans="1:9" s="306" customFormat="1" ht="15" customHeight="1">
      <c r="A60" s="797" t="str">
        <f>IF(【マスター】!C54="有","✔","－")</f>
        <v>✔</v>
      </c>
      <c r="B60" s="1457" t="s">
        <v>1826</v>
      </c>
      <c r="C60" s="1458"/>
      <c r="D60" s="555" t="str">
        <f>ASC(【マスター】!D54&amp;"単位／日")</f>
        <v>56単位/日</v>
      </c>
      <c r="E60" s="309" t="str">
        <f>ASC(【マスター】!E54)</f>
        <v>567</v>
      </c>
      <c r="F60" s="333">
        <f t="shared" si="18"/>
        <v>57</v>
      </c>
      <c r="G60" s="331">
        <f t="shared" si="19"/>
        <v>114</v>
      </c>
      <c r="H60" s="332">
        <f t="shared" si="20"/>
        <v>171</v>
      </c>
      <c r="I60" s="307"/>
    </row>
    <row r="61" spans="1:9" s="306" customFormat="1" ht="15" customHeight="1">
      <c r="A61" s="797" t="str">
        <f>IF(【マスター】!C55="有","✔","－")</f>
        <v>－</v>
      </c>
      <c r="B61" s="1457" t="s">
        <v>1827</v>
      </c>
      <c r="C61" s="1458"/>
      <c r="D61" s="555" t="str">
        <f>ASC(【マスター】!D55&amp;"単位／日")</f>
        <v>85単位/日</v>
      </c>
      <c r="E61" s="309" t="str">
        <f>ASC(【マスター】!E55)</f>
        <v>861</v>
      </c>
      <c r="F61" s="333">
        <f t="shared" si="18"/>
        <v>87</v>
      </c>
      <c r="G61" s="331">
        <f t="shared" si="19"/>
        <v>173</v>
      </c>
      <c r="H61" s="332">
        <f t="shared" si="20"/>
        <v>259</v>
      </c>
      <c r="I61" s="307"/>
    </row>
    <row r="62" spans="1:9" s="306" customFormat="1" ht="15" customHeight="1">
      <c r="A62" s="797" t="str">
        <f>IF(【マスター】!C56="有","✔","－")</f>
        <v>－</v>
      </c>
      <c r="B62" s="1457" t="s">
        <v>176</v>
      </c>
      <c r="C62" s="1458"/>
      <c r="D62" s="555" t="str">
        <f>ASC(【マスター】!D56&amp;"単位／月")</f>
        <v>20単位/月</v>
      </c>
      <c r="E62" s="309" t="str">
        <f>ASC(【マスター】!E56)</f>
        <v>202</v>
      </c>
      <c r="F62" s="333">
        <f t="shared" si="18"/>
        <v>21</v>
      </c>
      <c r="G62" s="331">
        <f t="shared" si="19"/>
        <v>41</v>
      </c>
      <c r="H62" s="332">
        <f t="shared" si="20"/>
        <v>61</v>
      </c>
      <c r="I62" s="307"/>
    </row>
    <row r="63" spans="1:9" s="306" customFormat="1" ht="15" customHeight="1">
      <c r="A63" s="797" t="str">
        <f>IF(【マスター】!C57="有","✔","－")</f>
        <v>－</v>
      </c>
      <c r="B63" s="1463" t="s">
        <v>1856</v>
      </c>
      <c r="C63" s="1464"/>
      <c r="D63" s="555" t="str">
        <f>ASC(【マスター】!D57&amp;"単位／日")</f>
        <v>22単位/日</v>
      </c>
      <c r="E63" s="309" t="str">
        <f>ASC(【マスター】!E57)</f>
        <v>223</v>
      </c>
      <c r="F63" s="333">
        <f t="shared" si="18"/>
        <v>23</v>
      </c>
      <c r="G63" s="331">
        <f t="shared" si="19"/>
        <v>45</v>
      </c>
      <c r="H63" s="332">
        <f t="shared" si="20"/>
        <v>67</v>
      </c>
    </row>
    <row r="64" spans="1:9" s="306" customFormat="1" ht="15" customHeight="1">
      <c r="A64" s="797" t="str">
        <f>IF(【マスター】!C58="有","✔","－")</f>
        <v>－</v>
      </c>
      <c r="B64" s="1465" t="s">
        <v>179</v>
      </c>
      <c r="C64" s="1466"/>
      <c r="D64" s="555" t="str">
        <f>ASC(【マスター】!D58&amp;"単位／日")</f>
        <v>18単位/日</v>
      </c>
      <c r="E64" s="309" t="str">
        <f>ASC(【マスター】!E58)</f>
        <v>182</v>
      </c>
      <c r="F64" s="333">
        <f t="shared" si="18"/>
        <v>19</v>
      </c>
      <c r="G64" s="331">
        <f t="shared" si="19"/>
        <v>37</v>
      </c>
      <c r="H64" s="332">
        <f t="shared" si="20"/>
        <v>55</v>
      </c>
    </row>
    <row r="65" spans="1:9" s="306" customFormat="1" ht="15" customHeight="1">
      <c r="A65" s="797" t="str">
        <f>IF(【マスター】!C59="有","✔","－")</f>
        <v>－</v>
      </c>
      <c r="B65" s="1465" t="s">
        <v>1857</v>
      </c>
      <c r="C65" s="1466"/>
      <c r="D65" s="555" t="str">
        <f>ASC(【マスター】!D59&amp;"単位／日")</f>
        <v>6単位/日</v>
      </c>
      <c r="E65" s="309" t="str">
        <f>ASC(【マスター】!E59)</f>
        <v>60</v>
      </c>
      <c r="F65" s="333">
        <f t="shared" si="18"/>
        <v>6</v>
      </c>
      <c r="G65" s="331">
        <f t="shared" si="19"/>
        <v>12</v>
      </c>
      <c r="H65" s="332">
        <f t="shared" si="20"/>
        <v>18</v>
      </c>
    </row>
    <row r="66" spans="1:9" s="306" customFormat="1" ht="15" customHeight="1">
      <c r="A66" s="797" t="str">
        <f>IF(【マスター】!C60="有","✔","－")</f>
        <v>－</v>
      </c>
      <c r="B66" s="1457" t="s">
        <v>180</v>
      </c>
      <c r="C66" s="1458"/>
      <c r="D66" s="555" t="str">
        <f>ASC(【マスター】!D60&amp;"単位／回")</f>
        <v>200単位/回</v>
      </c>
      <c r="E66" s="309" t="str">
        <f>ASC(【マスター】!E60)</f>
        <v>2,028</v>
      </c>
      <c r="F66" s="333">
        <f t="shared" si="18"/>
        <v>203</v>
      </c>
      <c r="G66" s="331">
        <f t="shared" si="19"/>
        <v>406</v>
      </c>
      <c r="H66" s="332">
        <f t="shared" si="20"/>
        <v>609</v>
      </c>
      <c r="I66" s="307"/>
    </row>
    <row r="67" spans="1:9" s="306" customFormat="1" ht="15" customHeight="1">
      <c r="A67" s="797" t="str">
        <f>IF(【マスター】!C61="有","✔","－")</f>
        <v>－</v>
      </c>
      <c r="B67" s="1457" t="s">
        <v>1842</v>
      </c>
      <c r="C67" s="1458"/>
      <c r="D67" s="555" t="str">
        <f>ASC(【マスター】!D61&amp;"単位／月")</f>
        <v>50単位/月</v>
      </c>
      <c r="E67" s="309" t="str">
        <f>ASC(【マスター】!E61)</f>
        <v>507</v>
      </c>
      <c r="F67" s="333">
        <f t="shared" si="18"/>
        <v>51</v>
      </c>
      <c r="G67" s="331">
        <f t="shared" si="19"/>
        <v>102</v>
      </c>
      <c r="H67" s="332">
        <f t="shared" si="20"/>
        <v>153</v>
      </c>
      <c r="I67" s="307"/>
    </row>
    <row r="68" spans="1:9" s="306" customFormat="1" ht="15" customHeight="1">
      <c r="A68" s="797" t="str">
        <f>IF(【マスター】!C62="有","✔","－")</f>
        <v>－</v>
      </c>
      <c r="B68" s="1457" t="s">
        <v>1830</v>
      </c>
      <c r="C68" s="1458"/>
      <c r="D68" s="555" t="str">
        <f>ASC(【マスター】!D62&amp;"単位／回")</f>
        <v>20単位/回</v>
      </c>
      <c r="E68" s="309" t="str">
        <f>ASC(【マスター】!E62)</f>
        <v>202</v>
      </c>
      <c r="F68" s="333">
        <f t="shared" si="18"/>
        <v>21</v>
      </c>
      <c r="G68" s="331">
        <f t="shared" si="19"/>
        <v>41</v>
      </c>
      <c r="H68" s="332">
        <f t="shared" si="20"/>
        <v>61</v>
      </c>
      <c r="I68" s="307"/>
    </row>
    <row r="69" spans="1:9" s="306" customFormat="1" ht="15" customHeight="1">
      <c r="A69" s="797" t="str">
        <f>IF(【マスター】!C63="有","✔","－")</f>
        <v>－</v>
      </c>
      <c r="B69" s="1457" t="s">
        <v>1831</v>
      </c>
      <c r="C69" s="1458"/>
      <c r="D69" s="555" t="str">
        <f>ASC(【マスター】!D63&amp;"単位／回")</f>
        <v>5単位/回</v>
      </c>
      <c r="E69" s="309" t="str">
        <f>ASC(【マスター】!E63)</f>
        <v>50</v>
      </c>
      <c r="F69" s="333">
        <f t="shared" si="18"/>
        <v>5</v>
      </c>
      <c r="G69" s="331">
        <f t="shared" si="19"/>
        <v>10</v>
      </c>
      <c r="H69" s="332">
        <f t="shared" si="20"/>
        <v>15</v>
      </c>
      <c r="I69" s="307"/>
    </row>
    <row r="70" spans="1:9" s="306" customFormat="1" ht="15" customHeight="1">
      <c r="A70" s="797" t="str">
        <f>IF(【マスター】!C64="有","✔","－")</f>
        <v>✔</v>
      </c>
      <c r="B70" s="1457" t="s">
        <v>1832</v>
      </c>
      <c r="C70" s="1458"/>
      <c r="D70" s="555" t="str">
        <f>ASC(【マスター】!D64&amp;"単位／回")</f>
        <v>150単位/回</v>
      </c>
      <c r="E70" s="309" t="str">
        <f>ASC(【マスター】!E64)</f>
        <v>1,521</v>
      </c>
      <c r="F70" s="310">
        <f t="shared" ref="F70:F77" si="21">E70-(ROUNDDOWN(E70*0.9,0))</f>
        <v>153</v>
      </c>
      <c r="G70" s="331">
        <f t="shared" ref="G70:G77" si="22">E70-(ROUNDDOWN(E70*0.8,0))</f>
        <v>305</v>
      </c>
      <c r="H70" s="332">
        <f t="shared" ref="H70:H77" si="23">E70-(ROUNDDOWN(E70*0.7,0))</f>
        <v>457</v>
      </c>
      <c r="I70" s="307"/>
    </row>
    <row r="71" spans="1:9" s="306" customFormat="1" ht="15" customHeight="1">
      <c r="A71" s="797" t="str">
        <f>IF(【マスター】!C65="有","✔","－")</f>
        <v>－</v>
      </c>
      <c r="B71" s="1457" t="s">
        <v>1833</v>
      </c>
      <c r="C71" s="1458"/>
      <c r="D71" s="555" t="str">
        <f>ASC(【マスター】!D65&amp;"単位／回")</f>
        <v>160単位/回</v>
      </c>
      <c r="E71" s="309" t="str">
        <f>ASC(【マスター】!E65)</f>
        <v>1,622</v>
      </c>
      <c r="F71" s="310">
        <f t="shared" si="21"/>
        <v>163</v>
      </c>
      <c r="G71" s="331">
        <f t="shared" si="22"/>
        <v>325</v>
      </c>
      <c r="H71" s="332">
        <f t="shared" si="23"/>
        <v>487</v>
      </c>
      <c r="I71" s="307"/>
    </row>
    <row r="72" spans="1:9" s="306" customFormat="1" ht="15" customHeight="1">
      <c r="A72" s="797" t="str">
        <f>IF(【マスター】!C66="有","✔","－")</f>
        <v>－</v>
      </c>
      <c r="B72" s="1457" t="s">
        <v>181</v>
      </c>
      <c r="C72" s="1458"/>
      <c r="D72" s="555" t="str">
        <f>ASC(【マスター】!D66&amp;"単位／月")</f>
        <v>30単位/月</v>
      </c>
      <c r="E72" s="309" t="str">
        <f>ASC(【マスター】!E66)</f>
        <v>304</v>
      </c>
      <c r="F72" s="310">
        <f t="shared" si="21"/>
        <v>31</v>
      </c>
      <c r="G72" s="331">
        <f t="shared" si="22"/>
        <v>61</v>
      </c>
      <c r="H72" s="332">
        <f t="shared" si="23"/>
        <v>92</v>
      </c>
      <c r="I72" s="307"/>
    </row>
    <row r="73" spans="1:9" s="306" customFormat="1" ht="15" customHeight="1">
      <c r="A73" s="797" t="str">
        <f>IF(【マスター】!C67="有","✔","－")</f>
        <v>－</v>
      </c>
      <c r="B73" s="1457" t="s">
        <v>182</v>
      </c>
      <c r="C73" s="1458"/>
      <c r="D73" s="555" t="str">
        <f>ASC(【マスター】!D67&amp;"単位／月")</f>
        <v>60単位/月</v>
      </c>
      <c r="E73" s="309" t="str">
        <f>ASC(【マスター】!E67)</f>
        <v>608</v>
      </c>
      <c r="F73" s="310">
        <f t="shared" si="21"/>
        <v>61</v>
      </c>
      <c r="G73" s="331">
        <f t="shared" si="22"/>
        <v>122</v>
      </c>
      <c r="H73" s="332">
        <f t="shared" si="23"/>
        <v>183</v>
      </c>
      <c r="I73" s="307"/>
    </row>
    <row r="74" spans="1:9" s="306" customFormat="1" ht="15" customHeight="1">
      <c r="A74" s="797" t="str">
        <f>IF(【マスター】!C69="有","✔","－")</f>
        <v>－</v>
      </c>
      <c r="B74" s="1457" t="s">
        <v>1851</v>
      </c>
      <c r="C74" s="1458"/>
      <c r="D74" s="555" t="str">
        <f>ASC(【マスター】!D69&amp;"単位／月")</f>
        <v>100単位/月</v>
      </c>
      <c r="E74" s="309" t="str">
        <f>ASC(【マスター】!E69)</f>
        <v>1,014</v>
      </c>
      <c r="F74" s="310">
        <f t="shared" ref="F74" si="24">E74-(ROUNDDOWN(E74*0.9,0))</f>
        <v>102</v>
      </c>
      <c r="G74" s="331">
        <f t="shared" ref="G74" si="25">E74-(ROUNDDOWN(E74*0.8,0))</f>
        <v>203</v>
      </c>
      <c r="H74" s="332">
        <f t="shared" ref="H74" si="26">E74-(ROUNDDOWN(E74*0.7,0))</f>
        <v>305</v>
      </c>
      <c r="I74" s="307"/>
    </row>
    <row r="75" spans="1:9" s="306" customFormat="1" ht="15" customHeight="1">
      <c r="A75" s="797" t="str">
        <f>IF(【マスター】!C69="有","✔","－")</f>
        <v>－</v>
      </c>
      <c r="B75" s="1457" t="s">
        <v>1843</v>
      </c>
      <c r="C75" s="1458"/>
      <c r="D75" s="555" t="str">
        <f>ASC(【マスター】!D69&amp;"単位／月")</f>
        <v>100単位/月</v>
      </c>
      <c r="E75" s="309" t="str">
        <f>ASC(【マスター】!E69)</f>
        <v>1,014</v>
      </c>
      <c r="F75" s="310">
        <f t="shared" si="21"/>
        <v>102</v>
      </c>
      <c r="G75" s="331">
        <f t="shared" si="22"/>
        <v>203</v>
      </c>
      <c r="H75" s="332">
        <f t="shared" si="23"/>
        <v>305</v>
      </c>
      <c r="I75" s="307"/>
    </row>
    <row r="76" spans="1:9" s="306" customFormat="1" ht="15" customHeight="1">
      <c r="A76" s="797" t="str">
        <f>IF(【マスター】!C70="有","✔","－")</f>
        <v>－</v>
      </c>
      <c r="B76" s="1459" t="s">
        <v>1847</v>
      </c>
      <c r="C76" s="1459"/>
      <c r="D76" s="555" t="str">
        <f>ASC(【マスター】!D70&amp;"単位／月")</f>
        <v>100単位/月</v>
      </c>
      <c r="E76" s="309" t="str">
        <f>ASC(【マスター】!E70)</f>
        <v>1,014</v>
      </c>
      <c r="F76" s="310">
        <f t="shared" si="21"/>
        <v>102</v>
      </c>
      <c r="G76" s="331">
        <f t="shared" si="22"/>
        <v>203</v>
      </c>
      <c r="H76" s="332">
        <f t="shared" si="23"/>
        <v>305</v>
      </c>
    </row>
    <row r="77" spans="1:9" s="306" customFormat="1" ht="15" customHeight="1">
      <c r="A77" s="797" t="str">
        <f>IF(【マスター】!C71="有","✔","－")</f>
        <v>✔</v>
      </c>
      <c r="B77" s="1459" t="s">
        <v>184</v>
      </c>
      <c r="C77" s="1459"/>
      <c r="D77" s="555" t="str">
        <f>ASC(【マスター】!D71&amp;"単位／時間")</f>
        <v>50単位/時間</v>
      </c>
      <c r="E77" s="309" t="str">
        <f>ASC(【マスター】!E71)</f>
        <v>507</v>
      </c>
      <c r="F77" s="310">
        <f t="shared" si="21"/>
        <v>51</v>
      </c>
      <c r="G77" s="331">
        <f t="shared" si="22"/>
        <v>102</v>
      </c>
      <c r="H77" s="332">
        <f t="shared" si="23"/>
        <v>153</v>
      </c>
    </row>
    <row r="78" spans="1:9" s="306" customFormat="1" ht="15" customHeight="1">
      <c r="A78" s="792" t="str">
        <f>IF(【マスター】!C72="有","✔","－")</f>
        <v>✔</v>
      </c>
      <c r="B78" s="1467" t="s">
        <v>1855</v>
      </c>
      <c r="C78" s="1467"/>
      <c r="D78" s="793" t="str">
        <f>ASC(【マスター】!D72&amp;"単位／月")</f>
        <v>40単位/月</v>
      </c>
      <c r="E78" s="610" t="str">
        <f>ASC(【マスター】!E72)</f>
        <v>405</v>
      </c>
      <c r="F78" s="794">
        <f t="shared" ref="F78" si="27">E78-(ROUNDDOWN(E78*0.9,0))</f>
        <v>41</v>
      </c>
      <c r="G78" s="795">
        <f t="shared" ref="G78" si="28">E78-(ROUNDDOWN(E78*0.8,0))</f>
        <v>81</v>
      </c>
      <c r="H78" s="796">
        <f t="shared" ref="H78" si="29">E78-(ROUNDDOWN(E78*0.7,0))</f>
        <v>122</v>
      </c>
      <c r="I78" s="307"/>
    </row>
    <row r="79" spans="1:9" s="306" customFormat="1" ht="15" customHeight="1">
      <c r="A79" s="553" t="s">
        <v>527</v>
      </c>
      <c r="B79" s="1460" t="s">
        <v>526</v>
      </c>
      <c r="C79" s="1460"/>
      <c r="D79" s="1460"/>
      <c r="E79" s="1461" t="s">
        <v>507</v>
      </c>
      <c r="F79" s="1462"/>
      <c r="G79" s="1460" t="s">
        <v>528</v>
      </c>
      <c r="H79" s="1460"/>
    </row>
    <row r="80" spans="1:9" s="306" customFormat="1" ht="15" customHeight="1">
      <c r="A80" s="554" t="str">
        <f>IF(【マスター】!C73="有","✔","－")</f>
        <v>－</v>
      </c>
      <c r="B80" s="1447" t="s">
        <v>2151</v>
      </c>
      <c r="C80" s="1447"/>
      <c r="D80" s="1447"/>
      <c r="E80" s="1447" t="str">
        <f>ASC((【マスター】!D73))</f>
        <v>9.2%(1ヶ月の利用合計単位数に乗じる)</v>
      </c>
      <c r="F80" s="1447"/>
      <c r="G80" s="1448" t="s">
        <v>529</v>
      </c>
      <c r="H80" s="1449"/>
    </row>
    <row r="81" spans="1:8" s="306" customFormat="1" ht="15" customHeight="1">
      <c r="A81" s="555" t="str">
        <f>IF(【マスター】!C74="有","✔","－")</f>
        <v>✔</v>
      </c>
      <c r="B81" s="1454" t="s">
        <v>2152</v>
      </c>
      <c r="C81" s="1454"/>
      <c r="D81" s="1454"/>
      <c r="E81" s="1454" t="str">
        <f>ASC((【マスター】!D74))</f>
        <v>9.0%(1ヶ月の利用合計単位数に乗じる)</v>
      </c>
      <c r="F81" s="1454"/>
      <c r="G81" s="1450"/>
      <c r="H81" s="1451"/>
    </row>
    <row r="82" spans="1:8" s="306" customFormat="1" ht="15" customHeight="1">
      <c r="A82" s="936" t="str">
        <f>IF(【マスター】!C75="有","✔","－")</f>
        <v>－</v>
      </c>
      <c r="B82" s="1455" t="s">
        <v>2153</v>
      </c>
      <c r="C82" s="1455"/>
      <c r="D82" s="1455"/>
      <c r="E82" s="1455" t="str">
        <f>ASC((【マスター】!D75))</f>
        <v>8.0%(1ヶ月の利用合計単位数に乗じる)</v>
      </c>
      <c r="F82" s="1455"/>
      <c r="G82" s="1450"/>
      <c r="H82" s="1451"/>
    </row>
    <row r="83" spans="1:8" s="306" customFormat="1" ht="15" customHeight="1">
      <c r="A83" s="553" t="str">
        <f>IF(【マスター】!C76="有","✔","－")</f>
        <v>－</v>
      </c>
      <c r="B83" s="1444" t="s">
        <v>245</v>
      </c>
      <c r="C83" s="1444"/>
      <c r="D83" s="1444"/>
      <c r="E83" s="1445" t="s">
        <v>530</v>
      </c>
      <c r="F83" s="1445"/>
      <c r="G83" s="1452"/>
      <c r="H83" s="1453"/>
    </row>
    <row r="84" spans="1:8" s="306" customFormat="1" ht="25.35" customHeight="1">
      <c r="A84" s="339" t="s">
        <v>531</v>
      </c>
      <c r="B84" s="1446" t="s">
        <v>1845</v>
      </c>
      <c r="C84" s="1446"/>
      <c r="D84" s="1446"/>
      <c r="E84" s="1446"/>
      <c r="F84" s="1446"/>
      <c r="G84" s="1446"/>
      <c r="H84" s="1446"/>
    </row>
    <row r="85" spans="1:8" s="306" customFormat="1" ht="18" customHeight="1">
      <c r="A85" s="339" t="s">
        <v>531</v>
      </c>
      <c r="B85" s="1438" t="s">
        <v>532</v>
      </c>
      <c r="C85" s="1438"/>
      <c r="D85" s="1438"/>
      <c r="E85" s="1438"/>
      <c r="F85" s="1438"/>
      <c r="G85" s="1438"/>
      <c r="H85" s="1438"/>
    </row>
    <row r="86" spans="1:8" s="306" customFormat="1" ht="18" customHeight="1">
      <c r="A86" s="339" t="s">
        <v>531</v>
      </c>
      <c r="B86" s="1438" t="s">
        <v>533</v>
      </c>
      <c r="C86" s="1438"/>
      <c r="D86" s="1438"/>
      <c r="E86" s="1438"/>
      <c r="F86" s="1438"/>
      <c r="G86" s="1438"/>
      <c r="H86" s="1438"/>
    </row>
    <row r="87" spans="1:8" s="306" customFormat="1" ht="25.35" customHeight="1">
      <c r="A87" s="340"/>
      <c r="B87" s="1438" t="s">
        <v>1844</v>
      </c>
      <c r="C87" s="1438"/>
      <c r="D87" s="1438"/>
      <c r="E87" s="1438"/>
      <c r="F87" s="1438"/>
      <c r="G87" s="1438"/>
      <c r="H87" s="1438"/>
    </row>
    <row r="88" spans="1:8" s="306" customFormat="1" ht="15" customHeight="1">
      <c r="A88" s="340"/>
      <c r="B88" s="606"/>
      <c r="C88" s="606"/>
      <c r="D88" s="606"/>
      <c r="E88" s="606"/>
      <c r="F88" s="606"/>
      <c r="G88" s="606"/>
      <c r="H88" s="606"/>
    </row>
    <row r="89" spans="1:8" s="306" customFormat="1" ht="15" customHeight="1">
      <c r="A89" s="322" t="s">
        <v>534</v>
      </c>
      <c r="B89" s="326"/>
      <c r="C89" s="341"/>
      <c r="D89" s="341"/>
      <c r="E89" s="342"/>
      <c r="F89" s="342"/>
      <c r="G89" s="342"/>
      <c r="H89" s="342"/>
    </row>
    <row r="90" spans="1:8" s="306" customFormat="1" ht="15" customHeight="1">
      <c r="A90" s="1456" t="str">
        <f>IF((【マスター】!C73="")*AND(【マスター】!C74="")*AND(【マスター】!C75=""),【マスター】!P77,VLOOKUP("有",【マスター】!C73:S77,4,FALSE))</f>
        <v>（１ヶ月の利用合計単位数＋１ヶ月の利用合計単位数×９．０％）×　地域単価</v>
      </c>
      <c r="B90" s="1456"/>
      <c r="C90" s="1456"/>
      <c r="D90" s="1456"/>
      <c r="E90" s="1456"/>
      <c r="F90" s="1456"/>
      <c r="G90" s="1456"/>
      <c r="H90" s="1456"/>
    </row>
    <row r="91" spans="1:8" s="306" customFormat="1" ht="15" customHeight="1">
      <c r="A91" s="1439" t="s">
        <v>535</v>
      </c>
      <c r="B91" s="1439"/>
      <c r="C91" s="1439"/>
      <c r="D91" s="1439"/>
      <c r="E91" s="1439"/>
      <c r="F91" s="1439"/>
      <c r="G91" s="1439"/>
      <c r="H91" s="1439"/>
    </row>
    <row r="92" spans="1:8" s="306" customFormat="1" ht="15" customHeight="1">
      <c r="A92" s="344"/>
      <c r="B92" s="344"/>
      <c r="C92" s="344"/>
      <c r="D92" s="344"/>
      <c r="E92" s="344"/>
      <c r="F92" s="344"/>
      <c r="G92" s="344"/>
      <c r="H92" s="344"/>
    </row>
    <row r="93" spans="1:8" s="306" customFormat="1" ht="15" customHeight="1">
      <c r="A93" s="326" t="s">
        <v>536</v>
      </c>
      <c r="B93" s="323"/>
      <c r="D93" s="342"/>
      <c r="E93" s="342"/>
      <c r="F93" s="342"/>
      <c r="G93" s="342"/>
      <c r="H93" s="342"/>
    </row>
    <row r="94" spans="1:8" s="306" customFormat="1" ht="15" customHeight="1">
      <c r="A94" s="312" t="s">
        <v>75</v>
      </c>
      <c r="B94" s="298" t="s">
        <v>537</v>
      </c>
      <c r="D94" s="342"/>
      <c r="E94" s="342"/>
      <c r="F94" s="342"/>
      <c r="G94" s="342"/>
      <c r="H94" s="342"/>
    </row>
    <row r="95" spans="1:8" s="306" customFormat="1" ht="30" customHeight="1">
      <c r="A95" s="326"/>
      <c r="B95" s="1437" t="s">
        <v>538</v>
      </c>
      <c r="C95" s="1437"/>
      <c r="D95" s="1437"/>
      <c r="E95" s="1437"/>
      <c r="F95" s="1437"/>
      <c r="G95" s="1437"/>
      <c r="H95" s="1437"/>
    </row>
    <row r="96" spans="1:8" s="306" customFormat="1" ht="15" customHeight="1">
      <c r="A96" s="312" t="s">
        <v>75</v>
      </c>
      <c r="B96" s="298" t="s">
        <v>539</v>
      </c>
      <c r="C96" s="299"/>
      <c r="D96" s="343"/>
      <c r="E96" s="343"/>
      <c r="F96" s="343"/>
      <c r="G96" s="343"/>
      <c r="H96" s="343"/>
    </row>
    <row r="97" spans="1:23" s="306" customFormat="1" ht="15" customHeight="1" thickBot="1">
      <c r="A97" s="345"/>
      <c r="B97" s="1439" t="str">
        <f>DBCS("　食事サービスを受ける方は、昼食代１食あたり"&amp;【マスター】!J44&amp;"円が必要となります。")</f>
        <v>　食事サービスを受ける方は、昼食代１食あたり５７０円が必要となります。</v>
      </c>
      <c r="C97" s="1439"/>
      <c r="D97" s="1439"/>
      <c r="E97" s="1439"/>
      <c r="F97" s="1439"/>
      <c r="G97" s="1439"/>
      <c r="H97" s="1439"/>
      <c r="J97" s="946" t="s">
        <v>2072</v>
      </c>
    </row>
    <row r="98" spans="1:23" s="306" customFormat="1" ht="30" customHeight="1" thickBot="1">
      <c r="A98" s="299"/>
      <c r="B98" s="1439" t="str">
        <f>IF(【マスター】!C71="","",'通所重説 (別表)'!J98)</f>
        <v>　延長加算算定時に、食事サービスを受ける方は、夕食代１食あたり６３０円が必要となります。</v>
      </c>
      <c r="C98" s="1439"/>
      <c r="D98" s="1439"/>
      <c r="E98" s="1439"/>
      <c r="F98" s="1439"/>
      <c r="G98" s="1439"/>
      <c r="H98" s="1439"/>
      <c r="J98" s="1441" t="str">
        <f>DBCS("　延長加算算定時に、食事サービスを受ける方は、夕食代１食あたり"&amp;【マスター】!J45&amp;"円が必要となります。")</f>
        <v>　延長加算算定時に、食事サービスを受ける方は、夕食代１食あたり６３０円が必要となります。</v>
      </c>
      <c r="K98" s="1442"/>
      <c r="L98" s="1442"/>
      <c r="M98" s="1442"/>
      <c r="N98" s="1442"/>
      <c r="O98" s="1442"/>
      <c r="P98" s="1442"/>
      <c r="Q98" s="1442"/>
      <c r="R98" s="1442"/>
      <c r="S98" s="1442"/>
      <c r="T98" s="1442"/>
      <c r="U98" s="1442"/>
      <c r="V98" s="1442"/>
      <c r="W98" s="1443"/>
    </row>
    <row r="99" spans="1:23" s="306" customFormat="1" ht="15" customHeight="1">
      <c r="A99" s="312" t="s">
        <v>75</v>
      </c>
      <c r="B99" s="298" t="s">
        <v>540</v>
      </c>
      <c r="C99" s="299"/>
      <c r="D99" s="343"/>
      <c r="E99" s="343"/>
      <c r="F99" s="343"/>
      <c r="G99" s="343"/>
      <c r="H99" s="343"/>
    </row>
    <row r="100" spans="1:23" s="306" customFormat="1" ht="15" customHeight="1">
      <c r="A100" s="345"/>
      <c r="B100" s="298" t="s">
        <v>541</v>
      </c>
      <c r="C100" s="299"/>
      <c r="D100" s="298"/>
      <c r="E100" s="298"/>
      <c r="F100" s="298"/>
      <c r="G100" s="298"/>
      <c r="H100" s="298"/>
    </row>
    <row r="101" spans="1:23" s="306" customFormat="1" ht="15" customHeight="1">
      <c r="A101" s="345"/>
      <c r="B101" s="298" t="s">
        <v>542</v>
      </c>
      <c r="C101" s="299"/>
      <c r="D101" s="298"/>
      <c r="E101" s="299" t="str">
        <f>DBCS(【マスター】!J46)&amp;"円"</f>
        <v>１００円</v>
      </c>
      <c r="F101" s="299"/>
      <c r="G101" s="299"/>
      <c r="H101" s="298"/>
      <c r="J101" s="946" t="s">
        <v>2072</v>
      </c>
    </row>
    <row r="102" spans="1:23" s="306" customFormat="1" ht="15" customHeight="1">
      <c r="A102" s="345"/>
      <c r="B102" s="298" t="s">
        <v>543</v>
      </c>
      <c r="C102" s="299"/>
      <c r="D102" s="299"/>
      <c r="E102" s="299" t="str">
        <f>DBCS(【マスター】!J47)&amp;"円"</f>
        <v>５０円</v>
      </c>
      <c r="F102" s="299"/>
      <c r="G102" s="299"/>
      <c r="H102" s="299"/>
      <c r="J102" s="946" t="s">
        <v>2072</v>
      </c>
    </row>
    <row r="103" spans="1:23" s="306" customFormat="1" ht="15" customHeight="1">
      <c r="A103" s="312" t="s">
        <v>75</v>
      </c>
      <c r="B103" s="298" t="s">
        <v>544</v>
      </c>
      <c r="C103" s="299"/>
      <c r="D103" s="299"/>
      <c r="E103" s="299"/>
      <c r="F103" s="299"/>
      <c r="G103" s="299"/>
      <c r="H103" s="299"/>
    </row>
    <row r="104" spans="1:23" s="306" customFormat="1" ht="30" customHeight="1">
      <c r="A104" s="345"/>
      <c r="B104" s="1437" t="s">
        <v>545</v>
      </c>
      <c r="C104" s="1437"/>
      <c r="D104" s="1437"/>
      <c r="E104" s="1437"/>
      <c r="F104" s="1437"/>
      <c r="G104" s="1437"/>
      <c r="H104" s="1437"/>
    </row>
    <row r="105" spans="1:23" s="306" customFormat="1" ht="15" customHeight="1">
      <c r="A105" s="312" t="s">
        <v>75</v>
      </c>
      <c r="B105" s="346" t="s">
        <v>546</v>
      </c>
      <c r="C105" s="299"/>
      <c r="D105" s="552"/>
      <c r="E105" s="552"/>
      <c r="F105" s="552"/>
      <c r="G105" s="552"/>
      <c r="H105" s="552"/>
    </row>
    <row r="106" spans="1:23" s="306" customFormat="1" ht="15" customHeight="1">
      <c r="A106" s="299"/>
      <c r="B106" s="346" t="s">
        <v>547</v>
      </c>
      <c r="C106" s="299"/>
      <c r="D106" s="552"/>
      <c r="E106" s="552"/>
      <c r="F106" s="552"/>
      <c r="G106" s="552"/>
      <c r="H106" s="552"/>
    </row>
    <row r="107" spans="1:23" s="306" customFormat="1" ht="15" customHeight="1">
      <c r="B107" s="323"/>
      <c r="C107" s="347"/>
      <c r="D107" s="348"/>
      <c r="E107" s="348"/>
      <c r="F107" s="348"/>
      <c r="G107" s="348"/>
      <c r="H107" s="348"/>
    </row>
    <row r="108" spans="1:23" s="508" customFormat="1" ht="15" customHeight="1">
      <c r="A108" s="505" t="s">
        <v>549</v>
      </c>
      <c r="B108" s="868"/>
      <c r="C108" s="868"/>
    </row>
    <row r="109" spans="1:23" s="508" customFormat="1" ht="15" customHeight="1">
      <c r="A109" s="505" t="s">
        <v>550</v>
      </c>
      <c r="B109" s="868"/>
      <c r="C109" s="868"/>
    </row>
    <row r="110" spans="1:23" s="508" customFormat="1" ht="15" customHeight="1">
      <c r="A110" s="869" t="s">
        <v>523</v>
      </c>
      <c r="B110" s="870"/>
      <c r="C110" s="870"/>
      <c r="D110" s="871"/>
      <c r="E110" s="872"/>
      <c r="G110" s="873"/>
      <c r="H110" s="873"/>
    </row>
    <row r="111" spans="1:23" s="508" customFormat="1" ht="25.35" customHeight="1">
      <c r="A111" s="870"/>
      <c r="B111" s="1436" t="s">
        <v>551</v>
      </c>
      <c r="C111" s="1436"/>
      <c r="D111" s="1436"/>
      <c r="E111" s="1436"/>
      <c r="F111" s="1436"/>
      <c r="G111" s="1436"/>
      <c r="H111" s="1436"/>
    </row>
    <row r="112" spans="1:23" ht="15" customHeight="1">
      <c r="A112" s="869" t="s">
        <v>2080</v>
      </c>
      <c r="B112" s="870"/>
      <c r="C112" s="870"/>
      <c r="D112" s="871"/>
      <c r="E112" s="872"/>
      <c r="F112" s="508"/>
      <c r="G112" s="873"/>
      <c r="H112" s="873"/>
      <c r="J112" s="968" t="s">
        <v>2084</v>
      </c>
      <c r="K112" s="313"/>
      <c r="L112" s="313"/>
    </row>
    <row r="113" spans="1:13" ht="24.95" customHeight="1">
      <c r="A113" s="870"/>
      <c r="B113" s="1436" t="s">
        <v>2083</v>
      </c>
      <c r="C113" s="1436"/>
      <c r="D113" s="1436"/>
      <c r="E113" s="1436"/>
      <c r="F113" s="1436"/>
      <c r="G113" s="1436"/>
      <c r="H113" s="1436"/>
      <c r="J113" s="968" t="s">
        <v>2084</v>
      </c>
      <c r="K113" s="313"/>
      <c r="L113" s="313"/>
    </row>
    <row r="114" spans="1:13" s="508" customFormat="1" ht="15" customHeight="1">
      <c r="A114" s="505" t="s">
        <v>524</v>
      </c>
      <c r="B114" s="874"/>
      <c r="C114" s="874"/>
      <c r="D114" s="875"/>
      <c r="E114" s="875"/>
      <c r="F114" s="875"/>
      <c r="G114" s="875"/>
      <c r="H114" s="875"/>
    </row>
    <row r="115" spans="1:13" s="508" customFormat="1" ht="15" customHeight="1">
      <c r="A115" s="869" t="s">
        <v>1836</v>
      </c>
      <c r="B115" s="870"/>
      <c r="C115" s="870"/>
      <c r="D115" s="876"/>
      <c r="E115" s="877"/>
      <c r="F115" s="878"/>
      <c r="G115" s="873"/>
      <c r="H115" s="873"/>
      <c r="I115" s="879"/>
      <c r="M115" s="307"/>
    </row>
    <row r="116" spans="1:13" s="508" customFormat="1" ht="39" customHeight="1">
      <c r="A116" s="869"/>
      <c r="B116" s="1436" t="s">
        <v>552</v>
      </c>
      <c r="C116" s="1436"/>
      <c r="D116" s="1436"/>
      <c r="E116" s="1436"/>
      <c r="F116" s="1436"/>
      <c r="G116" s="1436"/>
      <c r="H116" s="1436"/>
      <c r="M116" s="299"/>
    </row>
    <row r="117" spans="1:13" s="508" customFormat="1" ht="15" customHeight="1">
      <c r="A117" s="869" t="s">
        <v>1825</v>
      </c>
      <c r="B117" s="870"/>
      <c r="C117" s="870"/>
      <c r="D117" s="876"/>
      <c r="E117" s="877"/>
      <c r="F117" s="878"/>
      <c r="G117" s="873"/>
      <c r="H117" s="873"/>
      <c r="I117" s="879"/>
      <c r="M117" s="307"/>
    </row>
    <row r="118" spans="1:13" s="508" customFormat="1" ht="28.35" customHeight="1">
      <c r="A118" s="869"/>
      <c r="B118" s="1436" t="s">
        <v>2021</v>
      </c>
      <c r="C118" s="1436"/>
      <c r="D118" s="1436"/>
      <c r="E118" s="1436"/>
      <c r="F118" s="1436"/>
      <c r="G118" s="1436"/>
      <c r="H118" s="1436"/>
      <c r="M118" s="299"/>
    </row>
    <row r="119" spans="1:13" s="508" customFormat="1" ht="15" customHeight="1">
      <c r="A119" s="880" t="s">
        <v>172</v>
      </c>
      <c r="B119" s="870"/>
      <c r="C119" s="870"/>
      <c r="D119" s="876"/>
      <c r="E119" s="870"/>
      <c r="F119" s="878"/>
      <c r="G119" s="873"/>
      <c r="H119" s="873"/>
      <c r="M119" s="299"/>
    </row>
    <row r="120" spans="1:13" s="508" customFormat="1" ht="39" customHeight="1">
      <c r="A120" s="869"/>
      <c r="B120" s="1440" t="s">
        <v>553</v>
      </c>
      <c r="C120" s="1440"/>
      <c r="D120" s="1440"/>
      <c r="E120" s="1440"/>
      <c r="F120" s="1440"/>
      <c r="G120" s="1440"/>
      <c r="H120" s="1440"/>
      <c r="M120" s="299"/>
    </row>
    <row r="121" spans="1:13" s="508" customFormat="1" ht="15" customHeight="1">
      <c r="A121" s="869" t="s">
        <v>173</v>
      </c>
      <c r="B121" s="875"/>
      <c r="C121" s="875"/>
      <c r="D121" s="881"/>
      <c r="E121" s="882"/>
      <c r="F121" s="883"/>
      <c r="G121" s="884"/>
      <c r="H121" s="884"/>
      <c r="M121" s="299"/>
    </row>
    <row r="122" spans="1:13" s="508" customFormat="1" ht="26.1" customHeight="1">
      <c r="A122" s="880"/>
      <c r="B122" s="1436" t="s">
        <v>554</v>
      </c>
      <c r="C122" s="1436"/>
      <c r="D122" s="1436"/>
      <c r="E122" s="1436"/>
      <c r="F122" s="1436"/>
      <c r="G122" s="1436"/>
      <c r="H122" s="1436"/>
      <c r="M122" s="299"/>
    </row>
    <row r="123" spans="1:13" s="508" customFormat="1" ht="15" customHeight="1">
      <c r="A123" s="869" t="s">
        <v>174</v>
      </c>
      <c r="B123" s="875"/>
      <c r="C123" s="875"/>
      <c r="D123" s="881"/>
      <c r="E123" s="870"/>
      <c r="F123" s="883"/>
      <c r="G123" s="884"/>
      <c r="H123" s="884"/>
      <c r="M123" s="299"/>
    </row>
    <row r="124" spans="1:13" s="508" customFormat="1" ht="39" customHeight="1">
      <c r="A124" s="495"/>
      <c r="B124" s="1436" t="s">
        <v>555</v>
      </c>
      <c r="C124" s="1436"/>
      <c r="D124" s="1436"/>
      <c r="E124" s="1436"/>
      <c r="F124" s="1436"/>
      <c r="G124" s="1436"/>
      <c r="H124" s="1436"/>
      <c r="M124" s="299"/>
    </row>
    <row r="125" spans="1:13" s="508" customFormat="1" ht="15" customHeight="1">
      <c r="A125" s="869" t="s">
        <v>1826</v>
      </c>
      <c r="B125" s="870"/>
      <c r="C125" s="870"/>
      <c r="D125" s="876"/>
      <c r="E125" s="870"/>
      <c r="F125" s="878"/>
      <c r="G125" s="873"/>
      <c r="H125" s="873"/>
      <c r="I125" s="879"/>
      <c r="M125" s="307"/>
    </row>
    <row r="126" spans="1:13" s="508" customFormat="1" ht="39" customHeight="1">
      <c r="A126" s="495"/>
      <c r="B126" s="1436" t="s">
        <v>1949</v>
      </c>
      <c r="C126" s="1436"/>
      <c r="D126" s="1436"/>
      <c r="E126" s="1436"/>
      <c r="F126" s="1436"/>
      <c r="G126" s="1436"/>
      <c r="H126" s="1436"/>
      <c r="M126" s="299"/>
    </row>
    <row r="127" spans="1:13" s="508" customFormat="1" ht="15" customHeight="1">
      <c r="A127" s="869" t="s">
        <v>1827</v>
      </c>
      <c r="B127" s="873"/>
      <c r="C127" s="873"/>
      <c r="D127" s="873"/>
      <c r="E127" s="885"/>
      <c r="F127" s="886"/>
      <c r="G127" s="873"/>
      <c r="H127" s="873"/>
      <c r="I127" s="879"/>
      <c r="M127" s="307"/>
    </row>
    <row r="128" spans="1:13" s="508" customFormat="1" ht="40.35" customHeight="1">
      <c r="A128" s="869"/>
      <c r="B128" s="1436" t="s">
        <v>1882</v>
      </c>
      <c r="C128" s="1436"/>
      <c r="D128" s="1436"/>
      <c r="E128" s="1436"/>
      <c r="F128" s="1436"/>
      <c r="G128" s="1436"/>
      <c r="H128" s="1436"/>
      <c r="M128" s="299"/>
    </row>
    <row r="129" spans="1:13" s="508" customFormat="1" ht="15" customHeight="1">
      <c r="A129" s="869" t="s">
        <v>176</v>
      </c>
      <c r="B129" s="873"/>
      <c r="C129" s="873"/>
      <c r="D129" s="873"/>
      <c r="E129" s="885"/>
      <c r="F129" s="886"/>
      <c r="G129" s="873"/>
      <c r="H129" s="873"/>
      <c r="I129" s="879"/>
      <c r="M129" s="307"/>
    </row>
    <row r="130" spans="1:13" s="508" customFormat="1" ht="40.35" customHeight="1">
      <c r="A130" s="869"/>
      <c r="B130" s="1436" t="s">
        <v>1883</v>
      </c>
      <c r="C130" s="1436"/>
      <c r="D130" s="1436"/>
      <c r="E130" s="1436"/>
      <c r="F130" s="1436"/>
      <c r="G130" s="1436"/>
      <c r="H130" s="1436"/>
      <c r="M130" s="299"/>
    </row>
    <row r="131" spans="1:13" s="508" customFormat="1" ht="15" customHeight="1">
      <c r="A131" s="869" t="s">
        <v>1856</v>
      </c>
      <c r="B131" s="873"/>
      <c r="C131" s="873"/>
      <c r="D131" s="873"/>
      <c r="E131" s="873"/>
      <c r="F131" s="886"/>
      <c r="G131" s="873"/>
      <c r="H131" s="873"/>
      <c r="M131" s="299"/>
    </row>
    <row r="132" spans="1:13" s="508" customFormat="1" ht="28.35" customHeight="1">
      <c r="A132" s="495"/>
      <c r="B132" s="1436" t="s">
        <v>1885</v>
      </c>
      <c r="C132" s="1436"/>
      <c r="D132" s="1436"/>
      <c r="E132" s="1436"/>
      <c r="F132" s="1436"/>
      <c r="G132" s="1436"/>
      <c r="H132" s="1436"/>
      <c r="M132" s="299"/>
    </row>
    <row r="133" spans="1:13" s="508" customFormat="1" ht="15" customHeight="1">
      <c r="A133" s="869" t="s">
        <v>179</v>
      </c>
      <c r="B133" s="873"/>
      <c r="C133" s="873"/>
      <c r="D133" s="873"/>
      <c r="E133" s="885"/>
      <c r="F133" s="887"/>
      <c r="G133" s="873"/>
      <c r="H133" s="873"/>
      <c r="M133" s="299"/>
    </row>
    <row r="134" spans="1:13" s="508" customFormat="1" ht="15" customHeight="1">
      <c r="A134" s="869"/>
      <c r="B134" s="873" t="s">
        <v>556</v>
      </c>
      <c r="C134" s="873"/>
      <c r="D134" s="873"/>
      <c r="E134" s="885"/>
      <c r="F134" s="887"/>
      <c r="G134" s="873"/>
      <c r="H134" s="873"/>
      <c r="M134" s="299"/>
    </row>
    <row r="135" spans="1:13" s="508" customFormat="1" ht="15" customHeight="1">
      <c r="A135" s="869" t="s">
        <v>1857</v>
      </c>
      <c r="B135" s="873"/>
      <c r="C135" s="873"/>
      <c r="D135" s="873"/>
      <c r="E135" s="873"/>
      <c r="F135" s="887"/>
      <c r="G135" s="873"/>
      <c r="H135" s="873"/>
      <c r="M135" s="299"/>
    </row>
    <row r="136" spans="1:13" s="508" customFormat="1" ht="28.35" customHeight="1">
      <c r="A136" s="495"/>
      <c r="B136" s="1436" t="s">
        <v>1884</v>
      </c>
      <c r="C136" s="1436"/>
      <c r="D136" s="1436"/>
      <c r="E136" s="1436"/>
      <c r="F136" s="1436"/>
      <c r="G136" s="1436"/>
      <c r="H136" s="1436"/>
      <c r="M136" s="299"/>
    </row>
    <row r="137" spans="1:13" s="508" customFormat="1" ht="15" customHeight="1">
      <c r="A137" s="869" t="s">
        <v>180</v>
      </c>
      <c r="B137" s="873"/>
      <c r="C137" s="873"/>
      <c r="D137" s="873"/>
      <c r="E137" s="885"/>
      <c r="F137" s="887"/>
      <c r="G137" s="873"/>
      <c r="H137" s="873"/>
      <c r="I137" s="879"/>
      <c r="M137" s="307"/>
    </row>
    <row r="138" spans="1:13" s="508" customFormat="1" ht="40.35" customHeight="1">
      <c r="A138" s="869"/>
      <c r="B138" s="1436" t="s">
        <v>1892</v>
      </c>
      <c r="C138" s="1436"/>
      <c r="D138" s="1436"/>
      <c r="E138" s="1436"/>
      <c r="F138" s="1436"/>
      <c r="G138" s="1436"/>
      <c r="H138" s="1436"/>
      <c r="M138" s="299"/>
    </row>
    <row r="139" spans="1:13" s="508" customFormat="1" ht="15" customHeight="1">
      <c r="A139" s="880" t="s">
        <v>1848</v>
      </c>
      <c r="B139" s="873"/>
      <c r="C139" s="873"/>
      <c r="D139" s="873"/>
      <c r="E139" s="873"/>
      <c r="F139" s="887"/>
      <c r="G139" s="873"/>
      <c r="H139" s="873"/>
      <c r="I139" s="879"/>
      <c r="M139" s="307"/>
    </row>
    <row r="140" spans="1:13" s="508" customFormat="1" ht="26.1" customHeight="1">
      <c r="A140" s="880"/>
      <c r="B140" s="1436" t="s">
        <v>1950</v>
      </c>
      <c r="C140" s="1436"/>
      <c r="D140" s="1436"/>
      <c r="E140" s="1436"/>
      <c r="F140" s="1436"/>
      <c r="G140" s="1436"/>
      <c r="H140" s="1436"/>
      <c r="M140" s="299"/>
    </row>
    <row r="141" spans="1:13" s="508" customFormat="1" ht="15" customHeight="1">
      <c r="A141" s="880" t="s">
        <v>1830</v>
      </c>
      <c r="B141" s="873"/>
      <c r="C141" s="873"/>
      <c r="D141" s="873"/>
      <c r="E141" s="885"/>
      <c r="F141" s="887"/>
      <c r="G141" s="873"/>
      <c r="H141" s="873"/>
      <c r="I141" s="879"/>
      <c r="M141" s="307"/>
    </row>
    <row r="142" spans="1:13" s="508" customFormat="1" ht="26.1" customHeight="1">
      <c r="A142" s="880"/>
      <c r="B142" s="1436" t="s">
        <v>1889</v>
      </c>
      <c r="C142" s="1436"/>
      <c r="D142" s="1436"/>
      <c r="E142" s="1436"/>
      <c r="F142" s="1436"/>
      <c r="G142" s="1436"/>
      <c r="H142" s="1436"/>
      <c r="M142" s="299"/>
    </row>
    <row r="143" spans="1:13" s="508" customFormat="1" ht="15" customHeight="1">
      <c r="A143" s="880" t="s">
        <v>1831</v>
      </c>
      <c r="B143" s="873"/>
      <c r="C143" s="873"/>
      <c r="D143" s="873"/>
      <c r="E143" s="885"/>
      <c r="F143" s="887"/>
      <c r="G143" s="873"/>
      <c r="H143" s="873"/>
      <c r="I143" s="879"/>
      <c r="M143" s="307"/>
    </row>
    <row r="144" spans="1:13" s="508" customFormat="1" ht="26.1" customHeight="1">
      <c r="A144" s="880"/>
      <c r="B144" s="1436" t="s">
        <v>1890</v>
      </c>
      <c r="C144" s="1436"/>
      <c r="D144" s="1436"/>
      <c r="E144" s="1436"/>
      <c r="F144" s="1436"/>
      <c r="G144" s="1436"/>
      <c r="H144" s="1436"/>
      <c r="M144" s="299"/>
    </row>
    <row r="145" spans="1:13" s="508" customFormat="1" ht="15" customHeight="1">
      <c r="A145" s="880" t="s">
        <v>1849</v>
      </c>
      <c r="B145" s="873"/>
      <c r="C145" s="873"/>
      <c r="D145" s="873"/>
      <c r="E145" s="885"/>
      <c r="F145" s="887"/>
      <c r="G145" s="873"/>
      <c r="H145" s="873"/>
      <c r="I145" s="879"/>
      <c r="M145" s="307"/>
    </row>
    <row r="146" spans="1:13" s="508" customFormat="1" ht="26.1" customHeight="1">
      <c r="A146" s="880"/>
      <c r="B146" s="1436" t="s">
        <v>557</v>
      </c>
      <c r="C146" s="1436"/>
      <c r="D146" s="1436"/>
      <c r="E146" s="1436"/>
      <c r="F146" s="1436"/>
      <c r="G146" s="1436"/>
      <c r="H146" s="1436"/>
      <c r="M146" s="299"/>
    </row>
    <row r="147" spans="1:13" s="508" customFormat="1" ht="15" customHeight="1">
      <c r="A147" s="880" t="s">
        <v>1850</v>
      </c>
      <c r="B147" s="873"/>
      <c r="C147" s="873"/>
      <c r="D147" s="873"/>
      <c r="E147" s="885"/>
      <c r="F147" s="887"/>
      <c r="G147" s="873"/>
      <c r="H147" s="873"/>
      <c r="I147" s="879"/>
      <c r="M147" s="307"/>
    </row>
    <row r="148" spans="1:13" s="508" customFormat="1" ht="40.35" customHeight="1">
      <c r="A148" s="880"/>
      <c r="B148" s="1436" t="s">
        <v>1891</v>
      </c>
      <c r="C148" s="1436"/>
      <c r="D148" s="1436"/>
      <c r="E148" s="1436"/>
      <c r="F148" s="1436"/>
      <c r="G148" s="1436"/>
      <c r="H148" s="1436"/>
      <c r="M148" s="299"/>
    </row>
    <row r="149" spans="1:13" s="508" customFormat="1" ht="15" customHeight="1">
      <c r="A149" s="869" t="s">
        <v>181</v>
      </c>
      <c r="B149" s="873"/>
      <c r="C149" s="873"/>
      <c r="D149" s="873"/>
      <c r="E149" s="873"/>
      <c r="F149" s="887"/>
      <c r="G149" s="873"/>
      <c r="H149" s="873"/>
      <c r="I149" s="879"/>
      <c r="M149" s="307"/>
    </row>
    <row r="150" spans="1:13" s="508" customFormat="1" ht="26.1" customHeight="1">
      <c r="A150" s="495"/>
      <c r="B150" s="1436" t="s">
        <v>558</v>
      </c>
      <c r="C150" s="1436"/>
      <c r="D150" s="1436"/>
      <c r="E150" s="1436"/>
      <c r="F150" s="1436"/>
      <c r="G150" s="1436"/>
      <c r="H150" s="1436"/>
      <c r="M150" s="299"/>
    </row>
    <row r="151" spans="1:13" s="508" customFormat="1" ht="15" customHeight="1">
      <c r="A151" s="869" t="s">
        <v>182</v>
      </c>
      <c r="B151" s="873"/>
      <c r="C151" s="873"/>
      <c r="D151" s="873"/>
      <c r="E151" s="885"/>
      <c r="F151" s="887"/>
      <c r="G151" s="873"/>
      <c r="H151" s="873"/>
      <c r="I151" s="879"/>
      <c r="M151" s="307"/>
    </row>
    <row r="152" spans="1:13" s="508" customFormat="1" ht="26.1" customHeight="1">
      <c r="A152" s="869"/>
      <c r="B152" s="1436" t="s">
        <v>1887</v>
      </c>
      <c r="C152" s="1436"/>
      <c r="D152" s="1436"/>
      <c r="E152" s="1436"/>
      <c r="F152" s="1436"/>
      <c r="G152" s="1436"/>
      <c r="H152" s="1436"/>
      <c r="M152" s="299"/>
    </row>
    <row r="153" spans="1:13" s="508" customFormat="1" ht="15" customHeight="1">
      <c r="A153" s="869" t="s">
        <v>1851</v>
      </c>
      <c r="B153" s="873"/>
      <c r="C153" s="873"/>
      <c r="D153" s="873"/>
      <c r="E153" s="885"/>
      <c r="F153" s="887"/>
      <c r="G153" s="873"/>
      <c r="H153" s="873"/>
      <c r="I153" s="879"/>
      <c r="M153" s="307"/>
    </row>
    <row r="154" spans="1:13" s="508" customFormat="1" ht="26.1" customHeight="1">
      <c r="A154" s="869"/>
      <c r="B154" s="1436" t="s">
        <v>1888</v>
      </c>
      <c r="C154" s="1436"/>
      <c r="D154" s="1436"/>
      <c r="E154" s="1436"/>
      <c r="F154" s="1436"/>
      <c r="G154" s="1436"/>
      <c r="H154" s="1436"/>
      <c r="M154" s="299"/>
    </row>
    <row r="155" spans="1:13" s="508" customFormat="1" ht="15" customHeight="1">
      <c r="A155" s="869" t="s">
        <v>1843</v>
      </c>
      <c r="B155" s="888"/>
      <c r="C155" s="888"/>
      <c r="D155" s="888"/>
      <c r="E155" s="888"/>
      <c r="F155" s="888"/>
      <c r="G155" s="888"/>
      <c r="H155" s="888"/>
      <c r="I155" s="879"/>
      <c r="M155" s="307"/>
    </row>
    <row r="156" spans="1:13" s="508" customFormat="1" ht="50.1" customHeight="1">
      <c r="A156" s="869"/>
      <c r="B156" s="1436" t="s">
        <v>1886</v>
      </c>
      <c r="C156" s="1436"/>
      <c r="D156" s="1436"/>
      <c r="E156" s="1436"/>
      <c r="F156" s="1436"/>
      <c r="G156" s="1436"/>
      <c r="H156" s="1436"/>
    </row>
    <row r="157" spans="1:13" s="508" customFormat="1" ht="15" customHeight="1">
      <c r="A157" s="869" t="s">
        <v>1847</v>
      </c>
      <c r="B157" s="888"/>
      <c r="C157" s="888"/>
      <c r="D157" s="888"/>
      <c r="E157" s="888"/>
      <c r="F157" s="888"/>
      <c r="G157" s="888"/>
      <c r="H157" s="888"/>
      <c r="I157" s="879"/>
      <c r="M157" s="307"/>
    </row>
    <row r="158" spans="1:13" s="508" customFormat="1" ht="39" customHeight="1">
      <c r="A158" s="869"/>
      <c r="B158" s="1436" t="s">
        <v>559</v>
      </c>
      <c r="C158" s="1436"/>
      <c r="D158" s="1436"/>
      <c r="E158" s="1436"/>
      <c r="F158" s="1436"/>
      <c r="G158" s="1436"/>
      <c r="H158" s="1436"/>
    </row>
    <row r="159" spans="1:13" s="508" customFormat="1" ht="15" customHeight="1">
      <c r="A159" s="869" t="s">
        <v>184</v>
      </c>
      <c r="B159" s="873"/>
      <c r="C159" s="873"/>
      <c r="D159" s="873"/>
      <c r="E159" s="885"/>
      <c r="F159" s="887"/>
      <c r="G159" s="873"/>
      <c r="H159" s="873"/>
      <c r="M159" s="299"/>
    </row>
    <row r="160" spans="1:13" s="508" customFormat="1" ht="26.1" customHeight="1">
      <c r="A160" s="869"/>
      <c r="B160" s="1436" t="s">
        <v>560</v>
      </c>
      <c r="C160" s="1436"/>
      <c r="D160" s="1436"/>
      <c r="E160" s="1436"/>
      <c r="F160" s="1436"/>
      <c r="G160" s="1436"/>
      <c r="H160" s="1436"/>
      <c r="M160" s="299"/>
    </row>
    <row r="161" spans="1:13" s="508" customFormat="1" ht="15" customHeight="1">
      <c r="A161" s="869" t="s">
        <v>1852</v>
      </c>
      <c r="B161" s="873"/>
      <c r="C161" s="873"/>
      <c r="D161" s="873"/>
      <c r="E161" s="885"/>
      <c r="F161" s="887"/>
      <c r="G161" s="873"/>
      <c r="H161" s="873"/>
      <c r="I161" s="879"/>
      <c r="M161" s="307"/>
    </row>
    <row r="162" spans="1:13" s="508" customFormat="1" ht="40.35" customHeight="1">
      <c r="A162" s="869"/>
      <c r="B162" s="1436" t="s">
        <v>1951</v>
      </c>
      <c r="C162" s="1436"/>
      <c r="D162" s="1436"/>
      <c r="E162" s="1436"/>
      <c r="F162" s="1436"/>
      <c r="G162" s="1436"/>
      <c r="H162" s="1436"/>
      <c r="M162" s="299"/>
    </row>
    <row r="163" spans="1:13" s="508" customFormat="1" ht="15" customHeight="1">
      <c r="A163" s="869" t="s">
        <v>2157</v>
      </c>
      <c r="B163" s="873"/>
      <c r="C163" s="873"/>
      <c r="D163" s="873"/>
      <c r="E163" s="873"/>
      <c r="F163" s="887"/>
      <c r="G163" s="873"/>
      <c r="H163" s="873"/>
      <c r="M163" s="299"/>
    </row>
    <row r="164" spans="1:13" s="508" customFormat="1" ht="26.1" customHeight="1">
      <c r="A164" s="495"/>
      <c r="B164" s="1436" t="s">
        <v>2158</v>
      </c>
      <c r="C164" s="1436"/>
      <c r="D164" s="1436"/>
      <c r="E164" s="1436"/>
      <c r="F164" s="1436"/>
      <c r="G164" s="1436"/>
      <c r="H164" s="1436"/>
      <c r="M164" s="299"/>
    </row>
    <row r="165" spans="1:13" s="508" customFormat="1" ht="15" customHeight="1">
      <c r="A165" s="869" t="s">
        <v>561</v>
      </c>
      <c r="B165" s="873"/>
      <c r="C165" s="873"/>
      <c r="D165" s="873"/>
      <c r="E165" s="885"/>
      <c r="F165" s="887"/>
      <c r="G165" s="873"/>
      <c r="H165" s="873"/>
      <c r="M165" s="299"/>
    </row>
    <row r="166" spans="1:13" s="508" customFormat="1" ht="26.1" customHeight="1">
      <c r="A166" s="870"/>
      <c r="B166" s="1436" t="s">
        <v>562</v>
      </c>
      <c r="C166" s="1436"/>
      <c r="D166" s="1436"/>
      <c r="E166" s="1436"/>
      <c r="F166" s="1436"/>
      <c r="G166" s="1436"/>
      <c r="H166" s="1436"/>
      <c r="M166" s="299"/>
    </row>
    <row r="167" spans="1:13" ht="15" customHeight="1">
      <c r="A167" s="349"/>
      <c r="B167" s="350"/>
      <c r="C167" s="350"/>
      <c r="D167" s="350"/>
      <c r="E167" s="350"/>
      <c r="F167" s="352"/>
      <c r="G167" s="350"/>
      <c r="H167" s="350"/>
    </row>
    <row r="168" spans="1:13" ht="15" customHeight="1">
      <c r="A168" s="349"/>
      <c r="B168" s="350"/>
      <c r="C168" s="350"/>
      <c r="D168" s="350"/>
      <c r="E168" s="350"/>
      <c r="F168" s="352"/>
      <c r="G168" s="350"/>
      <c r="H168" s="350"/>
    </row>
    <row r="169" spans="1:13" ht="15" customHeight="1">
      <c r="B169" s="350"/>
      <c r="C169" s="350"/>
      <c r="D169" s="350"/>
      <c r="E169" s="351"/>
      <c r="F169" s="352"/>
      <c r="G169" s="350"/>
      <c r="H169" s="350"/>
    </row>
    <row r="170" spans="1:13" ht="15" customHeight="1">
      <c r="A170" s="349"/>
      <c r="B170" s="350"/>
      <c r="C170" s="350"/>
      <c r="D170" s="350"/>
      <c r="E170" s="351"/>
      <c r="F170" s="352"/>
      <c r="G170" s="350"/>
      <c r="H170" s="350"/>
    </row>
    <row r="171" spans="1:13" ht="15" customHeight="1">
      <c r="A171" s="349"/>
      <c r="B171" s="350"/>
      <c r="C171" s="350"/>
      <c r="D171" s="350"/>
      <c r="E171" s="351"/>
      <c r="F171" s="352"/>
      <c r="G171" s="350"/>
      <c r="H171" s="350"/>
    </row>
    <row r="172" spans="1:13" ht="15" customHeight="1">
      <c r="A172" s="349"/>
      <c r="B172" s="350"/>
      <c r="C172" s="350"/>
      <c r="D172" s="350"/>
      <c r="E172" s="350"/>
      <c r="F172" s="352"/>
      <c r="G172" s="350"/>
      <c r="H172" s="350"/>
    </row>
    <row r="173" spans="1:13" ht="15" customHeight="1">
      <c r="A173" s="349"/>
      <c r="B173" s="350"/>
      <c r="C173" s="350"/>
      <c r="D173" s="350"/>
      <c r="E173" s="350"/>
      <c r="F173" s="352"/>
      <c r="G173" s="350"/>
      <c r="H173" s="350"/>
    </row>
    <row r="174" spans="1:13" ht="15" customHeight="1">
      <c r="B174" s="350"/>
      <c r="C174" s="350"/>
      <c r="D174" s="350"/>
      <c r="E174" s="351"/>
      <c r="F174" s="352"/>
      <c r="G174" s="350"/>
      <c r="H174" s="350"/>
    </row>
    <row r="175" spans="1:13" ht="15" customHeight="1">
      <c r="A175" s="349"/>
      <c r="B175" s="350"/>
      <c r="C175" s="350"/>
      <c r="D175" s="350"/>
      <c r="E175" s="351"/>
      <c r="F175" s="352"/>
      <c r="G175" s="350"/>
      <c r="H175" s="350"/>
    </row>
    <row r="176" spans="1:13" ht="15" customHeight="1">
      <c r="A176" s="349"/>
      <c r="B176" s="350"/>
      <c r="C176" s="350"/>
      <c r="D176" s="350"/>
      <c r="E176" s="351"/>
      <c r="F176" s="352"/>
      <c r="G176" s="350"/>
      <c r="H176" s="350"/>
    </row>
    <row r="177" spans="1:8" ht="15" customHeight="1">
      <c r="A177" s="349"/>
      <c r="B177" s="350"/>
      <c r="C177" s="350"/>
      <c r="D177" s="350"/>
      <c r="E177" s="350"/>
      <c r="F177" s="352"/>
      <c r="G177" s="350"/>
      <c r="H177" s="350"/>
    </row>
    <row r="178" spans="1:8" ht="15" customHeight="1">
      <c r="A178" s="349"/>
      <c r="B178" s="350"/>
      <c r="C178" s="350"/>
      <c r="D178" s="350"/>
      <c r="E178" s="350"/>
      <c r="F178" s="352"/>
      <c r="G178" s="350"/>
      <c r="H178" s="350"/>
    </row>
    <row r="179" spans="1:8" ht="15" customHeight="1">
      <c r="A179" s="349"/>
      <c r="B179" s="350"/>
      <c r="C179" s="350"/>
      <c r="D179" s="350"/>
      <c r="E179" s="350"/>
      <c r="F179" s="350"/>
      <c r="G179" s="350"/>
      <c r="H179" s="350"/>
    </row>
    <row r="180" spans="1:8" ht="15" customHeight="1">
      <c r="A180" s="349"/>
      <c r="B180" s="350"/>
      <c r="C180" s="350"/>
      <c r="D180" s="350"/>
      <c r="E180" s="350"/>
      <c r="F180" s="350"/>
      <c r="G180" s="350"/>
      <c r="H180" s="350"/>
    </row>
    <row r="181" spans="1:8" ht="15" customHeight="1">
      <c r="A181" s="349"/>
      <c r="B181" s="350"/>
      <c r="C181" s="350"/>
      <c r="D181" s="350"/>
      <c r="E181" s="350"/>
      <c r="F181" s="350"/>
      <c r="G181" s="350"/>
      <c r="H181" s="350"/>
    </row>
    <row r="182" spans="1:8" ht="15" customHeight="1">
      <c r="A182" s="349"/>
      <c r="B182" s="350"/>
      <c r="C182" s="350"/>
      <c r="D182" s="350"/>
      <c r="E182" s="350"/>
      <c r="F182" s="350"/>
      <c r="G182" s="350"/>
      <c r="H182" s="350"/>
    </row>
    <row r="183" spans="1:8" ht="15" customHeight="1">
      <c r="A183" s="349"/>
      <c r="B183" s="350"/>
      <c r="C183" s="350"/>
      <c r="D183" s="350"/>
      <c r="E183" s="350"/>
      <c r="F183" s="350"/>
      <c r="G183" s="350"/>
      <c r="H183" s="350"/>
    </row>
    <row r="184" spans="1:8" ht="15" customHeight="1">
      <c r="A184" s="349"/>
      <c r="B184" s="350"/>
      <c r="C184" s="350"/>
      <c r="D184" s="350"/>
      <c r="E184" s="350"/>
      <c r="F184" s="350"/>
      <c r="G184" s="350"/>
      <c r="H184" s="350"/>
    </row>
    <row r="185" spans="1:8" ht="15" customHeight="1">
      <c r="A185" s="349"/>
      <c r="B185" s="350"/>
      <c r="C185" s="350"/>
      <c r="D185" s="350"/>
      <c r="E185" s="350"/>
      <c r="F185" s="350"/>
      <c r="G185" s="350"/>
      <c r="H185" s="350"/>
    </row>
    <row r="186" spans="1:8" ht="15" customHeight="1">
      <c r="A186" s="349"/>
      <c r="B186" s="350"/>
      <c r="C186" s="350"/>
      <c r="D186" s="350"/>
      <c r="E186" s="350"/>
      <c r="F186" s="350"/>
      <c r="G186" s="350"/>
      <c r="H186" s="350"/>
    </row>
    <row r="187" spans="1:8" ht="15" customHeight="1">
      <c r="A187" s="349"/>
      <c r="B187" s="350"/>
      <c r="C187" s="350"/>
      <c r="D187" s="350"/>
      <c r="E187" s="350"/>
      <c r="F187" s="350"/>
      <c r="G187" s="350"/>
      <c r="H187" s="350"/>
    </row>
    <row r="188" spans="1:8" ht="15" customHeight="1">
      <c r="A188" s="349"/>
      <c r="B188" s="350"/>
      <c r="C188" s="350"/>
      <c r="D188" s="350"/>
      <c r="E188" s="350"/>
      <c r="F188" s="350"/>
      <c r="G188" s="350"/>
      <c r="H188" s="350"/>
    </row>
    <row r="189" spans="1:8" ht="15" customHeight="1">
      <c r="A189" s="349"/>
      <c r="B189" s="350"/>
      <c r="C189" s="350"/>
      <c r="D189" s="350"/>
      <c r="E189" s="350"/>
      <c r="F189" s="350"/>
      <c r="G189" s="350"/>
      <c r="H189" s="350"/>
    </row>
    <row r="190" spans="1:8" ht="15" customHeight="1">
      <c r="A190" s="349"/>
      <c r="B190" s="350"/>
      <c r="C190" s="350"/>
      <c r="D190" s="350"/>
      <c r="E190" s="350"/>
      <c r="F190" s="350"/>
      <c r="G190" s="350"/>
      <c r="H190" s="350"/>
    </row>
    <row r="191" spans="1:8" ht="15" customHeight="1">
      <c r="A191" s="349"/>
      <c r="B191" s="350"/>
      <c r="C191" s="350"/>
      <c r="D191" s="350"/>
      <c r="E191" s="350"/>
      <c r="F191" s="350"/>
      <c r="G191" s="350"/>
      <c r="H191" s="350"/>
    </row>
  </sheetData>
  <sheetProtection selectLockedCells="1"/>
  <mergeCells count="140">
    <mergeCell ref="F5:H5"/>
    <mergeCell ref="A7:C7"/>
    <mergeCell ref="A8:C8"/>
    <mergeCell ref="A9:C9"/>
    <mergeCell ref="A10:C10"/>
    <mergeCell ref="A11:C11"/>
    <mergeCell ref="A33:C34"/>
    <mergeCell ref="D12:D13"/>
    <mergeCell ref="E12:E13"/>
    <mergeCell ref="D5:D6"/>
    <mergeCell ref="E5:E6"/>
    <mergeCell ref="F19:H19"/>
    <mergeCell ref="A21:C21"/>
    <mergeCell ref="A22:C22"/>
    <mergeCell ref="F12:H12"/>
    <mergeCell ref="A14:C14"/>
    <mergeCell ref="A15:C15"/>
    <mergeCell ref="A16:C16"/>
    <mergeCell ref="A17:C17"/>
    <mergeCell ref="A18:C18"/>
    <mergeCell ref="A5:C6"/>
    <mergeCell ref="E40:E41"/>
    <mergeCell ref="A12:C13"/>
    <mergeCell ref="D33:D34"/>
    <mergeCell ref="E33:E34"/>
    <mergeCell ref="F33:H33"/>
    <mergeCell ref="A35:C35"/>
    <mergeCell ref="A36:C36"/>
    <mergeCell ref="F26:H26"/>
    <mergeCell ref="A28:C28"/>
    <mergeCell ref="A29:C29"/>
    <mergeCell ref="A30:C30"/>
    <mergeCell ref="A31:C31"/>
    <mergeCell ref="A32:C32"/>
    <mergeCell ref="A23:C23"/>
    <mergeCell ref="A24:C24"/>
    <mergeCell ref="A25:C25"/>
    <mergeCell ref="A19:C20"/>
    <mergeCell ref="D26:D27"/>
    <mergeCell ref="E26:E27"/>
    <mergeCell ref="A26:C27"/>
    <mergeCell ref="D19:D20"/>
    <mergeCell ref="E19:E20"/>
    <mergeCell ref="F40:H40"/>
    <mergeCell ref="D40:D41"/>
    <mergeCell ref="A42:C42"/>
    <mergeCell ref="A43:C43"/>
    <mergeCell ref="A44:C44"/>
    <mergeCell ref="A45:C45"/>
    <mergeCell ref="A46:C46"/>
    <mergeCell ref="A37:C37"/>
    <mergeCell ref="A38:C38"/>
    <mergeCell ref="A39:C39"/>
    <mergeCell ref="A40:C41"/>
    <mergeCell ref="D53:D54"/>
    <mergeCell ref="E53:E54"/>
    <mergeCell ref="F53:H53"/>
    <mergeCell ref="A48:B48"/>
    <mergeCell ref="A49:C50"/>
    <mergeCell ref="D49:D50"/>
    <mergeCell ref="E49:E50"/>
    <mergeCell ref="F49:H49"/>
    <mergeCell ref="A51:C51"/>
    <mergeCell ref="B55:C55"/>
    <mergeCell ref="B57:C57"/>
    <mergeCell ref="B58:C58"/>
    <mergeCell ref="B59:C59"/>
    <mergeCell ref="B61:C61"/>
    <mergeCell ref="B62:C62"/>
    <mergeCell ref="A52:B52"/>
    <mergeCell ref="A53:A54"/>
    <mergeCell ref="B53:C54"/>
    <mergeCell ref="B56:C56"/>
    <mergeCell ref="B60:C60"/>
    <mergeCell ref="B73:C73"/>
    <mergeCell ref="B75:C75"/>
    <mergeCell ref="B77:C77"/>
    <mergeCell ref="B79:D79"/>
    <mergeCell ref="E79:F79"/>
    <mergeCell ref="G79:H79"/>
    <mergeCell ref="B63:C63"/>
    <mergeCell ref="B64:C64"/>
    <mergeCell ref="B65:C65"/>
    <mergeCell ref="B70:C70"/>
    <mergeCell ref="B71:C71"/>
    <mergeCell ref="B72:C72"/>
    <mergeCell ref="B76:C76"/>
    <mergeCell ref="B66:C66"/>
    <mergeCell ref="B67:C67"/>
    <mergeCell ref="B68:C68"/>
    <mergeCell ref="B69:C69"/>
    <mergeCell ref="B74:C74"/>
    <mergeCell ref="B78:C78"/>
    <mergeCell ref="J98:W98"/>
    <mergeCell ref="B83:D83"/>
    <mergeCell ref="E83:F83"/>
    <mergeCell ref="B84:H84"/>
    <mergeCell ref="B85:H85"/>
    <mergeCell ref="B86:H86"/>
    <mergeCell ref="B80:D80"/>
    <mergeCell ref="E80:F80"/>
    <mergeCell ref="G80:H83"/>
    <mergeCell ref="B81:D81"/>
    <mergeCell ref="E81:F81"/>
    <mergeCell ref="B82:D82"/>
    <mergeCell ref="E82:F82"/>
    <mergeCell ref="A90:H90"/>
    <mergeCell ref="B120:H120"/>
    <mergeCell ref="B122:H122"/>
    <mergeCell ref="B124:H124"/>
    <mergeCell ref="B126:H126"/>
    <mergeCell ref="B128:H128"/>
    <mergeCell ref="B130:H130"/>
    <mergeCell ref="B132:H132"/>
    <mergeCell ref="B136:H136"/>
    <mergeCell ref="B138:H138"/>
    <mergeCell ref="B104:H104"/>
    <mergeCell ref="B87:H87"/>
    <mergeCell ref="A91:H91"/>
    <mergeCell ref="B97:H97"/>
    <mergeCell ref="B98:H98"/>
    <mergeCell ref="B95:H95"/>
    <mergeCell ref="B111:H111"/>
    <mergeCell ref="B116:H116"/>
    <mergeCell ref="B118:H118"/>
    <mergeCell ref="B113:H113"/>
    <mergeCell ref="B158:H158"/>
    <mergeCell ref="B160:H160"/>
    <mergeCell ref="B162:H162"/>
    <mergeCell ref="B164:H164"/>
    <mergeCell ref="B166:H166"/>
    <mergeCell ref="B140:H140"/>
    <mergeCell ref="B142:H142"/>
    <mergeCell ref="B144:H144"/>
    <mergeCell ref="B146:H146"/>
    <mergeCell ref="B148:H148"/>
    <mergeCell ref="B150:H150"/>
    <mergeCell ref="B152:H152"/>
    <mergeCell ref="B154:H154"/>
    <mergeCell ref="B156:H156"/>
  </mergeCells>
  <phoneticPr fontId="17"/>
  <printOptions horizontalCentered="1"/>
  <pageMargins left="0.70866141732283472" right="0.70866141732283472" top="0.55118110236220474" bottom="0.55118110236220474" header="0.31496062992125984" footer="0.31496062992125984"/>
  <pageSetup paperSize="9" scale="88" fitToHeight="0" orientation="portrait" r:id="rId1"/>
  <headerFooter>
    <oddFooter>&amp;L【通所介護_BMC】&amp;C&amp;P</oddFooter>
  </headerFooter>
  <rowBreaks count="2" manualBreakCount="2">
    <brk id="51" max="16383" man="1"/>
    <brk id="92"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Z75"/>
  <sheetViews>
    <sheetView view="pageBreakPreview" topLeftCell="A31" zoomScale="145" zoomScaleNormal="100" zoomScaleSheetLayoutView="145" workbookViewId="0">
      <selection sqref="A1:T2"/>
    </sheetView>
  </sheetViews>
  <sheetFormatPr defaultColWidth="9" defaultRowHeight="15" customHeight="1"/>
  <cols>
    <col min="1" max="1" width="4.625" style="1003" customWidth="1"/>
    <col min="2" max="3" width="4.625" style="1057" customWidth="1"/>
    <col min="4" max="20" width="4.625" style="1003" customWidth="1"/>
    <col min="21" max="21" width="0" style="1003" hidden="1" customWidth="1"/>
    <col min="22" max="22" width="4.625" style="1003" hidden="1" customWidth="1"/>
    <col min="23" max="24" width="4.625" style="1004" hidden="1" customWidth="1"/>
    <col min="25" max="42" width="4.625" style="1003" customWidth="1"/>
    <col min="43" max="16384" width="9" style="1003"/>
  </cols>
  <sheetData>
    <row r="1" spans="1:26" s="5" customFormat="1" ht="15" customHeight="1">
      <c r="B1" s="998"/>
      <c r="C1" s="998"/>
      <c r="H1" s="998"/>
      <c r="K1" s="1045"/>
      <c r="L1" s="1045"/>
      <c r="M1" s="1045"/>
      <c r="N1" s="1051"/>
      <c r="O1" s="1045"/>
      <c r="P1" s="1045"/>
      <c r="Q1" s="1045"/>
      <c r="R1" s="1045"/>
      <c r="S1" s="1045"/>
      <c r="T1" s="1001"/>
      <c r="W1" s="494"/>
      <c r="X1" s="494"/>
    </row>
    <row r="2" spans="1:26" s="5" customFormat="1" ht="15" customHeight="1">
      <c r="B2" s="998"/>
      <c r="C2" s="998"/>
      <c r="H2" s="998"/>
      <c r="K2" s="1045"/>
      <c r="L2" s="1045"/>
      <c r="M2" s="1045"/>
      <c r="N2" s="1051"/>
      <c r="O2" s="1045"/>
      <c r="P2" s="1045"/>
      <c r="Q2" s="1045"/>
      <c r="R2" s="1045"/>
      <c r="S2" s="1045"/>
      <c r="T2" s="1001"/>
      <c r="W2" s="494"/>
      <c r="X2" s="494"/>
    </row>
    <row r="3" spans="1:26" s="5" customFormat="1" ht="15" customHeight="1">
      <c r="B3" s="998"/>
      <c r="C3" s="998"/>
      <c r="H3" s="998"/>
      <c r="K3" s="1045"/>
      <c r="L3" s="1045"/>
      <c r="M3" s="1045"/>
      <c r="N3" s="1051"/>
      <c r="O3" s="1045"/>
      <c r="P3" s="1045"/>
      <c r="Q3" s="1045"/>
      <c r="R3" s="1045"/>
      <c r="S3" s="1045"/>
      <c r="T3" s="1001"/>
      <c r="W3" s="494"/>
      <c r="X3" s="494"/>
      <c r="Z3" s="1005"/>
    </row>
    <row r="4" spans="1:26" s="5" customFormat="1" ht="15" customHeight="1">
      <c r="B4" s="998"/>
      <c r="C4" s="998"/>
      <c r="H4" s="998"/>
      <c r="K4" s="1045"/>
      <c r="L4" s="1045"/>
      <c r="M4" s="1045"/>
      <c r="N4" s="1051"/>
      <c r="O4" s="1045"/>
      <c r="P4" s="1045"/>
      <c r="Q4" s="1045"/>
      <c r="R4" s="1045"/>
      <c r="S4" s="1045"/>
      <c r="T4" s="1001"/>
      <c r="W4" s="494"/>
      <c r="X4" s="494"/>
      <c r="Z4" s="1005"/>
    </row>
    <row r="5" spans="1:26" s="5" customFormat="1" ht="15" customHeight="1">
      <c r="B5" s="998"/>
      <c r="C5" s="998"/>
      <c r="H5" s="998"/>
      <c r="K5" s="1045"/>
      <c r="L5" s="1045"/>
      <c r="M5" s="1045"/>
      <c r="N5" s="1051"/>
      <c r="O5" s="1045"/>
      <c r="P5" s="1045"/>
      <c r="Q5" s="1045"/>
      <c r="R5" s="1045"/>
      <c r="S5" s="1045"/>
      <c r="T5" s="1001"/>
      <c r="W5" s="494"/>
      <c r="X5" s="494"/>
    </row>
    <row r="6" spans="1:26" s="5" customFormat="1" ht="15" customHeight="1">
      <c r="A6" s="1258" t="s">
        <v>2144</v>
      </c>
      <c r="B6" s="1258"/>
      <c r="C6" s="1258"/>
      <c r="D6" s="1258"/>
      <c r="E6" s="1258"/>
      <c r="F6" s="1258"/>
      <c r="G6" s="1258"/>
      <c r="H6" s="1258"/>
      <c r="I6" s="1258"/>
      <c r="J6" s="1258"/>
      <c r="K6" s="1258"/>
      <c r="L6" s="1258"/>
      <c r="M6" s="1258"/>
      <c r="N6" s="1258"/>
      <c r="O6" s="1258"/>
      <c r="P6" s="1258"/>
      <c r="Q6" s="1258"/>
      <c r="R6" s="1258"/>
      <c r="S6" s="1258"/>
      <c r="T6" s="1258"/>
      <c r="W6" s="494"/>
      <c r="X6" s="494"/>
    </row>
    <row r="7" spans="1:26" s="5" customFormat="1" ht="15" customHeight="1">
      <c r="A7" s="1258"/>
      <c r="B7" s="1258"/>
      <c r="C7" s="1258"/>
      <c r="D7" s="1258"/>
      <c r="E7" s="1258"/>
      <c r="F7" s="1258"/>
      <c r="G7" s="1258"/>
      <c r="H7" s="1258"/>
      <c r="I7" s="1258"/>
      <c r="J7" s="1258"/>
      <c r="K7" s="1258"/>
      <c r="L7" s="1258"/>
      <c r="M7" s="1258"/>
      <c r="N7" s="1258"/>
      <c r="O7" s="1258"/>
      <c r="P7" s="1258"/>
      <c r="Q7" s="1258"/>
      <c r="R7" s="1258"/>
      <c r="S7" s="1258"/>
      <c r="T7" s="1258"/>
      <c r="W7" s="494"/>
      <c r="X7" s="494"/>
    </row>
    <row r="8" spans="1:26" s="5" customFormat="1" ht="15" customHeight="1">
      <c r="A8" s="548"/>
      <c r="B8" s="548"/>
      <c r="C8" s="548"/>
      <c r="D8" s="548"/>
      <c r="E8" s="548"/>
      <c r="F8" s="548"/>
      <c r="G8" s="548"/>
      <c r="H8" s="548"/>
      <c r="I8" s="548"/>
      <c r="J8" s="548"/>
      <c r="K8" s="548"/>
      <c r="L8" s="548"/>
      <c r="M8" s="548"/>
      <c r="N8" s="548"/>
      <c r="O8" s="548"/>
      <c r="P8" s="548"/>
      <c r="Q8" s="548"/>
      <c r="R8" s="548"/>
      <c r="S8" s="548"/>
      <c r="T8" s="548"/>
      <c r="W8" s="494"/>
      <c r="X8" s="494"/>
    </row>
    <row r="9" spans="1:26" s="5" customFormat="1" ht="15" customHeight="1">
      <c r="A9" s="548"/>
      <c r="B9" s="548"/>
      <c r="C9" s="548"/>
      <c r="D9" s="548"/>
      <c r="E9" s="548"/>
      <c r="F9" s="548"/>
      <c r="G9" s="548"/>
      <c r="H9" s="548"/>
      <c r="I9" s="548"/>
      <c r="J9" s="548"/>
      <c r="K9" s="548"/>
      <c r="L9" s="548"/>
      <c r="M9" s="548"/>
      <c r="N9" s="548"/>
      <c r="O9" s="548"/>
      <c r="P9" s="548"/>
      <c r="Q9" s="548"/>
      <c r="R9" s="548"/>
      <c r="S9" s="548"/>
      <c r="T9" s="548"/>
      <c r="W9" s="494"/>
      <c r="X9" s="494"/>
    </row>
    <row r="10" spans="1:26" s="5" customFormat="1" ht="15" customHeight="1">
      <c r="B10" s="998"/>
      <c r="C10" s="1001"/>
      <c r="D10" s="5" t="s">
        <v>488</v>
      </c>
      <c r="E10" s="1001"/>
      <c r="F10" s="1001"/>
      <c r="G10" s="1001"/>
      <c r="H10" s="1001"/>
      <c r="I10" s="1001"/>
      <c r="J10" s="1001"/>
      <c r="K10" s="1001"/>
      <c r="L10" s="1001"/>
      <c r="M10" s="1001"/>
      <c r="N10" s="1001"/>
      <c r="O10" s="1001"/>
      <c r="P10" s="1001"/>
      <c r="Q10" s="1001"/>
      <c r="R10" s="1001"/>
      <c r="S10" s="1001"/>
      <c r="T10" s="1001"/>
      <c r="W10" s="494"/>
      <c r="X10" s="494"/>
    </row>
    <row r="11" spans="1:26" s="5" customFormat="1" ht="15" customHeight="1">
      <c r="B11" s="998"/>
      <c r="C11" s="1001"/>
      <c r="D11" s="1001"/>
      <c r="E11" s="1001"/>
      <c r="F11" s="1001"/>
      <c r="G11" s="1001"/>
      <c r="H11" s="1001"/>
      <c r="I11" s="1001"/>
      <c r="J11" s="1001"/>
      <c r="K11" s="1001"/>
      <c r="L11" s="1001"/>
      <c r="M11" s="1001"/>
      <c r="N11" s="1001"/>
      <c r="O11" s="1001"/>
      <c r="P11" s="1001"/>
      <c r="Q11" s="1001"/>
      <c r="R11" s="1001"/>
      <c r="S11" s="1001"/>
      <c r="T11" s="1001"/>
      <c r="W11" s="494"/>
      <c r="X11" s="494"/>
    </row>
    <row r="12" spans="1:26" s="5" customFormat="1" ht="15" customHeight="1">
      <c r="B12" s="998"/>
      <c r="C12" s="998" t="s">
        <v>489</v>
      </c>
      <c r="D12" s="1001"/>
      <c r="E12" s="1001"/>
      <c r="F12" s="1001"/>
      <c r="G12" s="1001"/>
      <c r="H12" s="1049" t="s">
        <v>490</v>
      </c>
      <c r="K12" s="1483" t="str">
        <f>DBCS(【マスター】!F22&amp;【マスター】!C23)</f>
        <v>愛知県豊川市大堀町２９３番地</v>
      </c>
      <c r="L12" s="1483"/>
      <c r="M12" s="1483"/>
      <c r="N12" s="1483"/>
      <c r="O12" s="1483"/>
      <c r="P12" s="1483"/>
      <c r="Q12" s="1483"/>
      <c r="R12" s="1483"/>
      <c r="S12" s="1483"/>
      <c r="T12" s="1483"/>
      <c r="W12" s="494"/>
      <c r="X12" s="494"/>
    </row>
    <row r="13" spans="1:26" s="5" customFormat="1" ht="15" customHeight="1">
      <c r="B13" s="998"/>
      <c r="C13" s="998"/>
      <c r="H13" s="1049" t="s">
        <v>491</v>
      </c>
      <c r="K13" s="1258" t="str">
        <f>DBCS(【マスター】!C21)</f>
        <v>株式会社ケアサポート</v>
      </c>
      <c r="L13" s="1258"/>
      <c r="M13" s="1258"/>
      <c r="N13" s="1258"/>
      <c r="O13" s="1258"/>
      <c r="P13" s="1258"/>
      <c r="Q13" s="1258"/>
      <c r="R13" s="1258"/>
      <c r="S13" s="1258"/>
      <c r="T13" s="1258"/>
      <c r="W13" s="494"/>
      <c r="X13" s="494"/>
    </row>
    <row r="14" spans="1:26" s="5" customFormat="1" ht="15" customHeight="1">
      <c r="B14" s="998"/>
      <c r="C14" s="998"/>
      <c r="H14" s="1049" t="s">
        <v>492</v>
      </c>
      <c r="K14" s="1258" t="str">
        <f>DBCS(【マスター】!C25&amp;" "&amp;【マスター】!I25)</f>
        <v>代表取締役　本多康夫</v>
      </c>
      <c r="L14" s="1258"/>
      <c r="M14" s="1258"/>
      <c r="N14" s="1258"/>
      <c r="O14" s="1258"/>
      <c r="P14" s="1258"/>
      <c r="Q14" s="1258"/>
      <c r="R14" s="1258"/>
      <c r="S14" s="1258"/>
      <c r="T14" s="1052" t="s">
        <v>493</v>
      </c>
      <c r="W14" s="494"/>
      <c r="X14" s="494"/>
    </row>
    <row r="15" spans="1:26" s="5" customFormat="1" ht="15" customHeight="1">
      <c r="B15" s="998"/>
      <c r="C15" s="1001"/>
      <c r="D15" s="1001"/>
      <c r="E15" s="1001"/>
      <c r="F15" s="1001"/>
      <c r="G15" s="1001"/>
      <c r="H15" s="1001"/>
      <c r="I15" s="1001"/>
      <c r="J15" s="1001"/>
      <c r="K15" s="1001"/>
      <c r="L15" s="1001"/>
      <c r="M15" s="1001"/>
      <c r="N15" s="1001"/>
      <c r="O15" s="1001"/>
      <c r="P15" s="1001"/>
      <c r="Q15" s="1001"/>
      <c r="R15" s="1001"/>
      <c r="S15" s="1001"/>
      <c r="T15" s="1001"/>
      <c r="W15" s="494"/>
      <c r="X15" s="494"/>
    </row>
    <row r="16" spans="1:26" s="5" customFormat="1" ht="15" customHeight="1">
      <c r="B16" s="998"/>
      <c r="C16" s="998" t="s">
        <v>494</v>
      </c>
      <c r="D16" s="1001"/>
      <c r="E16" s="1001"/>
      <c r="F16" s="1001"/>
      <c r="G16" s="1001"/>
      <c r="H16" s="998" t="s">
        <v>78</v>
      </c>
      <c r="I16" s="1001"/>
      <c r="J16" s="1001"/>
      <c r="K16" s="1258" t="str">
        <f>DBCS(【マスター】!C7)</f>
        <v>デイサービスさつきの湯</v>
      </c>
      <c r="L16" s="1258"/>
      <c r="M16" s="1258"/>
      <c r="N16" s="1258"/>
      <c r="O16" s="1258"/>
      <c r="P16" s="1258"/>
      <c r="Q16" s="1258"/>
      <c r="R16" s="1258"/>
      <c r="S16" s="1258"/>
      <c r="T16" s="1258"/>
      <c r="W16" s="494"/>
      <c r="X16" s="494"/>
    </row>
    <row r="17" spans="1:24" s="5" customFormat="1" ht="15" customHeight="1">
      <c r="B17" s="998"/>
      <c r="C17" s="998"/>
      <c r="D17" s="1001"/>
      <c r="E17" s="1001"/>
      <c r="F17" s="1001"/>
      <c r="G17" s="1001"/>
      <c r="H17" s="998"/>
      <c r="I17" s="1001"/>
      <c r="J17" s="1001"/>
      <c r="K17" s="548"/>
      <c r="L17" s="548"/>
      <c r="M17" s="548"/>
      <c r="N17" s="548"/>
      <c r="O17" s="548"/>
      <c r="P17" s="548"/>
      <c r="Q17" s="548"/>
      <c r="R17" s="548"/>
      <c r="S17" s="548"/>
      <c r="T17" s="548"/>
      <c r="W17" s="494"/>
      <c r="X17" s="494"/>
    </row>
    <row r="18" spans="1:24" s="5" customFormat="1" ht="15" customHeight="1">
      <c r="B18" s="998"/>
      <c r="C18" s="998"/>
      <c r="H18" s="5" t="s">
        <v>495</v>
      </c>
      <c r="K18" s="1484"/>
      <c r="L18" s="1484"/>
      <c r="M18" s="1484"/>
      <c r="N18" s="1484"/>
      <c r="O18" s="1484"/>
      <c r="P18" s="1484"/>
      <c r="Q18" s="1484"/>
      <c r="R18" s="1484"/>
      <c r="S18" s="1484"/>
      <c r="T18" s="1053" t="s">
        <v>493</v>
      </c>
      <c r="W18" s="494"/>
      <c r="X18" s="494"/>
    </row>
    <row r="19" spans="1:24" s="5" customFormat="1" ht="15" customHeight="1">
      <c r="B19" s="998"/>
      <c r="C19" s="998"/>
      <c r="W19" s="494"/>
      <c r="X19" s="494"/>
    </row>
    <row r="20" spans="1:24" s="5" customFormat="1" ht="15" customHeight="1">
      <c r="B20" s="998"/>
      <c r="C20" s="998"/>
      <c r="W20" s="494"/>
      <c r="X20" s="494"/>
    </row>
    <row r="21" spans="1:24" s="5" customFormat="1" ht="15" customHeight="1">
      <c r="B21" s="998"/>
      <c r="C21" s="998"/>
      <c r="W21" s="494"/>
      <c r="X21" s="494"/>
    </row>
    <row r="22" spans="1:24" s="5" customFormat="1" ht="15" customHeight="1">
      <c r="A22" s="1258" t="s">
        <v>2145</v>
      </c>
      <c r="B22" s="1258"/>
      <c r="C22" s="1258"/>
      <c r="D22" s="1258"/>
      <c r="E22" s="1258"/>
      <c r="F22" s="1258"/>
      <c r="G22" s="1258"/>
      <c r="H22" s="1258"/>
      <c r="I22" s="1258"/>
      <c r="J22" s="1258"/>
      <c r="K22" s="1258"/>
      <c r="L22" s="1258"/>
      <c r="M22" s="1258"/>
      <c r="N22" s="1258"/>
      <c r="O22" s="1258"/>
      <c r="P22" s="1258"/>
      <c r="Q22" s="1258"/>
      <c r="R22" s="1258"/>
      <c r="S22" s="1258"/>
      <c r="T22" s="1258"/>
      <c r="W22" s="494"/>
      <c r="X22" s="494"/>
    </row>
    <row r="23" spans="1:24" s="5" customFormat="1" ht="15" customHeight="1">
      <c r="A23" s="1258"/>
      <c r="B23" s="1258"/>
      <c r="C23" s="1258"/>
      <c r="D23" s="1258"/>
      <c r="E23" s="1258"/>
      <c r="F23" s="1258"/>
      <c r="G23" s="1258"/>
      <c r="H23" s="1258"/>
      <c r="I23" s="1258"/>
      <c r="J23" s="1258"/>
      <c r="K23" s="1258"/>
      <c r="L23" s="1258"/>
      <c r="M23" s="1258"/>
      <c r="N23" s="1258"/>
      <c r="O23" s="1258"/>
      <c r="P23" s="1258"/>
      <c r="Q23" s="1258"/>
      <c r="R23" s="1258"/>
      <c r="S23" s="1258"/>
      <c r="T23" s="1258"/>
      <c r="W23" s="494"/>
      <c r="X23" s="494"/>
    </row>
    <row r="24" spans="1:24" s="5" customFormat="1" ht="15" customHeight="1">
      <c r="A24" s="548"/>
      <c r="B24" s="548"/>
      <c r="C24" s="548"/>
      <c r="D24" s="548"/>
      <c r="E24" s="548"/>
      <c r="F24" s="548"/>
      <c r="G24" s="548"/>
      <c r="H24" s="548"/>
      <c r="I24" s="548"/>
      <c r="J24" s="548"/>
      <c r="K24" s="548"/>
      <c r="L24" s="548"/>
      <c r="M24" s="548"/>
      <c r="N24" s="548"/>
      <c r="O24" s="548"/>
      <c r="P24" s="548"/>
      <c r="Q24" s="548"/>
      <c r="R24" s="548"/>
      <c r="S24" s="548"/>
      <c r="T24" s="548"/>
      <c r="W24" s="494"/>
      <c r="X24" s="494"/>
    </row>
    <row r="25" spans="1:24" s="5" customFormat="1" ht="15" customHeight="1">
      <c r="A25" s="548"/>
      <c r="B25" s="548"/>
      <c r="C25" s="548"/>
      <c r="D25" s="548"/>
      <c r="E25" s="548"/>
      <c r="F25" s="548"/>
      <c r="G25" s="548"/>
      <c r="H25" s="548"/>
      <c r="I25" s="548"/>
      <c r="J25" s="548"/>
      <c r="K25" s="548"/>
      <c r="L25" s="548"/>
      <c r="M25" s="548"/>
      <c r="N25" s="548"/>
      <c r="O25" s="548"/>
      <c r="P25" s="548"/>
      <c r="Q25" s="548"/>
      <c r="R25" s="548"/>
      <c r="S25" s="548"/>
      <c r="T25" s="548"/>
      <c r="W25" s="494"/>
      <c r="X25" s="494"/>
    </row>
    <row r="26" spans="1:24" s="5" customFormat="1" ht="15" customHeight="1">
      <c r="B26" s="548"/>
      <c r="C26" s="548"/>
      <c r="D26" s="5" t="s">
        <v>488</v>
      </c>
      <c r="E26" s="548"/>
      <c r="F26" s="548"/>
      <c r="G26" s="548"/>
      <c r="H26" s="548"/>
      <c r="I26" s="548"/>
      <c r="J26" s="548"/>
      <c r="K26" s="548"/>
      <c r="L26" s="548"/>
      <c r="M26" s="548"/>
      <c r="N26" s="548"/>
      <c r="O26" s="548"/>
      <c r="P26" s="548"/>
      <c r="Q26" s="548"/>
      <c r="R26" s="548"/>
      <c r="S26" s="548"/>
      <c r="T26" s="548"/>
      <c r="W26" s="494"/>
      <c r="X26" s="494"/>
    </row>
    <row r="27" spans="1:24" s="5" customFormat="1" ht="15" customHeight="1">
      <c r="B27" s="548"/>
      <c r="C27" s="548"/>
      <c r="D27" s="548"/>
      <c r="E27" s="548"/>
      <c r="F27" s="548"/>
      <c r="G27" s="548"/>
      <c r="H27" s="548"/>
      <c r="I27" s="548"/>
      <c r="J27" s="548"/>
      <c r="K27" s="548"/>
      <c r="L27" s="548"/>
      <c r="M27" s="548"/>
      <c r="N27" s="548"/>
      <c r="O27" s="548"/>
      <c r="P27" s="548"/>
      <c r="Q27" s="548"/>
      <c r="R27" s="548"/>
      <c r="S27" s="548"/>
      <c r="T27" s="548"/>
      <c r="W27" s="494"/>
      <c r="X27" s="494"/>
    </row>
    <row r="28" spans="1:24" s="5" customFormat="1" ht="15" customHeight="1">
      <c r="B28" s="998"/>
      <c r="C28" s="998" t="s">
        <v>496</v>
      </c>
      <c r="H28" s="1049" t="s">
        <v>490</v>
      </c>
      <c r="K28" s="1482" t="str">
        <f>DBCS(【マスター】!B162)</f>
        <v/>
      </c>
      <c r="L28" s="1482"/>
      <c r="M28" s="1482"/>
      <c r="N28" s="1482"/>
      <c r="O28" s="1482"/>
      <c r="P28" s="1482"/>
      <c r="Q28" s="1482"/>
      <c r="R28" s="1482"/>
      <c r="S28" s="1482"/>
      <c r="T28" s="1482"/>
      <c r="W28" s="494"/>
      <c r="X28" s="494"/>
    </row>
    <row r="29" spans="1:24" s="5" customFormat="1" ht="15" customHeight="1">
      <c r="B29" s="1001"/>
      <c r="C29" s="1001"/>
      <c r="D29" s="1001"/>
      <c r="E29" s="1001"/>
      <c r="F29" s="1001"/>
      <c r="G29" s="1001"/>
      <c r="H29" s="1001"/>
      <c r="I29" s="1001"/>
      <c r="J29" s="1001"/>
      <c r="K29" s="1482" t="str">
        <f>DBCS(【マスター】!B163)</f>
        <v/>
      </c>
      <c r="L29" s="1482"/>
      <c r="M29" s="1482"/>
      <c r="N29" s="1482"/>
      <c r="O29" s="1482"/>
      <c r="P29" s="1482"/>
      <c r="Q29" s="1482"/>
      <c r="R29" s="1482"/>
      <c r="S29" s="1482"/>
      <c r="T29" s="1482"/>
      <c r="W29" s="494"/>
      <c r="X29" s="494"/>
    </row>
    <row r="30" spans="1:24" s="5" customFormat="1" ht="15" customHeight="1">
      <c r="B30" s="1001"/>
      <c r="C30" s="1001"/>
      <c r="D30" s="1001"/>
      <c r="E30" s="1001"/>
      <c r="F30" s="1001"/>
      <c r="G30" s="1001"/>
      <c r="H30" s="1001"/>
      <c r="I30" s="1001"/>
      <c r="J30" s="1001"/>
      <c r="K30" s="1055"/>
      <c r="L30" s="1055"/>
      <c r="M30" s="1055"/>
      <c r="N30" s="1055"/>
      <c r="O30" s="1055"/>
      <c r="P30" s="1055"/>
      <c r="Q30" s="1055"/>
      <c r="R30" s="1055"/>
      <c r="S30" s="1055"/>
      <c r="T30" s="1055"/>
      <c r="W30" s="494"/>
      <c r="X30" s="494"/>
    </row>
    <row r="31" spans="1:24" s="5" customFormat="1" ht="15" customHeight="1">
      <c r="B31" s="1001"/>
      <c r="C31" s="1001"/>
      <c r="D31" s="1001"/>
      <c r="E31" s="1001"/>
      <c r="F31" s="1001"/>
      <c r="G31" s="1001"/>
      <c r="H31" s="998" t="s">
        <v>497</v>
      </c>
      <c r="I31" s="1001"/>
      <c r="J31" s="1001"/>
      <c r="K31" s="1485"/>
      <c r="L31" s="1485"/>
      <c r="M31" s="1485"/>
      <c r="N31" s="1485"/>
      <c r="O31" s="1485"/>
      <c r="P31" s="1485"/>
      <c r="Q31" s="1485"/>
      <c r="R31" s="1485"/>
      <c r="S31" s="1485"/>
      <c r="T31" s="1053" t="s">
        <v>493</v>
      </c>
      <c r="W31" s="494"/>
      <c r="X31" s="494"/>
    </row>
    <row r="32" spans="1:24" s="5" customFormat="1" ht="15" customHeight="1">
      <c r="B32" s="998"/>
      <c r="C32" s="998"/>
      <c r="W32" s="494"/>
      <c r="X32" s="494"/>
    </row>
    <row r="33" spans="2:24" s="5" customFormat="1" ht="15" customHeight="1">
      <c r="B33" s="998"/>
      <c r="C33" s="5" t="s">
        <v>498</v>
      </c>
      <c r="H33" s="1049" t="s">
        <v>490</v>
      </c>
      <c r="K33" s="1482" t="str">
        <f>DBCS(【マスター】!B164)</f>
        <v/>
      </c>
      <c r="L33" s="1482"/>
      <c r="M33" s="1482"/>
      <c r="N33" s="1482"/>
      <c r="O33" s="1482"/>
      <c r="P33" s="1482"/>
      <c r="Q33" s="1482"/>
      <c r="R33" s="1482"/>
      <c r="S33" s="1482"/>
      <c r="T33" s="1482"/>
      <c r="W33" s="494"/>
      <c r="X33" s="494"/>
    </row>
    <row r="34" spans="2:24" s="5" customFormat="1" ht="15" customHeight="1">
      <c r="B34" s="998"/>
      <c r="C34" s="5" t="s">
        <v>499</v>
      </c>
      <c r="H34" s="1001"/>
      <c r="K34" s="1482" t="str">
        <f>DBCS(【マスター】!B165)</f>
        <v/>
      </c>
      <c r="L34" s="1482"/>
      <c r="M34" s="1482"/>
      <c r="N34" s="1482"/>
      <c r="O34" s="1482"/>
      <c r="P34" s="1482"/>
      <c r="Q34" s="1482"/>
      <c r="R34" s="1482"/>
      <c r="S34" s="1482"/>
      <c r="T34" s="1482"/>
      <c r="W34" s="494"/>
      <c r="X34" s="494"/>
    </row>
    <row r="35" spans="2:24" s="5" customFormat="1" ht="15" customHeight="1">
      <c r="B35" s="998"/>
      <c r="H35" s="1001"/>
      <c r="K35" s="1054"/>
      <c r="L35" s="1054"/>
      <c r="M35" s="1054"/>
      <c r="N35" s="1054"/>
      <c r="O35" s="1054"/>
      <c r="P35" s="1054"/>
      <c r="Q35" s="1054"/>
      <c r="R35" s="1054"/>
      <c r="S35" s="1054"/>
      <c r="T35" s="1054"/>
      <c r="W35" s="494"/>
      <c r="X35" s="494"/>
    </row>
    <row r="36" spans="2:24" s="5" customFormat="1" ht="15" customHeight="1">
      <c r="B36" s="998"/>
      <c r="C36" s="998"/>
      <c r="H36" s="998" t="s">
        <v>497</v>
      </c>
      <c r="K36" s="1056"/>
      <c r="L36" s="1056"/>
      <c r="M36" s="1056"/>
      <c r="N36" s="1056"/>
      <c r="O36" s="1056"/>
      <c r="P36" s="1056"/>
      <c r="Q36" s="1056"/>
      <c r="R36" s="1056"/>
      <c r="S36" s="1056"/>
      <c r="T36" s="1053" t="s">
        <v>493</v>
      </c>
      <c r="W36" s="494"/>
      <c r="X36" s="494"/>
    </row>
    <row r="37" spans="2:24" s="5" customFormat="1" ht="15" customHeight="1">
      <c r="B37" s="998"/>
      <c r="C37" s="998"/>
      <c r="H37" s="998"/>
      <c r="K37" s="1045"/>
      <c r="L37" s="1045"/>
      <c r="M37" s="1045"/>
      <c r="N37" s="1045"/>
      <c r="O37" s="1045"/>
      <c r="P37" s="1045"/>
      <c r="Q37" s="1045"/>
      <c r="R37" s="1045"/>
      <c r="S37" s="1045"/>
      <c r="T37" s="1052"/>
      <c r="W37" s="494"/>
      <c r="X37" s="494"/>
    </row>
    <row r="38" spans="2:24" s="5" customFormat="1" ht="15" customHeight="1">
      <c r="B38" s="998"/>
      <c r="C38" s="998"/>
      <c r="H38" s="998"/>
      <c r="K38" s="1045"/>
      <c r="L38" s="1045"/>
      <c r="M38" s="1045"/>
      <c r="N38" s="1051" t="s">
        <v>500</v>
      </c>
      <c r="O38" s="1045"/>
      <c r="P38" s="1045"/>
      <c r="Q38" s="1045"/>
      <c r="R38" s="1045"/>
      <c r="S38" s="1045"/>
      <c r="T38" s="1001" t="s">
        <v>501</v>
      </c>
      <c r="W38" s="494"/>
      <c r="X38" s="494"/>
    </row>
    <row r="39" spans="2:24" s="5" customFormat="1" ht="15" customHeight="1">
      <c r="B39" s="998"/>
      <c r="C39" s="998"/>
      <c r="W39" s="494"/>
      <c r="X39" s="494"/>
    </row>
    <row r="40" spans="2:24" s="5" customFormat="1" ht="15" customHeight="1">
      <c r="B40" s="998"/>
      <c r="C40" s="998"/>
      <c r="H40" s="998"/>
      <c r="K40" s="1045"/>
      <c r="L40" s="1045"/>
      <c r="M40" s="1045"/>
      <c r="N40" s="1051"/>
      <c r="O40" s="1045"/>
      <c r="P40" s="1045"/>
      <c r="Q40" s="1045"/>
      <c r="R40" s="1045"/>
      <c r="S40" s="1045"/>
      <c r="T40" s="1001"/>
      <c r="W40" s="494"/>
      <c r="X40" s="494"/>
    </row>
    <row r="41" spans="2:24" s="5" customFormat="1" ht="15" customHeight="1">
      <c r="B41" s="998"/>
      <c r="C41" s="998"/>
      <c r="H41" s="998"/>
      <c r="K41" s="1045"/>
      <c r="L41" s="1045"/>
      <c r="M41" s="1045"/>
      <c r="N41" s="1051"/>
      <c r="O41" s="1045"/>
      <c r="P41" s="1045"/>
      <c r="Q41" s="1045"/>
      <c r="R41" s="1045"/>
      <c r="S41" s="1045"/>
      <c r="T41" s="1001"/>
      <c r="W41" s="494"/>
      <c r="X41" s="494"/>
    </row>
    <row r="42" spans="2:24" s="5" customFormat="1" ht="15" customHeight="1">
      <c r="B42" s="998"/>
      <c r="C42" s="998"/>
      <c r="H42" s="998"/>
      <c r="K42" s="1045"/>
      <c r="L42" s="1045"/>
      <c r="M42" s="1045"/>
      <c r="N42" s="1051"/>
      <c r="O42" s="1045"/>
      <c r="P42" s="1045"/>
      <c r="Q42" s="1045"/>
      <c r="R42" s="1045"/>
      <c r="S42" s="1045"/>
      <c r="T42" s="1001"/>
      <c r="W42" s="494"/>
      <c r="X42" s="494"/>
    </row>
    <row r="43" spans="2:24" s="5" customFormat="1" ht="15" customHeight="1">
      <c r="B43" s="998"/>
      <c r="C43" s="998"/>
      <c r="H43" s="998"/>
      <c r="K43" s="1045"/>
      <c r="L43" s="1045"/>
      <c r="M43" s="1045"/>
      <c r="N43" s="1051"/>
      <c r="O43" s="1045"/>
      <c r="P43" s="1045"/>
      <c r="Q43" s="1045"/>
      <c r="R43" s="1045"/>
      <c r="S43" s="1045"/>
      <c r="T43" s="1001"/>
      <c r="W43" s="494"/>
      <c r="X43" s="494"/>
    </row>
    <row r="44" spans="2:24" s="5" customFormat="1" ht="15" customHeight="1">
      <c r="B44" s="998"/>
      <c r="C44" s="998"/>
      <c r="H44" s="998"/>
      <c r="K44" s="1045"/>
      <c r="L44" s="1045"/>
      <c r="M44" s="1045"/>
      <c r="N44" s="1051"/>
      <c r="O44" s="1045"/>
      <c r="P44" s="1045"/>
      <c r="Q44" s="1045"/>
      <c r="R44" s="1045"/>
      <c r="S44" s="1045"/>
      <c r="T44" s="1001"/>
      <c r="W44" s="494"/>
      <c r="X44" s="494"/>
    </row>
    <row r="45" spans="2:24" s="5" customFormat="1" ht="15" customHeight="1">
      <c r="B45" s="998"/>
      <c r="C45" s="998"/>
      <c r="H45" s="998"/>
      <c r="K45" s="1045"/>
      <c r="L45" s="1045"/>
      <c r="M45" s="1045"/>
      <c r="N45" s="1051"/>
      <c r="O45" s="1045"/>
      <c r="P45" s="1045"/>
      <c r="Q45" s="1045"/>
      <c r="R45" s="1045"/>
      <c r="S45" s="1045"/>
      <c r="T45" s="1001"/>
      <c r="W45" s="494"/>
      <c r="X45" s="494"/>
    </row>
    <row r="46" spans="2:24" s="5" customFormat="1" ht="15" customHeight="1">
      <c r="B46" s="998"/>
      <c r="C46" s="998"/>
      <c r="H46" s="998"/>
      <c r="K46" s="1045"/>
      <c r="L46" s="1045"/>
      <c r="M46" s="1045"/>
      <c r="N46" s="1051"/>
      <c r="O46" s="1045"/>
      <c r="P46" s="1045"/>
      <c r="Q46" s="1045"/>
      <c r="R46" s="1045"/>
      <c r="S46" s="1045"/>
      <c r="T46" s="1001"/>
      <c r="W46" s="494"/>
      <c r="X46" s="494"/>
    </row>
    <row r="47" spans="2:24" s="5" customFormat="1" ht="15" customHeight="1">
      <c r="B47" s="998"/>
      <c r="C47" s="998"/>
      <c r="H47" s="998"/>
      <c r="K47" s="1045"/>
      <c r="L47" s="1045"/>
      <c r="M47" s="1045"/>
      <c r="N47" s="1051"/>
      <c r="O47" s="1045"/>
      <c r="P47" s="1045"/>
      <c r="Q47" s="1045"/>
      <c r="R47" s="1045"/>
      <c r="S47" s="1045"/>
      <c r="T47" s="1001"/>
      <c r="W47" s="494"/>
      <c r="X47" s="494"/>
    </row>
    <row r="48" spans="2:24" s="5" customFormat="1" ht="15" customHeight="1">
      <c r="B48" s="998"/>
      <c r="C48" s="998"/>
      <c r="H48" s="998"/>
      <c r="K48" s="1045"/>
      <c r="L48" s="1045"/>
      <c r="M48" s="1045"/>
      <c r="N48" s="1051"/>
      <c r="O48" s="1045"/>
      <c r="P48" s="1045"/>
      <c r="Q48" s="1045"/>
      <c r="R48" s="1045"/>
      <c r="S48" s="1045"/>
      <c r="T48" s="1001"/>
      <c r="W48" s="494"/>
      <c r="X48" s="494"/>
    </row>
    <row r="49" spans="2:24" s="5" customFormat="1" ht="15" customHeight="1">
      <c r="B49" s="998"/>
      <c r="C49" s="998"/>
      <c r="H49" s="998"/>
      <c r="K49" s="1045"/>
      <c r="L49" s="1045"/>
      <c r="M49" s="1045"/>
      <c r="N49" s="1051"/>
      <c r="O49" s="1045"/>
      <c r="P49" s="1045"/>
      <c r="Q49" s="1045"/>
      <c r="R49" s="1045"/>
      <c r="S49" s="1045"/>
      <c r="T49" s="1001"/>
      <c r="W49" s="494"/>
      <c r="X49" s="494"/>
    </row>
    <row r="50" spans="2:24" s="5" customFormat="1" ht="15" customHeight="1">
      <c r="B50" s="998"/>
      <c r="C50" s="998"/>
      <c r="H50" s="998"/>
      <c r="K50" s="1045"/>
      <c r="L50" s="1045"/>
      <c r="M50" s="1045"/>
      <c r="N50" s="1051"/>
      <c r="O50" s="1045"/>
      <c r="P50" s="1045"/>
      <c r="Q50" s="1045"/>
      <c r="R50" s="1045"/>
      <c r="S50" s="1045"/>
      <c r="T50" s="1001"/>
      <c r="W50" s="494"/>
      <c r="X50" s="494"/>
    </row>
    <row r="51" spans="2:24" s="5" customFormat="1" ht="15" customHeight="1">
      <c r="B51" s="998"/>
      <c r="C51" s="998"/>
      <c r="H51" s="998"/>
      <c r="K51" s="1045"/>
      <c r="L51" s="1045"/>
      <c r="M51" s="1045"/>
      <c r="N51" s="1051"/>
      <c r="O51" s="1045"/>
      <c r="P51" s="1045"/>
      <c r="Q51" s="1045"/>
      <c r="R51" s="1045"/>
      <c r="S51" s="1045"/>
      <c r="T51" s="1001"/>
      <c r="W51" s="494"/>
      <c r="X51" s="494"/>
    </row>
    <row r="52" spans="2:24" s="5" customFormat="1" ht="15" customHeight="1">
      <c r="B52" s="998"/>
      <c r="C52" s="998"/>
      <c r="H52" s="998"/>
      <c r="K52" s="1045"/>
      <c r="L52" s="1045"/>
      <c r="M52" s="1045"/>
      <c r="N52" s="1051"/>
      <c r="O52" s="1045"/>
      <c r="P52" s="1045"/>
      <c r="Q52" s="1045"/>
      <c r="R52" s="1045"/>
      <c r="S52" s="1045"/>
      <c r="T52" s="1001"/>
      <c r="W52" s="494"/>
      <c r="X52" s="494"/>
    </row>
    <row r="53" spans="2:24" s="5" customFormat="1" ht="15" customHeight="1">
      <c r="B53" s="998"/>
      <c r="C53" s="998"/>
      <c r="H53" s="998"/>
      <c r="K53" s="1045"/>
      <c r="L53" s="1045"/>
      <c r="M53" s="1045"/>
      <c r="N53" s="1051"/>
      <c r="O53" s="1045"/>
      <c r="P53" s="1045"/>
      <c r="Q53" s="1045"/>
      <c r="R53" s="1045"/>
      <c r="S53" s="1045"/>
      <c r="T53" s="1001"/>
      <c r="W53" s="494"/>
      <c r="X53" s="494"/>
    </row>
    <row r="54" spans="2:24" s="5" customFormat="1" ht="15" customHeight="1">
      <c r="B54" s="998"/>
      <c r="C54" s="998"/>
      <c r="H54" s="998"/>
      <c r="K54" s="1045"/>
      <c r="L54" s="1045"/>
      <c r="M54" s="1045"/>
      <c r="N54" s="1051"/>
      <c r="O54" s="1045"/>
      <c r="P54" s="1045"/>
      <c r="Q54" s="1045"/>
      <c r="R54" s="1045"/>
      <c r="S54" s="1045"/>
      <c r="T54" s="1001"/>
      <c r="W54" s="494"/>
      <c r="X54" s="494"/>
    </row>
    <row r="55" spans="2:24" s="5" customFormat="1" ht="15" customHeight="1">
      <c r="B55" s="998"/>
      <c r="C55" s="998"/>
      <c r="H55" s="998"/>
      <c r="K55" s="1045"/>
      <c r="L55" s="1045"/>
      <c r="M55" s="1045"/>
      <c r="N55" s="1045"/>
      <c r="O55" s="1045"/>
      <c r="P55" s="1045"/>
      <c r="Q55" s="1045"/>
      <c r="R55" s="1045"/>
      <c r="S55" s="1045"/>
      <c r="T55" s="1052"/>
      <c r="W55" s="494"/>
      <c r="X55" s="494"/>
    </row>
    <row r="56" spans="2:24" s="5" customFormat="1" ht="15" customHeight="1">
      <c r="B56" s="998"/>
      <c r="C56" s="998"/>
      <c r="H56" s="998"/>
      <c r="K56" s="1045"/>
      <c r="L56" s="1045"/>
      <c r="M56" s="1045"/>
      <c r="N56" s="1045"/>
      <c r="O56" s="1045"/>
      <c r="P56" s="1045"/>
      <c r="Q56" s="1045"/>
      <c r="R56" s="1045"/>
      <c r="S56" s="1045"/>
      <c r="T56" s="1052"/>
      <c r="W56" s="494"/>
      <c r="X56" s="494"/>
    </row>
    <row r="57" spans="2:24" s="5" customFormat="1" ht="15" customHeight="1">
      <c r="B57" s="998"/>
      <c r="C57" s="998"/>
      <c r="H57" s="998"/>
      <c r="K57" s="1045"/>
      <c r="L57" s="1045"/>
      <c r="M57" s="1045"/>
      <c r="N57" s="1045"/>
      <c r="O57" s="1045"/>
      <c r="P57" s="1045"/>
      <c r="Q57" s="1045"/>
      <c r="R57" s="1045"/>
      <c r="S57" s="1045"/>
      <c r="T57" s="1052"/>
      <c r="W57" s="494"/>
      <c r="X57" s="494"/>
    </row>
    <row r="58" spans="2:24" s="5" customFormat="1" ht="15" customHeight="1">
      <c r="B58" s="998"/>
      <c r="C58" s="998"/>
      <c r="H58" s="998"/>
      <c r="K58" s="1045"/>
      <c r="L58" s="1045"/>
      <c r="M58" s="1045"/>
      <c r="N58" s="1045"/>
      <c r="O58" s="1045"/>
      <c r="P58" s="1045"/>
      <c r="Q58" s="1045"/>
      <c r="R58" s="1045"/>
      <c r="S58" s="1045"/>
      <c r="T58" s="1052"/>
      <c r="W58" s="494"/>
      <c r="X58" s="494"/>
    </row>
    <row r="59" spans="2:24" s="5" customFormat="1" ht="15" customHeight="1">
      <c r="B59" s="998"/>
      <c r="C59" s="998"/>
      <c r="H59" s="998"/>
      <c r="K59" s="1045"/>
      <c r="L59" s="1045"/>
      <c r="M59" s="1045"/>
      <c r="N59" s="1045"/>
      <c r="O59" s="1045"/>
      <c r="P59" s="1045"/>
      <c r="Q59" s="1045"/>
      <c r="R59" s="1045"/>
      <c r="S59" s="1045"/>
      <c r="T59" s="1052"/>
      <c r="W59" s="494"/>
      <c r="X59" s="494"/>
    </row>
    <row r="60" spans="2:24" s="5" customFormat="1" ht="15" customHeight="1">
      <c r="B60" s="998"/>
      <c r="C60" s="998"/>
      <c r="W60" s="494"/>
      <c r="X60" s="494"/>
    </row>
    <row r="62" spans="2:24" s="5" customFormat="1" ht="15" customHeight="1">
      <c r="B62" s="998"/>
      <c r="C62" s="998"/>
      <c r="W62" s="494"/>
      <c r="X62" s="494"/>
    </row>
    <row r="63" spans="2:24" s="5" customFormat="1" ht="15" customHeight="1">
      <c r="B63" s="998"/>
      <c r="C63" s="998"/>
      <c r="W63" s="494"/>
      <c r="X63" s="494"/>
    </row>
    <row r="64" spans="2:24" s="5" customFormat="1" ht="15" customHeight="1">
      <c r="B64" s="998"/>
      <c r="C64" s="998"/>
      <c r="W64" s="494"/>
      <c r="X64" s="494"/>
    </row>
    <row r="65" spans="1:24" s="5" customFormat="1" ht="15" customHeight="1">
      <c r="B65" s="998"/>
      <c r="C65" s="998"/>
      <c r="W65" s="494"/>
      <c r="X65" s="494"/>
    </row>
    <row r="66" spans="1:24" s="5" customFormat="1" ht="15" customHeight="1">
      <c r="B66" s="998"/>
      <c r="C66" s="998"/>
      <c r="W66" s="494"/>
      <c r="X66" s="494"/>
    </row>
    <row r="67" spans="1:24" s="5" customFormat="1" ht="15" customHeight="1">
      <c r="B67" s="998"/>
      <c r="C67" s="998"/>
      <c r="W67" s="494"/>
      <c r="X67" s="494"/>
    </row>
    <row r="68" spans="1:24" s="5" customFormat="1" ht="15" customHeight="1">
      <c r="B68" s="998"/>
      <c r="C68" s="998"/>
      <c r="W68" s="494"/>
      <c r="X68" s="494"/>
    </row>
    <row r="69" spans="1:24" s="5" customFormat="1" ht="15" customHeight="1">
      <c r="B69" s="998"/>
      <c r="C69" s="998"/>
      <c r="W69" s="494"/>
      <c r="X69" s="494"/>
    </row>
    <row r="70" spans="1:24" s="5" customFormat="1" ht="15" customHeight="1">
      <c r="B70" s="998"/>
      <c r="C70" s="998"/>
      <c r="W70" s="494"/>
      <c r="X70" s="494"/>
    </row>
    <row r="71" spans="1:24" s="5" customFormat="1" ht="15" customHeight="1">
      <c r="B71" s="998"/>
      <c r="C71" s="998"/>
      <c r="W71" s="494"/>
      <c r="X71" s="494"/>
    </row>
    <row r="72" spans="1:24" s="5" customFormat="1" ht="15" customHeight="1">
      <c r="B72" s="998"/>
      <c r="C72" s="998"/>
      <c r="W72" s="494"/>
      <c r="X72" s="494"/>
    </row>
    <row r="73" spans="1:24" s="5" customFormat="1" ht="15" customHeight="1">
      <c r="B73" s="998"/>
      <c r="C73" s="998"/>
      <c r="W73" s="494"/>
      <c r="X73" s="494"/>
    </row>
    <row r="74" spans="1:24" s="5" customFormat="1" ht="15" customHeight="1">
      <c r="B74" s="998"/>
      <c r="C74" s="998"/>
      <c r="W74" s="494"/>
      <c r="X74" s="494"/>
    </row>
    <row r="75" spans="1:24" ht="15" customHeight="1">
      <c r="A75" s="5"/>
      <c r="B75" s="998"/>
      <c r="C75" s="998"/>
      <c r="D75" s="5"/>
      <c r="E75" s="5"/>
      <c r="F75" s="5"/>
      <c r="G75" s="5"/>
      <c r="H75" s="5"/>
      <c r="I75" s="5"/>
      <c r="J75" s="5"/>
      <c r="K75" s="5"/>
      <c r="L75" s="5"/>
      <c r="M75" s="5"/>
      <c r="N75" s="5"/>
      <c r="O75" s="5"/>
      <c r="P75" s="5"/>
      <c r="Q75" s="5"/>
      <c r="R75" s="5"/>
      <c r="S75" s="5"/>
      <c r="T75" s="5"/>
    </row>
  </sheetData>
  <sheetProtection selectLockedCells="1"/>
  <mergeCells count="12">
    <mergeCell ref="K34:T34"/>
    <mergeCell ref="A6:T7"/>
    <mergeCell ref="K12:T12"/>
    <mergeCell ref="K13:T13"/>
    <mergeCell ref="K14:S14"/>
    <mergeCell ref="K16:T16"/>
    <mergeCell ref="K18:S18"/>
    <mergeCell ref="A22:T23"/>
    <mergeCell ref="K28:T28"/>
    <mergeCell ref="K29:T29"/>
    <mergeCell ref="K31:S31"/>
    <mergeCell ref="K33:T33"/>
  </mergeCells>
  <phoneticPr fontId="17"/>
  <printOptions horizontalCentered="1"/>
  <pageMargins left="0.70866141732283472" right="0.70866141732283472" top="0.55118110236220474" bottom="0.55118110236220474" header="0.31496062992125984" footer="0.31496062992125984"/>
  <pageSetup paperSize="9" scale="88" fitToHeight="0" orientation="portrait" r:id="rId1"/>
  <headerFooter>
    <oddFooter>&amp;L【通所介護_BMC】</oddFooter>
  </headerFooter>
  <colBreaks count="1" manualBreakCount="1">
    <brk id="20" max="5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L53"/>
  <sheetViews>
    <sheetView tabSelected="1" view="pageBreakPreview" topLeftCell="A8" zoomScaleNormal="100" zoomScaleSheetLayoutView="100" workbookViewId="0">
      <selection activeCell="AL39" sqref="AL39"/>
    </sheetView>
  </sheetViews>
  <sheetFormatPr defaultColWidth="9" defaultRowHeight="15" customHeight="1"/>
  <cols>
    <col min="1" max="1" width="4.625" style="299" customWidth="1"/>
    <col min="2" max="3" width="4.625" style="298" customWidth="1"/>
    <col min="4" max="20" width="4.625" style="299" customWidth="1"/>
    <col min="21" max="16384" width="9" style="299"/>
  </cols>
  <sheetData>
    <row r="1" spans="1:20" ht="15" customHeight="1">
      <c r="T1" s="312"/>
    </row>
    <row r="6" spans="1:20" ht="15" customHeight="1">
      <c r="A6" s="1258"/>
      <c r="B6" s="1258"/>
      <c r="C6" s="1258"/>
      <c r="D6" s="1258"/>
      <c r="E6" s="1258"/>
      <c r="F6" s="1258"/>
      <c r="G6" s="1258"/>
      <c r="H6" s="1258"/>
      <c r="I6" s="1258"/>
      <c r="J6" s="1258"/>
      <c r="K6" s="1258"/>
      <c r="L6" s="1258"/>
      <c r="M6" s="1258"/>
      <c r="N6" s="1258"/>
      <c r="O6" s="1258"/>
      <c r="P6" s="1258"/>
      <c r="Q6" s="1258"/>
      <c r="R6" s="1258"/>
      <c r="S6" s="1258"/>
      <c r="T6" s="1258"/>
    </row>
    <row r="7" spans="1:20" ht="15" customHeight="1">
      <c r="A7" s="1258"/>
      <c r="B7" s="1258"/>
      <c r="C7" s="1258"/>
      <c r="D7" s="1258"/>
      <c r="E7" s="1258"/>
      <c r="F7" s="1258"/>
      <c r="G7" s="1258"/>
      <c r="H7" s="1258"/>
      <c r="I7" s="1258"/>
      <c r="J7" s="1258"/>
      <c r="K7" s="1258"/>
      <c r="L7" s="1258"/>
      <c r="M7" s="1258"/>
      <c r="N7" s="1258"/>
      <c r="O7" s="1258"/>
      <c r="P7" s="1258"/>
      <c r="Q7" s="1258"/>
      <c r="R7" s="1258"/>
      <c r="S7" s="1258"/>
      <c r="T7" s="1258"/>
    </row>
    <row r="9" spans="1:20" ht="15" customHeight="1">
      <c r="A9" s="1255" t="s">
        <v>564</v>
      </c>
      <c r="B9" s="1255"/>
      <c r="C9" s="1255"/>
      <c r="D9" s="1255"/>
      <c r="E9" s="1255"/>
      <c r="F9" s="1255"/>
      <c r="G9" s="1255"/>
      <c r="H9" s="1255"/>
      <c r="I9" s="1255"/>
      <c r="J9" s="1255"/>
      <c r="K9" s="1255"/>
      <c r="L9" s="1255"/>
      <c r="M9" s="1255"/>
      <c r="N9" s="1255"/>
      <c r="O9" s="1255"/>
      <c r="P9" s="1255"/>
      <c r="Q9" s="1255"/>
      <c r="R9" s="1255"/>
      <c r="S9" s="1255"/>
      <c r="T9" s="1255"/>
    </row>
    <row r="10" spans="1:20" ht="15" customHeight="1">
      <c r="A10" s="1255"/>
      <c r="B10" s="1255"/>
      <c r="C10" s="1255"/>
      <c r="D10" s="1255"/>
      <c r="E10" s="1255"/>
      <c r="F10" s="1255"/>
      <c r="G10" s="1255"/>
      <c r="H10" s="1255"/>
      <c r="I10" s="1255"/>
      <c r="J10" s="1255"/>
      <c r="K10" s="1255"/>
      <c r="L10" s="1255"/>
      <c r="M10" s="1255"/>
      <c r="N10" s="1255"/>
      <c r="O10" s="1255"/>
      <c r="P10" s="1255"/>
      <c r="Q10" s="1255"/>
      <c r="R10" s="1255"/>
      <c r="S10" s="1255"/>
      <c r="T10" s="1255"/>
    </row>
    <row r="11" spans="1:20" ht="15" customHeight="1">
      <c r="A11" s="1255"/>
      <c r="B11" s="1255"/>
      <c r="C11" s="1255"/>
      <c r="D11" s="1255"/>
      <c r="E11" s="1255"/>
      <c r="F11" s="1255"/>
      <c r="G11" s="1255"/>
      <c r="H11" s="1255"/>
      <c r="I11" s="1255"/>
      <c r="J11" s="1255"/>
      <c r="K11" s="1255"/>
      <c r="L11" s="1255"/>
      <c r="M11" s="1255"/>
      <c r="N11" s="1255"/>
      <c r="O11" s="1255"/>
      <c r="P11" s="1255"/>
      <c r="Q11" s="1255"/>
      <c r="R11" s="1255"/>
      <c r="S11" s="1255"/>
      <c r="T11" s="1255"/>
    </row>
    <row r="12" spans="1:20" ht="15" customHeight="1">
      <c r="A12" s="1255" t="s">
        <v>903</v>
      </c>
      <c r="B12" s="1255"/>
      <c r="C12" s="1255"/>
      <c r="D12" s="1255"/>
      <c r="E12" s="1255"/>
      <c r="F12" s="1255"/>
      <c r="G12" s="1255"/>
      <c r="H12" s="1255"/>
      <c r="I12" s="1255"/>
      <c r="J12" s="1255"/>
      <c r="K12" s="1255"/>
      <c r="L12" s="1255"/>
      <c r="M12" s="1255"/>
      <c r="N12" s="1255"/>
      <c r="O12" s="1255"/>
      <c r="P12" s="1255"/>
      <c r="Q12" s="1255"/>
      <c r="R12" s="1255"/>
      <c r="S12" s="1255"/>
      <c r="T12" s="1255"/>
    </row>
    <row r="13" spans="1:20" ht="15" customHeight="1">
      <c r="A13" s="1255"/>
      <c r="B13" s="1255"/>
      <c r="C13" s="1255"/>
      <c r="D13" s="1255"/>
      <c r="E13" s="1255"/>
      <c r="F13" s="1255"/>
      <c r="G13" s="1255"/>
      <c r="H13" s="1255"/>
      <c r="I13" s="1255"/>
      <c r="J13" s="1255"/>
      <c r="K13" s="1255"/>
      <c r="L13" s="1255"/>
      <c r="M13" s="1255"/>
      <c r="N13" s="1255"/>
      <c r="O13" s="1255"/>
      <c r="P13" s="1255"/>
      <c r="Q13" s="1255"/>
      <c r="R13" s="1255"/>
      <c r="S13" s="1255"/>
      <c r="T13" s="1255"/>
    </row>
    <row r="14" spans="1:20" ht="15" customHeight="1">
      <c r="A14" s="1255"/>
      <c r="B14" s="1255"/>
      <c r="C14" s="1255"/>
      <c r="D14" s="1255"/>
      <c r="E14" s="1255"/>
      <c r="F14" s="1255"/>
      <c r="G14" s="1255"/>
      <c r="H14" s="1255"/>
      <c r="I14" s="1255"/>
      <c r="J14" s="1255"/>
      <c r="K14" s="1255"/>
      <c r="L14" s="1255"/>
      <c r="M14" s="1255"/>
      <c r="N14" s="1255"/>
      <c r="O14" s="1255"/>
      <c r="P14" s="1255"/>
      <c r="Q14" s="1255"/>
      <c r="R14" s="1255"/>
      <c r="S14" s="1255"/>
      <c r="T14" s="1255"/>
    </row>
    <row r="20" spans="1:20" ht="15" customHeight="1">
      <c r="B20" s="1256" t="str">
        <f>【マスター】!C7</f>
        <v>デイサービスさつきの湯</v>
      </c>
      <c r="C20" s="1256"/>
      <c r="D20" s="1256"/>
      <c r="E20" s="1256"/>
      <c r="F20" s="1256"/>
      <c r="G20" s="1256"/>
      <c r="H20" s="1256"/>
      <c r="I20" s="1256"/>
      <c r="J20" s="1256"/>
      <c r="K20" s="1256"/>
      <c r="L20" s="1256"/>
      <c r="M20" s="1256"/>
      <c r="N20" s="1256"/>
      <c r="O20" s="1256"/>
      <c r="P20" s="1256"/>
      <c r="Q20" s="1256"/>
      <c r="R20" s="1256"/>
      <c r="S20" s="1256"/>
      <c r="T20" s="314"/>
    </row>
    <row r="21" spans="1:20" ht="15" customHeight="1">
      <c r="A21" s="314"/>
      <c r="B21" s="1256"/>
      <c r="C21" s="1256"/>
      <c r="D21" s="1256"/>
      <c r="E21" s="1256"/>
      <c r="F21" s="1256"/>
      <c r="G21" s="1256"/>
      <c r="H21" s="1256"/>
      <c r="I21" s="1256"/>
      <c r="J21" s="1256"/>
      <c r="K21" s="1256"/>
      <c r="L21" s="1256"/>
      <c r="M21" s="1256"/>
      <c r="N21" s="1256"/>
      <c r="O21" s="1256"/>
      <c r="P21" s="1256"/>
      <c r="Q21" s="1256"/>
      <c r="R21" s="1256"/>
      <c r="S21" s="1256"/>
      <c r="T21" s="314"/>
    </row>
    <row r="22" spans="1:20" ht="15" customHeight="1">
      <c r="A22" s="314"/>
      <c r="B22" s="1256"/>
      <c r="C22" s="1256"/>
      <c r="D22" s="1256"/>
      <c r="E22" s="1256"/>
      <c r="F22" s="1256"/>
      <c r="G22" s="1256"/>
      <c r="H22" s="1256"/>
      <c r="I22" s="1256"/>
      <c r="J22" s="1256"/>
      <c r="K22" s="1256"/>
      <c r="L22" s="1256"/>
      <c r="M22" s="1256"/>
      <c r="N22" s="1256"/>
      <c r="O22" s="1256"/>
      <c r="P22" s="1256"/>
      <c r="Q22" s="1256"/>
      <c r="R22" s="1256"/>
      <c r="S22" s="1256"/>
      <c r="T22" s="314"/>
    </row>
    <row r="39" spans="38:38" ht="15" customHeight="1">
      <c r="AL39" s="1049"/>
    </row>
    <row r="53" spans="1:20" ht="15" customHeight="1">
      <c r="A53" s="1257" t="str">
        <f>【マスター】!C21</f>
        <v>株式会社ケアサポート</v>
      </c>
      <c r="B53" s="1257"/>
      <c r="C53" s="1257"/>
      <c r="D53" s="1257"/>
      <c r="E53" s="1257"/>
      <c r="F53" s="1257"/>
      <c r="G53" s="1257"/>
      <c r="H53" s="1257"/>
      <c r="I53" s="1257"/>
      <c r="J53" s="1257"/>
      <c r="K53" s="1257"/>
      <c r="L53" s="1257"/>
      <c r="M53" s="1257"/>
      <c r="N53" s="1257"/>
      <c r="O53" s="1257"/>
      <c r="P53" s="1257"/>
      <c r="Q53" s="1257"/>
      <c r="R53" s="1257"/>
      <c r="S53" s="1257"/>
      <c r="T53" s="1257"/>
    </row>
  </sheetData>
  <sheetProtection selectLockedCells="1"/>
  <mergeCells count="5">
    <mergeCell ref="A9:T11"/>
    <mergeCell ref="A12:T14"/>
    <mergeCell ref="B20:S22"/>
    <mergeCell ref="A53:T53"/>
    <mergeCell ref="A6:T7"/>
  </mergeCells>
  <phoneticPr fontId="17"/>
  <printOptions horizontalCentered="1" verticalCentered="1"/>
  <pageMargins left="0.70866141732283472" right="0.70866141732283472" top="0.55118110236220474" bottom="0.55118110236220474" header="0.31496062992125984" footer="0.31496062992125984"/>
  <pageSetup paperSize="9" scale="96" fitToHeight="0" orientation="portrait" r:id="rId1"/>
  <headerFooter>
    <oddFooter>&amp;L【通所介護】BMC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1">
    <tabColor rgb="FFFF0000"/>
    <pageSetUpPr fitToPage="1"/>
  </sheetPr>
  <dimension ref="A1:AO223"/>
  <sheetViews>
    <sheetView view="pageBreakPreview" topLeftCell="A70" zoomScale="135" zoomScaleNormal="100" zoomScaleSheetLayoutView="135" workbookViewId="0">
      <selection activeCell="AL39" sqref="AL39"/>
    </sheetView>
  </sheetViews>
  <sheetFormatPr defaultColWidth="9" defaultRowHeight="15" customHeight="1"/>
  <cols>
    <col min="1" max="1" width="4.625" style="810" customWidth="1"/>
    <col min="2" max="3" width="4.625" style="842" customWidth="1"/>
    <col min="4" max="20" width="4.625" style="810" customWidth="1"/>
    <col min="21" max="16384" width="9" style="810"/>
  </cols>
  <sheetData>
    <row r="1" spans="1:22" ht="15" customHeight="1">
      <c r="A1" s="1495" t="s">
        <v>948</v>
      </c>
      <c r="B1" s="1495"/>
      <c r="C1" s="1495"/>
      <c r="D1" s="1495"/>
      <c r="E1" s="1495"/>
      <c r="F1" s="1495"/>
      <c r="G1" s="1495"/>
      <c r="H1" s="1495"/>
      <c r="I1" s="1495"/>
      <c r="J1" s="1495"/>
      <c r="K1" s="1495"/>
      <c r="L1" s="1495"/>
      <c r="M1" s="1495"/>
      <c r="N1" s="1495"/>
      <c r="O1" s="1495"/>
      <c r="P1" s="1495"/>
      <c r="Q1" s="1495"/>
      <c r="R1" s="1495"/>
      <c r="S1" s="1495"/>
      <c r="T1" s="1495"/>
    </row>
    <row r="2" spans="1:22" ht="15" customHeight="1">
      <c r="A2" s="1495"/>
      <c r="B2" s="1495"/>
      <c r="C2" s="1495"/>
      <c r="D2" s="1495"/>
      <c r="E2" s="1495"/>
      <c r="F2" s="1495"/>
      <c r="G2" s="1495"/>
      <c r="H2" s="1495"/>
      <c r="I2" s="1495"/>
      <c r="J2" s="1495"/>
      <c r="K2" s="1495"/>
      <c r="L2" s="1495"/>
      <c r="M2" s="1495"/>
      <c r="N2" s="1495"/>
      <c r="O2" s="1495"/>
      <c r="P2" s="1495"/>
      <c r="Q2" s="1495"/>
      <c r="R2" s="1495"/>
      <c r="S2" s="1495"/>
      <c r="T2" s="1495"/>
    </row>
    <row r="3" spans="1:22" s="497" customFormat="1" ht="15" customHeight="1">
      <c r="A3" s="1486" t="str">
        <f>IF(【マスター】!B161="","　利用者                    （以下「甲」という。）と事業者 "&amp;【マスター】!C21&amp;"(以下「乙」という。）とは、介護サポートサービスの利用に関して次のとおり契約を結びます。","　利用者 "&amp;【マスター】!B161&amp;" （以下「甲」という。）と事業者 "&amp;【マスター】!C21&amp;"(以下「乙」という。）とは、介護サポートサービスの利用に関して次のとおり契約を結びます。")</f>
        <v>　利用者                    （以下「甲」という。）と事業者 株式会社ケアサポート(以下「乙」という。）とは、介護サポートサービスの利用に関して次のとおり契約を結びます。</v>
      </c>
      <c r="B3" s="1486"/>
      <c r="C3" s="1486"/>
      <c r="D3" s="1486"/>
      <c r="E3" s="1486"/>
      <c r="F3" s="1486"/>
      <c r="G3" s="1486"/>
      <c r="H3" s="1486"/>
      <c r="I3" s="1486"/>
      <c r="J3" s="1486"/>
      <c r="K3" s="1486"/>
      <c r="L3" s="1486"/>
      <c r="M3" s="1486"/>
      <c r="N3" s="1486"/>
      <c r="O3" s="1486"/>
      <c r="P3" s="1486"/>
      <c r="Q3" s="1486"/>
      <c r="R3" s="1486"/>
      <c r="S3" s="1486"/>
      <c r="T3" s="1486"/>
    </row>
    <row r="4" spans="1:22" s="497" customFormat="1" ht="15" customHeight="1">
      <c r="A4" s="1486"/>
      <c r="B4" s="1486"/>
      <c r="C4" s="1486"/>
      <c r="D4" s="1486"/>
      <c r="E4" s="1486"/>
      <c r="F4" s="1486"/>
      <c r="G4" s="1486"/>
      <c r="H4" s="1486"/>
      <c r="I4" s="1486"/>
      <c r="J4" s="1486"/>
      <c r="K4" s="1486"/>
      <c r="L4" s="1486"/>
      <c r="M4" s="1486"/>
      <c r="N4" s="1486"/>
      <c r="O4" s="1486"/>
      <c r="P4" s="1486"/>
      <c r="Q4" s="1486"/>
      <c r="R4" s="1486"/>
      <c r="S4" s="1486"/>
      <c r="T4" s="1486"/>
      <c r="V4" s="811"/>
    </row>
    <row r="5" spans="1:22" s="497" customFormat="1" ht="15" customHeight="1">
      <c r="A5" s="1486"/>
      <c r="B5" s="1486"/>
      <c r="C5" s="1486"/>
      <c r="D5" s="1486"/>
      <c r="E5" s="1486"/>
      <c r="F5" s="1486"/>
      <c r="G5" s="1486"/>
      <c r="H5" s="1486"/>
      <c r="I5" s="1486"/>
      <c r="J5" s="1486"/>
      <c r="K5" s="1486"/>
      <c r="L5" s="1486"/>
      <c r="M5" s="1486"/>
      <c r="N5" s="1486"/>
      <c r="O5" s="1486"/>
      <c r="P5" s="1486"/>
      <c r="Q5" s="1486"/>
      <c r="R5" s="1486"/>
      <c r="S5" s="1486"/>
      <c r="T5" s="1486"/>
    </row>
    <row r="6" spans="1:22" s="497" customFormat="1" ht="15" customHeight="1">
      <c r="A6" s="999"/>
      <c r="B6" s="999"/>
      <c r="C6" s="999"/>
      <c r="D6" s="999"/>
      <c r="E6" s="999"/>
      <c r="F6" s="999"/>
      <c r="G6" s="999"/>
      <c r="H6" s="999"/>
      <c r="I6" s="999"/>
      <c r="J6" s="999"/>
      <c r="K6" s="999"/>
      <c r="L6" s="999"/>
      <c r="M6" s="999"/>
      <c r="N6" s="999"/>
      <c r="O6" s="999"/>
      <c r="P6" s="999"/>
      <c r="Q6" s="999"/>
      <c r="R6" s="999"/>
      <c r="S6" s="999"/>
      <c r="T6" s="999"/>
      <c r="V6" s="811"/>
    </row>
    <row r="7" spans="1:22" s="497" customFormat="1" ht="15" customHeight="1">
      <c r="A7" s="497" t="s">
        <v>566</v>
      </c>
      <c r="B7" s="496"/>
      <c r="C7" s="496"/>
      <c r="V7" s="811"/>
    </row>
    <row r="8" spans="1:22" s="497" customFormat="1" ht="15" customHeight="1">
      <c r="A8" s="497" t="s">
        <v>567</v>
      </c>
      <c r="B8" s="496"/>
      <c r="C8" s="1486" t="s">
        <v>949</v>
      </c>
      <c r="D8" s="1486"/>
      <c r="E8" s="1486"/>
      <c r="F8" s="1486"/>
      <c r="G8" s="1486"/>
      <c r="H8" s="1486"/>
      <c r="I8" s="1486"/>
      <c r="J8" s="1486"/>
      <c r="K8" s="1486"/>
      <c r="L8" s="1486"/>
      <c r="M8" s="1486"/>
      <c r="N8" s="1486"/>
      <c r="O8" s="1486"/>
      <c r="P8" s="1486"/>
      <c r="Q8" s="1486"/>
      <c r="R8" s="1486"/>
      <c r="S8" s="1486"/>
      <c r="T8" s="1486"/>
    </row>
    <row r="9" spans="1:22" s="497" customFormat="1" ht="15" customHeight="1">
      <c r="B9" s="496"/>
      <c r="C9" s="1486"/>
      <c r="D9" s="1486"/>
      <c r="E9" s="1486"/>
      <c r="F9" s="1486"/>
      <c r="G9" s="1486"/>
      <c r="H9" s="1486"/>
      <c r="I9" s="1486"/>
      <c r="J9" s="1486"/>
      <c r="K9" s="1486"/>
      <c r="L9" s="1486"/>
      <c r="M9" s="1486"/>
      <c r="N9" s="1486"/>
      <c r="O9" s="1486"/>
      <c r="P9" s="1486"/>
      <c r="Q9" s="1486"/>
      <c r="R9" s="1486"/>
      <c r="S9" s="1486"/>
      <c r="T9" s="1486"/>
    </row>
    <row r="10" spans="1:22" s="497" customFormat="1" ht="15" customHeight="1">
      <c r="B10" s="496"/>
      <c r="C10" s="1486"/>
      <c r="D10" s="1486"/>
      <c r="E10" s="1486"/>
      <c r="F10" s="1486"/>
      <c r="G10" s="1486"/>
      <c r="H10" s="1486"/>
      <c r="I10" s="1486"/>
      <c r="J10" s="1486"/>
      <c r="K10" s="1486"/>
      <c r="L10" s="1486"/>
      <c r="M10" s="1486"/>
      <c r="N10" s="1486"/>
      <c r="O10" s="1486"/>
      <c r="P10" s="1486"/>
      <c r="Q10" s="1486"/>
      <c r="R10" s="1486"/>
      <c r="S10" s="1486"/>
      <c r="T10" s="1486"/>
    </row>
    <row r="11" spans="1:22" s="497" customFormat="1" ht="15" customHeight="1">
      <c r="B11" s="496"/>
      <c r="C11" s="1486"/>
      <c r="D11" s="1486"/>
      <c r="E11" s="1486"/>
      <c r="F11" s="1486"/>
      <c r="G11" s="1486"/>
      <c r="H11" s="1486"/>
      <c r="I11" s="1486"/>
      <c r="J11" s="1486"/>
      <c r="K11" s="1486"/>
      <c r="L11" s="1486"/>
      <c r="M11" s="1486"/>
      <c r="N11" s="1486"/>
      <c r="O11" s="1486"/>
      <c r="P11" s="1486"/>
      <c r="Q11" s="1486"/>
      <c r="R11" s="1486"/>
      <c r="S11" s="1486"/>
      <c r="T11" s="1486"/>
    </row>
    <row r="12" spans="1:22" s="497" customFormat="1" ht="15" customHeight="1">
      <c r="B12" s="496" t="s">
        <v>570</v>
      </c>
      <c r="C12" s="1486" t="s">
        <v>950</v>
      </c>
      <c r="D12" s="1486"/>
      <c r="E12" s="1486"/>
      <c r="F12" s="1486"/>
      <c r="G12" s="1486"/>
      <c r="H12" s="1486"/>
      <c r="I12" s="1486"/>
      <c r="J12" s="1486"/>
      <c r="K12" s="1486"/>
      <c r="L12" s="1486"/>
      <c r="M12" s="1486"/>
      <c r="N12" s="1486"/>
      <c r="O12" s="1486"/>
      <c r="P12" s="1486"/>
      <c r="Q12" s="1486"/>
      <c r="R12" s="1486"/>
      <c r="S12" s="1486"/>
      <c r="T12" s="1486"/>
    </row>
    <row r="13" spans="1:22" s="497" customFormat="1" ht="15" customHeight="1">
      <c r="B13" s="496"/>
      <c r="C13" s="1486"/>
      <c r="D13" s="1486"/>
      <c r="E13" s="1486"/>
      <c r="F13" s="1486"/>
      <c r="G13" s="1486"/>
      <c r="H13" s="1486"/>
      <c r="I13" s="1486"/>
      <c r="J13" s="1486"/>
      <c r="K13" s="1486"/>
      <c r="L13" s="1486"/>
      <c r="M13" s="1486"/>
      <c r="N13" s="1486"/>
      <c r="O13" s="1486"/>
      <c r="P13" s="1486"/>
      <c r="Q13" s="1486"/>
      <c r="R13" s="1486"/>
      <c r="S13" s="1486"/>
      <c r="T13" s="1486"/>
    </row>
    <row r="14" spans="1:22" s="497" customFormat="1" ht="15" customHeight="1">
      <c r="B14" s="496"/>
      <c r="C14" s="496"/>
    </row>
    <row r="15" spans="1:22" s="497" customFormat="1" ht="15" customHeight="1">
      <c r="A15" s="497" t="s">
        <v>573</v>
      </c>
      <c r="B15" s="496"/>
      <c r="C15" s="496"/>
    </row>
    <row r="16" spans="1:22" s="497" customFormat="1" ht="15" customHeight="1">
      <c r="A16" s="497" t="s">
        <v>574</v>
      </c>
      <c r="B16" s="496"/>
      <c r="C16" s="1486" t="s">
        <v>951</v>
      </c>
      <c r="D16" s="1496"/>
      <c r="E16" s="1496"/>
      <c r="F16" s="1496"/>
      <c r="G16" s="1496"/>
      <c r="H16" s="1496"/>
      <c r="J16" s="856"/>
      <c r="K16" s="856"/>
      <c r="L16" s="856"/>
      <c r="M16" s="856"/>
      <c r="N16" s="856"/>
      <c r="O16" s="856"/>
      <c r="P16" s="856"/>
      <c r="Q16" s="856"/>
      <c r="R16" s="856"/>
      <c r="S16" s="856"/>
      <c r="T16" s="856"/>
    </row>
    <row r="17" spans="1:21" s="497" customFormat="1" ht="15" customHeight="1">
      <c r="B17" s="496"/>
      <c r="C17" s="1497" t="s">
        <v>952</v>
      </c>
      <c r="D17" s="1498"/>
      <c r="E17" s="1498"/>
      <c r="F17" s="1498"/>
      <c r="G17" s="1498"/>
      <c r="H17" s="1498"/>
      <c r="I17" s="1498"/>
      <c r="J17" s="1498"/>
      <c r="K17" s="1498"/>
      <c r="L17" s="1498"/>
      <c r="M17" s="1498"/>
      <c r="N17" s="1486" t="s">
        <v>953</v>
      </c>
      <c r="O17" s="1499"/>
      <c r="P17" s="1499"/>
      <c r="Q17" s="1499"/>
      <c r="R17" s="1499"/>
      <c r="S17" s="1499"/>
      <c r="T17" s="1499"/>
      <c r="U17" s="803"/>
    </row>
    <row r="18" spans="1:21" s="497" customFormat="1" ht="15" customHeight="1">
      <c r="B18" s="496" t="s">
        <v>570</v>
      </c>
      <c r="C18" s="1486" t="s">
        <v>954</v>
      </c>
      <c r="D18" s="1486"/>
      <c r="E18" s="1486"/>
      <c r="F18" s="1486"/>
      <c r="G18" s="1486"/>
      <c r="H18" s="1486"/>
      <c r="I18" s="1486"/>
      <c r="J18" s="1486"/>
      <c r="K18" s="1486"/>
      <c r="L18" s="1486"/>
      <c r="M18" s="1486"/>
      <c r="N18" s="1486"/>
      <c r="O18" s="1486"/>
      <c r="P18" s="1486"/>
      <c r="Q18" s="1486"/>
      <c r="R18" s="1486"/>
      <c r="S18" s="1486"/>
      <c r="T18" s="1486"/>
    </row>
    <row r="19" spans="1:21" s="497" customFormat="1" ht="15" customHeight="1">
      <c r="B19" s="496"/>
      <c r="C19" s="1486"/>
      <c r="D19" s="1486"/>
      <c r="E19" s="1486"/>
      <c r="F19" s="1486"/>
      <c r="G19" s="1486"/>
      <c r="H19" s="1486"/>
      <c r="I19" s="1486"/>
      <c r="J19" s="1486"/>
      <c r="K19" s="1486"/>
      <c r="L19" s="1486"/>
      <c r="M19" s="1486"/>
      <c r="N19" s="1486"/>
      <c r="O19" s="1486"/>
      <c r="P19" s="1486"/>
      <c r="Q19" s="1486"/>
      <c r="R19" s="1486"/>
      <c r="S19" s="1486"/>
      <c r="T19" s="1486"/>
    </row>
    <row r="20" spans="1:21" s="497" customFormat="1" ht="15" customHeight="1">
      <c r="B20" s="496"/>
      <c r="C20" s="1486"/>
      <c r="D20" s="1486"/>
      <c r="E20" s="1486"/>
      <c r="F20" s="1486"/>
      <c r="G20" s="1486"/>
      <c r="H20" s="1486"/>
      <c r="I20" s="1486"/>
      <c r="J20" s="1486"/>
      <c r="K20" s="1486"/>
      <c r="L20" s="1486"/>
      <c r="M20" s="1486"/>
      <c r="N20" s="1486"/>
      <c r="O20" s="1486"/>
      <c r="P20" s="1486"/>
      <c r="Q20" s="1486"/>
      <c r="R20" s="1486"/>
      <c r="S20" s="1486"/>
      <c r="T20" s="1486"/>
    </row>
    <row r="21" spans="1:21" s="497" customFormat="1" ht="15" customHeight="1">
      <c r="B21" s="496"/>
      <c r="C21" s="547"/>
      <c r="D21" s="798"/>
      <c r="E21" s="798"/>
      <c r="F21" s="798"/>
      <c r="G21" s="798"/>
      <c r="H21" s="798"/>
      <c r="I21" s="798"/>
      <c r="J21" s="798"/>
      <c r="K21" s="798"/>
      <c r="L21" s="798"/>
      <c r="M21" s="798"/>
      <c r="N21" s="798"/>
      <c r="O21" s="798"/>
      <c r="P21" s="798"/>
      <c r="Q21" s="798"/>
      <c r="R21" s="798"/>
      <c r="S21" s="798"/>
      <c r="T21" s="798"/>
    </row>
    <row r="22" spans="1:21" s="497" customFormat="1" ht="15" customHeight="1">
      <c r="A22" s="497" t="s">
        <v>585</v>
      </c>
      <c r="B22" s="496"/>
      <c r="C22" s="496"/>
    </row>
    <row r="23" spans="1:21" s="497" customFormat="1" ht="15" customHeight="1">
      <c r="A23" s="497" t="s">
        <v>586</v>
      </c>
      <c r="B23" s="496"/>
      <c r="C23" s="1486" t="s">
        <v>955</v>
      </c>
      <c r="D23" s="1486"/>
      <c r="E23" s="1486"/>
      <c r="F23" s="1486"/>
      <c r="G23" s="1486"/>
      <c r="H23" s="1486"/>
      <c r="I23" s="1486"/>
      <c r="J23" s="1486"/>
      <c r="K23" s="1486"/>
      <c r="L23" s="1486"/>
      <c r="M23" s="1486"/>
      <c r="N23" s="1486"/>
      <c r="O23" s="1486"/>
      <c r="P23" s="1486"/>
      <c r="Q23" s="1486"/>
      <c r="R23" s="1486"/>
      <c r="S23" s="1486"/>
      <c r="T23" s="1486"/>
    </row>
    <row r="24" spans="1:21" s="497" customFormat="1" ht="15" customHeight="1">
      <c r="B24" s="496"/>
      <c r="C24" s="1486"/>
      <c r="D24" s="1486"/>
      <c r="E24" s="1486"/>
      <c r="F24" s="1486"/>
      <c r="G24" s="1486"/>
      <c r="H24" s="1486"/>
      <c r="I24" s="1486"/>
      <c r="J24" s="1486"/>
      <c r="K24" s="1486"/>
      <c r="L24" s="1486"/>
      <c r="M24" s="1486"/>
      <c r="N24" s="1486"/>
      <c r="O24" s="1486"/>
      <c r="P24" s="1486"/>
      <c r="Q24" s="1486"/>
      <c r="R24" s="1486"/>
      <c r="S24" s="1486"/>
      <c r="T24" s="1486"/>
    </row>
    <row r="25" spans="1:21" s="497" customFormat="1" ht="15" customHeight="1">
      <c r="B25" s="496"/>
      <c r="C25" s="1486"/>
      <c r="D25" s="1486"/>
      <c r="E25" s="1486"/>
      <c r="F25" s="1486"/>
      <c r="G25" s="1486"/>
      <c r="H25" s="1486"/>
      <c r="I25" s="1486"/>
      <c r="J25" s="1486"/>
      <c r="K25" s="1486"/>
      <c r="L25" s="1486"/>
      <c r="M25" s="1486"/>
      <c r="N25" s="1486"/>
      <c r="O25" s="1486"/>
      <c r="P25" s="1486"/>
      <c r="Q25" s="1486"/>
      <c r="R25" s="1486"/>
      <c r="S25" s="1486"/>
      <c r="T25" s="1486"/>
    </row>
    <row r="26" spans="1:21" s="497" customFormat="1" ht="15" customHeight="1">
      <c r="B26" s="496"/>
      <c r="C26" s="496"/>
    </row>
    <row r="27" spans="1:21" s="497" customFormat="1" ht="15" customHeight="1">
      <c r="A27" s="497" t="s">
        <v>956</v>
      </c>
      <c r="B27" s="496"/>
      <c r="C27" s="496"/>
    </row>
    <row r="28" spans="1:21" s="497" customFormat="1" ht="15" customHeight="1">
      <c r="A28" s="497" t="s">
        <v>589</v>
      </c>
      <c r="B28" s="496"/>
      <c r="C28" s="1486" t="s">
        <v>957</v>
      </c>
      <c r="D28" s="1486"/>
      <c r="E28" s="1486"/>
      <c r="F28" s="1486"/>
      <c r="G28" s="1486"/>
      <c r="H28" s="1486"/>
      <c r="I28" s="1486"/>
      <c r="J28" s="1486"/>
      <c r="K28" s="1486"/>
      <c r="L28" s="1486"/>
      <c r="M28" s="1486"/>
      <c r="N28" s="1486"/>
      <c r="O28" s="1486"/>
      <c r="P28" s="1486"/>
      <c r="Q28" s="1486"/>
      <c r="R28" s="1486"/>
      <c r="S28" s="1486"/>
      <c r="T28" s="1486"/>
    </row>
    <row r="29" spans="1:21" s="497" customFormat="1" ht="15" customHeight="1">
      <c r="B29" s="496"/>
      <c r="C29" s="1486"/>
      <c r="D29" s="1486"/>
      <c r="E29" s="1486"/>
      <c r="F29" s="1486"/>
      <c r="G29" s="1486"/>
      <c r="H29" s="1486"/>
      <c r="I29" s="1486"/>
      <c r="J29" s="1486"/>
      <c r="K29" s="1486"/>
      <c r="L29" s="1486"/>
      <c r="M29" s="1486"/>
      <c r="N29" s="1486"/>
      <c r="O29" s="1486"/>
      <c r="P29" s="1486"/>
      <c r="Q29" s="1486"/>
      <c r="R29" s="1486"/>
      <c r="S29" s="1486"/>
      <c r="T29" s="1486"/>
    </row>
    <row r="30" spans="1:21" s="497" customFormat="1" ht="15" customHeight="1">
      <c r="B30" s="496"/>
      <c r="C30" s="1486"/>
      <c r="D30" s="1486"/>
      <c r="E30" s="1486"/>
      <c r="F30" s="1486"/>
      <c r="G30" s="1486"/>
      <c r="H30" s="1486"/>
      <c r="I30" s="1486"/>
      <c r="J30" s="1486"/>
      <c r="K30" s="1486"/>
      <c r="L30" s="1486"/>
      <c r="M30" s="1486"/>
      <c r="N30" s="1486"/>
      <c r="O30" s="1486"/>
      <c r="P30" s="1486"/>
      <c r="Q30" s="1486"/>
      <c r="R30" s="1486"/>
      <c r="S30" s="1486"/>
      <c r="T30" s="1486"/>
    </row>
    <row r="31" spans="1:21" s="497" customFormat="1" ht="15" customHeight="1">
      <c r="B31" s="496" t="s">
        <v>570</v>
      </c>
      <c r="C31" s="1486" t="s">
        <v>958</v>
      </c>
      <c r="D31" s="1486"/>
      <c r="E31" s="1486"/>
      <c r="F31" s="1486"/>
      <c r="G31" s="1486"/>
      <c r="H31" s="1486"/>
      <c r="I31" s="1486"/>
      <c r="J31" s="1486"/>
      <c r="K31" s="1486"/>
      <c r="L31" s="1486"/>
      <c r="M31" s="1486"/>
      <c r="N31" s="1486"/>
      <c r="O31" s="1486"/>
      <c r="P31" s="1486"/>
      <c r="Q31" s="1486"/>
      <c r="R31" s="1486"/>
      <c r="S31" s="1486"/>
      <c r="T31" s="1486"/>
    </row>
    <row r="32" spans="1:21" s="497" customFormat="1" ht="15" customHeight="1">
      <c r="B32" s="496"/>
      <c r="C32" s="1486"/>
      <c r="D32" s="1486"/>
      <c r="E32" s="1486"/>
      <c r="F32" s="1486"/>
      <c r="G32" s="1486"/>
      <c r="H32" s="1486"/>
      <c r="I32" s="1486"/>
      <c r="J32" s="1486"/>
      <c r="K32" s="1486"/>
      <c r="L32" s="1486"/>
      <c r="M32" s="1486"/>
      <c r="N32" s="1486"/>
      <c r="O32" s="1486"/>
      <c r="P32" s="1486"/>
      <c r="Q32" s="1486"/>
      <c r="R32" s="1486"/>
      <c r="S32" s="1486"/>
      <c r="T32" s="1486"/>
    </row>
    <row r="33" spans="1:38" s="497" customFormat="1" ht="15" customHeight="1">
      <c r="B33" s="496" t="s">
        <v>595</v>
      </c>
      <c r="C33" s="1486" t="s">
        <v>959</v>
      </c>
      <c r="D33" s="1486"/>
      <c r="E33" s="1486"/>
      <c r="F33" s="1486"/>
      <c r="G33" s="1486"/>
      <c r="H33" s="1486"/>
      <c r="I33" s="1486"/>
      <c r="J33" s="1486"/>
      <c r="K33" s="1486"/>
      <c r="L33" s="1486"/>
      <c r="M33" s="1486"/>
      <c r="N33" s="1486"/>
      <c r="O33" s="1486"/>
      <c r="P33" s="1486"/>
      <c r="Q33" s="1486"/>
      <c r="R33" s="1486"/>
      <c r="S33" s="1486"/>
      <c r="T33" s="1486"/>
    </row>
    <row r="34" spans="1:38" s="497" customFormat="1" ht="15" customHeight="1">
      <c r="B34" s="496"/>
      <c r="C34" s="1486"/>
      <c r="D34" s="1486"/>
      <c r="E34" s="1486"/>
      <c r="F34" s="1486"/>
      <c r="G34" s="1486"/>
      <c r="H34" s="1486"/>
      <c r="I34" s="1486"/>
      <c r="J34" s="1486"/>
      <c r="K34" s="1486"/>
      <c r="L34" s="1486"/>
      <c r="M34" s="1486"/>
      <c r="N34" s="1486"/>
      <c r="O34" s="1486"/>
      <c r="P34" s="1486"/>
      <c r="Q34" s="1486"/>
      <c r="R34" s="1486"/>
      <c r="S34" s="1486"/>
      <c r="T34" s="1486"/>
    </row>
    <row r="35" spans="1:38" s="497" customFormat="1" ht="15" customHeight="1">
      <c r="B35" s="496" t="s">
        <v>597</v>
      </c>
      <c r="C35" s="1486" t="s">
        <v>960</v>
      </c>
      <c r="D35" s="1486"/>
      <c r="E35" s="1486"/>
      <c r="F35" s="1486"/>
      <c r="G35" s="1486"/>
      <c r="H35" s="1486"/>
      <c r="I35" s="1486"/>
      <c r="J35" s="1486"/>
      <c r="K35" s="1486"/>
      <c r="L35" s="1486"/>
      <c r="M35" s="1486"/>
      <c r="N35" s="1486"/>
      <c r="O35" s="1486"/>
      <c r="P35" s="1486"/>
      <c r="Q35" s="1486"/>
      <c r="R35" s="1486"/>
      <c r="S35" s="1486"/>
      <c r="T35" s="1486"/>
    </row>
    <row r="36" spans="1:38" s="497" customFormat="1" ht="15" customHeight="1">
      <c r="B36" s="496"/>
      <c r="C36" s="1486"/>
      <c r="D36" s="1486"/>
      <c r="E36" s="1486"/>
      <c r="F36" s="1486"/>
      <c r="G36" s="1486"/>
      <c r="H36" s="1486"/>
      <c r="I36" s="1486"/>
      <c r="J36" s="1486"/>
      <c r="K36" s="1486"/>
      <c r="L36" s="1486"/>
      <c r="M36" s="1486"/>
      <c r="N36" s="1486"/>
      <c r="O36" s="1486"/>
      <c r="P36" s="1486"/>
      <c r="Q36" s="1486"/>
      <c r="R36" s="1486"/>
      <c r="S36" s="1486"/>
      <c r="T36" s="1486"/>
    </row>
    <row r="37" spans="1:38" s="497" customFormat="1" ht="15" customHeight="1">
      <c r="B37" s="1500" t="s">
        <v>599</v>
      </c>
      <c r="C37" s="1500"/>
      <c r="D37" s="1486" t="s">
        <v>961</v>
      </c>
      <c r="E37" s="1486"/>
      <c r="F37" s="1486"/>
      <c r="G37" s="1486"/>
      <c r="H37" s="1486"/>
      <c r="I37" s="1486"/>
      <c r="J37" s="1486"/>
      <c r="K37" s="1486"/>
      <c r="L37" s="1486"/>
      <c r="M37" s="1486"/>
      <c r="N37" s="1486"/>
      <c r="O37" s="1486"/>
      <c r="P37" s="1486"/>
      <c r="Q37" s="1486"/>
      <c r="R37" s="1486"/>
      <c r="S37" s="1486"/>
      <c r="T37" s="1486"/>
    </row>
    <row r="38" spans="1:38" s="497" customFormat="1" ht="15" customHeight="1">
      <c r="B38" s="496"/>
      <c r="C38" s="832"/>
      <c r="D38" s="1486"/>
      <c r="E38" s="1486"/>
      <c r="F38" s="1486"/>
      <c r="G38" s="1486"/>
      <c r="H38" s="1486"/>
      <c r="I38" s="1486"/>
      <c r="J38" s="1486"/>
      <c r="K38" s="1486"/>
      <c r="L38" s="1486"/>
      <c r="M38" s="1486"/>
      <c r="N38" s="1486"/>
      <c r="O38" s="1486"/>
      <c r="P38" s="1486"/>
      <c r="Q38" s="1486"/>
      <c r="R38" s="1486"/>
      <c r="S38" s="1486"/>
      <c r="T38" s="1486"/>
    </row>
    <row r="39" spans="1:38" s="497" customFormat="1" ht="15" customHeight="1">
      <c r="B39" s="1490" t="s">
        <v>601</v>
      </c>
      <c r="C39" s="1490"/>
      <c r="D39" s="497" t="s">
        <v>962</v>
      </c>
      <c r="AL39" s="5"/>
    </row>
    <row r="40" spans="1:38" s="497" customFormat="1" ht="15" customHeight="1">
      <c r="B40" s="496" t="s">
        <v>603</v>
      </c>
      <c r="C40" s="1486" t="s">
        <v>963</v>
      </c>
      <c r="D40" s="1486"/>
      <c r="E40" s="1486"/>
      <c r="F40" s="1486"/>
      <c r="G40" s="1486"/>
      <c r="H40" s="1486"/>
      <c r="I40" s="1486"/>
      <c r="J40" s="1486"/>
      <c r="K40" s="1486"/>
      <c r="L40" s="1486"/>
      <c r="M40" s="1486"/>
      <c r="N40" s="1486"/>
      <c r="O40" s="1486"/>
      <c r="P40" s="1486"/>
      <c r="Q40" s="1486"/>
      <c r="R40" s="1486"/>
      <c r="S40" s="1486"/>
      <c r="T40" s="1486"/>
    </row>
    <row r="41" spans="1:38" s="497" customFormat="1" ht="15" customHeight="1">
      <c r="B41" s="496"/>
      <c r="C41" s="1486"/>
      <c r="D41" s="1486"/>
      <c r="E41" s="1486"/>
      <c r="F41" s="1486"/>
      <c r="G41" s="1486"/>
      <c r="H41" s="1486"/>
      <c r="I41" s="1486"/>
      <c r="J41" s="1486"/>
      <c r="K41" s="1486"/>
      <c r="L41" s="1486"/>
      <c r="M41" s="1486"/>
      <c r="N41" s="1486"/>
      <c r="O41" s="1486"/>
      <c r="P41" s="1486"/>
      <c r="Q41" s="1486"/>
      <c r="R41" s="1486"/>
      <c r="S41" s="1486"/>
      <c r="T41" s="1486"/>
    </row>
    <row r="42" spans="1:38" s="497" customFormat="1" ht="15" customHeight="1">
      <c r="B42" s="496" t="s">
        <v>606</v>
      </c>
      <c r="C42" s="1486" t="s">
        <v>964</v>
      </c>
      <c r="D42" s="1486"/>
      <c r="E42" s="1486"/>
      <c r="F42" s="1486"/>
      <c r="G42" s="1486"/>
      <c r="H42" s="1486"/>
      <c r="I42" s="1486"/>
      <c r="J42" s="1486"/>
      <c r="K42" s="1486"/>
      <c r="L42" s="1486"/>
      <c r="M42" s="1486"/>
      <c r="N42" s="1486"/>
      <c r="O42" s="1486"/>
      <c r="P42" s="1486"/>
      <c r="Q42" s="1486"/>
      <c r="R42" s="1486"/>
      <c r="S42" s="1486"/>
      <c r="T42" s="1486"/>
    </row>
    <row r="43" spans="1:38" s="497" customFormat="1" ht="15" customHeight="1">
      <c r="B43" s="496"/>
      <c r="C43" s="1486"/>
      <c r="D43" s="1486"/>
      <c r="E43" s="1486"/>
      <c r="F43" s="1486"/>
      <c r="G43" s="1486"/>
      <c r="H43" s="1486"/>
      <c r="I43" s="1486"/>
      <c r="J43" s="1486"/>
      <c r="K43" s="1486"/>
      <c r="L43" s="1486"/>
      <c r="M43" s="1486"/>
      <c r="N43" s="1486"/>
      <c r="O43" s="1486"/>
      <c r="P43" s="1486"/>
      <c r="Q43" s="1486"/>
      <c r="R43" s="1486"/>
      <c r="S43" s="1486"/>
      <c r="T43" s="1486"/>
    </row>
    <row r="44" spans="1:38" s="497" customFormat="1" ht="15" customHeight="1">
      <c r="B44" s="496"/>
      <c r="C44" s="496"/>
    </row>
    <row r="45" spans="1:38" s="497" customFormat="1" ht="15" customHeight="1">
      <c r="A45" s="497" t="s">
        <v>965</v>
      </c>
      <c r="B45" s="496"/>
      <c r="C45" s="496"/>
    </row>
    <row r="46" spans="1:38" s="497" customFormat="1" ht="15" customHeight="1">
      <c r="A46" s="497" t="s">
        <v>610</v>
      </c>
      <c r="B46" s="496"/>
      <c r="C46" s="496" t="s">
        <v>966</v>
      </c>
    </row>
    <row r="47" spans="1:38" s="497" customFormat="1" ht="15" customHeight="1">
      <c r="B47" s="496" t="s">
        <v>570</v>
      </c>
      <c r="C47" s="1486" t="s">
        <v>967</v>
      </c>
      <c r="D47" s="1486"/>
      <c r="E47" s="1486"/>
      <c r="F47" s="1486"/>
      <c r="G47" s="1486"/>
      <c r="H47" s="1486"/>
      <c r="I47" s="1486"/>
      <c r="J47" s="1486"/>
      <c r="K47" s="1486"/>
      <c r="L47" s="1486"/>
      <c r="M47" s="1486"/>
      <c r="N47" s="1486"/>
      <c r="O47" s="1486"/>
      <c r="P47" s="1486"/>
      <c r="Q47" s="1486"/>
      <c r="R47" s="1486"/>
      <c r="S47" s="1486"/>
      <c r="T47" s="1486"/>
    </row>
    <row r="48" spans="1:38" s="497" customFormat="1" ht="15" customHeight="1">
      <c r="B48" s="496"/>
      <c r="C48" s="1486"/>
      <c r="D48" s="1486"/>
      <c r="E48" s="1486"/>
      <c r="F48" s="1486"/>
      <c r="G48" s="1486"/>
      <c r="H48" s="1486"/>
      <c r="I48" s="1486"/>
      <c r="J48" s="1486"/>
      <c r="K48" s="1486"/>
      <c r="L48" s="1486"/>
      <c r="M48" s="1486"/>
      <c r="N48" s="1486"/>
      <c r="O48" s="1486"/>
      <c r="P48" s="1486"/>
      <c r="Q48" s="1486"/>
      <c r="R48" s="1486"/>
      <c r="S48" s="1486"/>
      <c r="T48" s="1486"/>
    </row>
    <row r="49" spans="1:24" s="497" customFormat="1" ht="15" customHeight="1">
      <c r="B49" s="496" t="s">
        <v>595</v>
      </c>
      <c r="C49" s="1486" t="s">
        <v>616</v>
      </c>
      <c r="D49" s="1486"/>
      <c r="E49" s="1486"/>
      <c r="F49" s="1486"/>
      <c r="G49" s="1486"/>
      <c r="H49" s="1486"/>
      <c r="I49" s="1486"/>
      <c r="J49" s="1486"/>
      <c r="K49" s="1486"/>
      <c r="L49" s="1486"/>
      <c r="M49" s="1486"/>
      <c r="N49" s="1486"/>
      <c r="O49" s="1486"/>
      <c r="P49" s="1486"/>
      <c r="Q49" s="1486"/>
      <c r="R49" s="1486"/>
      <c r="S49" s="1486"/>
      <c r="T49" s="1486"/>
    </row>
    <row r="50" spans="1:24" s="497" customFormat="1" ht="15" customHeight="1">
      <c r="B50" s="496"/>
      <c r="C50" s="1486"/>
      <c r="D50" s="1486"/>
      <c r="E50" s="1486"/>
      <c r="F50" s="1486"/>
      <c r="G50" s="1486"/>
      <c r="H50" s="1486"/>
      <c r="I50" s="1486"/>
      <c r="J50" s="1486"/>
      <c r="K50" s="1486"/>
      <c r="L50" s="1486"/>
      <c r="M50" s="1486"/>
      <c r="N50" s="1486"/>
      <c r="O50" s="1486"/>
      <c r="P50" s="1486"/>
      <c r="Q50" s="1486"/>
      <c r="R50" s="1486"/>
      <c r="S50" s="1486"/>
      <c r="T50" s="1486"/>
    </row>
    <row r="51" spans="1:24" s="497" customFormat="1" ht="15" customHeight="1">
      <c r="B51" s="496"/>
      <c r="C51" s="1486"/>
      <c r="D51" s="1486"/>
      <c r="E51" s="1486"/>
      <c r="F51" s="1486"/>
      <c r="G51" s="1486"/>
      <c r="H51" s="1486"/>
      <c r="I51" s="1486"/>
      <c r="J51" s="1486"/>
      <c r="K51" s="1486"/>
      <c r="L51" s="1486"/>
      <c r="M51" s="1486"/>
      <c r="N51" s="1486"/>
      <c r="O51" s="1486"/>
      <c r="P51" s="1486"/>
      <c r="Q51" s="1486"/>
      <c r="R51" s="1486"/>
      <c r="S51" s="1486"/>
      <c r="T51" s="1486"/>
    </row>
    <row r="52" spans="1:24" s="497" customFormat="1" ht="15" customHeight="1">
      <c r="B52" s="843" t="s">
        <v>597</v>
      </c>
      <c r="C52" s="1493" t="s">
        <v>968</v>
      </c>
      <c r="D52" s="1493"/>
      <c r="E52" s="1493"/>
      <c r="F52" s="1493"/>
      <c r="G52" s="1493"/>
      <c r="H52" s="1493"/>
      <c r="I52" s="1493"/>
      <c r="J52" s="1493"/>
      <c r="K52" s="1493"/>
      <c r="L52" s="1493"/>
      <c r="M52" s="1493"/>
      <c r="N52" s="1493"/>
      <c r="O52" s="1493"/>
      <c r="P52" s="1493"/>
      <c r="Q52" s="1493"/>
      <c r="R52" s="1493"/>
      <c r="S52" s="1493"/>
      <c r="T52" s="1493"/>
    </row>
    <row r="53" spans="1:24" s="497" customFormat="1" ht="15" customHeight="1">
      <c r="B53" s="843"/>
      <c r="C53" s="1493"/>
      <c r="D53" s="1493"/>
      <c r="E53" s="1493"/>
      <c r="F53" s="1493"/>
      <c r="G53" s="1493"/>
      <c r="H53" s="1493"/>
      <c r="I53" s="1493"/>
      <c r="J53" s="1493"/>
      <c r="K53" s="1493"/>
      <c r="L53" s="1493"/>
      <c r="M53" s="1493"/>
      <c r="N53" s="1493"/>
      <c r="O53" s="1493"/>
      <c r="P53" s="1493"/>
      <c r="Q53" s="1493"/>
      <c r="R53" s="1493"/>
      <c r="S53" s="1493"/>
      <c r="T53" s="1493"/>
    </row>
    <row r="54" spans="1:24" s="497" customFormat="1" ht="15" customHeight="1"/>
    <row r="55" spans="1:24" s="497" customFormat="1" ht="15" customHeight="1">
      <c r="A55" s="497" t="s">
        <v>617</v>
      </c>
    </row>
    <row r="56" spans="1:24" s="497" customFormat="1" ht="15" customHeight="1">
      <c r="A56" s="497" t="s">
        <v>618</v>
      </c>
      <c r="B56" s="496"/>
      <c r="C56" s="1486" t="s">
        <v>969</v>
      </c>
      <c r="D56" s="1486"/>
      <c r="E56" s="1486"/>
      <c r="F56" s="1486"/>
      <c r="G56" s="1486"/>
      <c r="H56" s="1486"/>
      <c r="I56" s="1486"/>
      <c r="J56" s="1486"/>
      <c r="K56" s="1486"/>
      <c r="L56" s="1486"/>
      <c r="M56" s="1486"/>
      <c r="N56" s="1486"/>
      <c r="O56" s="1486"/>
      <c r="P56" s="1486"/>
      <c r="Q56" s="1486"/>
      <c r="R56" s="1486"/>
      <c r="S56" s="1486"/>
      <c r="T56" s="1486"/>
    </row>
    <row r="57" spans="1:24" s="497" customFormat="1" ht="15" customHeight="1">
      <c r="B57" s="496"/>
      <c r="C57" s="1486"/>
      <c r="D57" s="1486"/>
      <c r="E57" s="1486"/>
      <c r="F57" s="1486"/>
      <c r="G57" s="1486"/>
      <c r="H57" s="1486"/>
      <c r="I57" s="1486"/>
      <c r="J57" s="1486"/>
      <c r="K57" s="1486"/>
      <c r="L57" s="1486"/>
      <c r="M57" s="1486"/>
      <c r="N57" s="1486"/>
      <c r="O57" s="1486"/>
      <c r="P57" s="1486"/>
      <c r="Q57" s="1486"/>
      <c r="R57" s="1486"/>
      <c r="S57" s="1486"/>
      <c r="T57" s="1486"/>
    </row>
    <row r="58" spans="1:24" s="497" customFormat="1" ht="35.1" customHeight="1">
      <c r="B58" s="497" t="s">
        <v>570</v>
      </c>
      <c r="C58" s="1486" t="s">
        <v>621</v>
      </c>
      <c r="D58" s="1486"/>
      <c r="E58" s="1486"/>
      <c r="F58" s="1486"/>
      <c r="G58" s="1486"/>
      <c r="H58" s="1486"/>
      <c r="I58" s="1486"/>
      <c r="J58" s="1486"/>
      <c r="K58" s="1486"/>
      <c r="L58" s="1486"/>
      <c r="M58" s="1486"/>
      <c r="N58" s="1486"/>
      <c r="O58" s="1486"/>
      <c r="P58" s="1486"/>
      <c r="Q58" s="1486"/>
      <c r="R58" s="1486"/>
      <c r="S58" s="1486"/>
      <c r="T58" s="1486"/>
      <c r="U58" s="514"/>
      <c r="V58" s="514"/>
      <c r="X58" s="514"/>
    </row>
    <row r="59" spans="1:24" s="497" customFormat="1" ht="15" customHeight="1">
      <c r="B59" s="496"/>
      <c r="C59" s="798"/>
      <c r="D59" s="798"/>
      <c r="E59" s="798"/>
      <c r="F59" s="798"/>
      <c r="G59" s="798"/>
      <c r="H59" s="798"/>
      <c r="I59" s="798"/>
      <c r="J59" s="798"/>
      <c r="K59" s="798"/>
      <c r="L59" s="798"/>
      <c r="M59" s="798"/>
      <c r="N59" s="798"/>
      <c r="O59" s="798"/>
      <c r="P59" s="798"/>
      <c r="Q59" s="798"/>
      <c r="R59" s="798"/>
      <c r="S59" s="798"/>
      <c r="T59" s="798"/>
    </row>
    <row r="60" spans="1:24" s="497" customFormat="1" ht="15" customHeight="1">
      <c r="A60" s="497" t="s">
        <v>622</v>
      </c>
      <c r="B60" s="496"/>
      <c r="C60" s="496"/>
    </row>
    <row r="61" spans="1:24" s="497" customFormat="1" ht="15" customHeight="1">
      <c r="A61" s="497" t="s">
        <v>623</v>
      </c>
      <c r="B61" s="496"/>
      <c r="C61" s="1486" t="s">
        <v>970</v>
      </c>
      <c r="D61" s="1486"/>
      <c r="E61" s="1486"/>
      <c r="F61" s="1486"/>
      <c r="G61" s="1486"/>
      <c r="H61" s="1486"/>
      <c r="I61" s="1486"/>
      <c r="J61" s="1486"/>
      <c r="K61" s="1486"/>
      <c r="L61" s="1486"/>
      <c r="M61" s="1486"/>
      <c r="N61" s="1486"/>
      <c r="O61" s="1486"/>
      <c r="P61" s="1486"/>
      <c r="Q61" s="1486"/>
      <c r="R61" s="1486"/>
      <c r="S61" s="1486"/>
      <c r="T61" s="1486"/>
    </row>
    <row r="62" spans="1:24" s="497" customFormat="1" ht="15" customHeight="1">
      <c r="B62" s="496"/>
      <c r="C62" s="1486"/>
      <c r="D62" s="1486"/>
      <c r="E62" s="1486"/>
      <c r="F62" s="1486"/>
      <c r="G62" s="1486"/>
      <c r="H62" s="1486"/>
      <c r="I62" s="1486"/>
      <c r="J62" s="1486"/>
      <c r="K62" s="1486"/>
      <c r="L62" s="1486"/>
      <c r="M62" s="1486"/>
      <c r="N62" s="1486"/>
      <c r="O62" s="1486"/>
      <c r="P62" s="1486"/>
      <c r="Q62" s="1486"/>
      <c r="R62" s="1486"/>
      <c r="S62" s="1486"/>
      <c r="T62" s="1486"/>
    </row>
    <row r="63" spans="1:24" s="497" customFormat="1" ht="15" customHeight="1">
      <c r="B63" s="496"/>
      <c r="C63" s="496"/>
    </row>
    <row r="64" spans="1:24" s="497" customFormat="1" ht="15" customHeight="1">
      <c r="A64" s="497" t="s">
        <v>626</v>
      </c>
      <c r="B64" s="496"/>
      <c r="C64" s="496"/>
    </row>
    <row r="65" spans="1:20" s="497" customFormat="1" ht="15" customHeight="1">
      <c r="A65" s="497" t="s">
        <v>627</v>
      </c>
      <c r="B65" s="496"/>
      <c r="C65" s="1486" t="s">
        <v>971</v>
      </c>
      <c r="D65" s="1486"/>
      <c r="E65" s="1486"/>
      <c r="F65" s="1486"/>
      <c r="G65" s="1486"/>
      <c r="H65" s="1486"/>
      <c r="I65" s="1486"/>
      <c r="J65" s="1486"/>
      <c r="K65" s="1486"/>
      <c r="L65" s="1486"/>
      <c r="M65" s="1486"/>
      <c r="N65" s="1486"/>
      <c r="O65" s="1486"/>
      <c r="P65" s="1486"/>
      <c r="Q65" s="1486"/>
      <c r="R65" s="1486"/>
      <c r="S65" s="1486"/>
      <c r="T65" s="1486"/>
    </row>
    <row r="66" spans="1:20" s="497" customFormat="1" ht="15" customHeight="1">
      <c r="B66" s="496"/>
      <c r="C66" s="1486"/>
      <c r="D66" s="1486"/>
      <c r="E66" s="1486"/>
      <c r="F66" s="1486"/>
      <c r="G66" s="1486"/>
      <c r="H66" s="1486"/>
      <c r="I66" s="1486"/>
      <c r="J66" s="1486"/>
      <c r="K66" s="1486"/>
      <c r="L66" s="1486"/>
      <c r="M66" s="1486"/>
      <c r="N66" s="1486"/>
      <c r="O66" s="1486"/>
      <c r="P66" s="1486"/>
      <c r="Q66" s="1486"/>
      <c r="R66" s="1486"/>
      <c r="S66" s="1486"/>
      <c r="T66" s="1486"/>
    </row>
    <row r="67" spans="1:20" s="497" customFormat="1" ht="15" customHeight="1">
      <c r="B67" s="496"/>
      <c r="C67" s="1486"/>
      <c r="D67" s="1486"/>
      <c r="E67" s="1486"/>
      <c r="F67" s="1486"/>
      <c r="G67" s="1486"/>
      <c r="H67" s="1486"/>
      <c r="I67" s="1486"/>
      <c r="J67" s="1486"/>
      <c r="K67" s="1486"/>
      <c r="L67" s="1486"/>
      <c r="M67" s="1486"/>
      <c r="N67" s="1486"/>
      <c r="O67" s="1486"/>
      <c r="P67" s="1486"/>
      <c r="Q67" s="1486"/>
      <c r="R67" s="1486"/>
      <c r="S67" s="1486"/>
      <c r="T67" s="1486"/>
    </row>
    <row r="68" spans="1:20" s="497" customFormat="1" ht="15" customHeight="1">
      <c r="B68" s="496" t="s">
        <v>570</v>
      </c>
      <c r="C68" s="1486" t="s">
        <v>629</v>
      </c>
      <c r="D68" s="1486"/>
      <c r="E68" s="1486"/>
      <c r="F68" s="1486"/>
      <c r="G68" s="1486"/>
      <c r="H68" s="1486"/>
      <c r="I68" s="1486"/>
      <c r="J68" s="1486"/>
      <c r="K68" s="1486"/>
      <c r="L68" s="1486"/>
      <c r="M68" s="1486"/>
      <c r="N68" s="1486"/>
      <c r="O68" s="1486"/>
      <c r="P68" s="1486"/>
      <c r="Q68" s="1486"/>
      <c r="R68" s="1486"/>
      <c r="S68" s="1486"/>
      <c r="T68" s="1486"/>
    </row>
    <row r="69" spans="1:20" s="497" customFormat="1" ht="15" customHeight="1">
      <c r="B69" s="496"/>
      <c r="C69" s="1486"/>
      <c r="D69" s="1486"/>
      <c r="E69" s="1486"/>
      <c r="F69" s="1486"/>
      <c r="G69" s="1486"/>
      <c r="H69" s="1486"/>
      <c r="I69" s="1486"/>
      <c r="J69" s="1486"/>
      <c r="K69" s="1486"/>
      <c r="L69" s="1486"/>
      <c r="M69" s="1486"/>
      <c r="N69" s="1486"/>
      <c r="O69" s="1486"/>
      <c r="P69" s="1486"/>
      <c r="Q69" s="1486"/>
      <c r="R69" s="1486"/>
      <c r="S69" s="1486"/>
      <c r="T69" s="1486"/>
    </row>
    <row r="70" spans="1:20" s="497" customFormat="1" ht="15" customHeight="1">
      <c r="B70" s="496"/>
      <c r="C70" s="496"/>
    </row>
    <row r="71" spans="1:20" s="497" customFormat="1" ht="15" customHeight="1">
      <c r="A71" s="497" t="s">
        <v>630</v>
      </c>
      <c r="B71" s="496"/>
      <c r="C71" s="496"/>
    </row>
    <row r="72" spans="1:20" s="497" customFormat="1" ht="15" customHeight="1">
      <c r="A72" s="497" t="s">
        <v>631</v>
      </c>
      <c r="B72" s="496"/>
      <c r="C72" s="496" t="s">
        <v>632</v>
      </c>
    </row>
    <row r="73" spans="1:20" s="497" customFormat="1" ht="15" customHeight="1">
      <c r="B73" s="1490" t="s">
        <v>599</v>
      </c>
      <c r="C73" s="1490"/>
      <c r="D73" s="497" t="s">
        <v>633</v>
      </c>
    </row>
    <row r="74" spans="1:20" s="497" customFormat="1" ht="15" customHeight="1">
      <c r="B74" s="1490" t="s">
        <v>601</v>
      </c>
      <c r="C74" s="1490"/>
      <c r="D74" s="497" t="s">
        <v>634</v>
      </c>
    </row>
    <row r="75" spans="1:20" s="497" customFormat="1" ht="15" customHeight="1">
      <c r="B75" s="1490" t="s">
        <v>635</v>
      </c>
      <c r="C75" s="1490"/>
      <c r="D75" s="497" t="s">
        <v>636</v>
      </c>
    </row>
    <row r="76" spans="1:20" s="497" customFormat="1" ht="15" customHeight="1">
      <c r="B76" s="496" t="s">
        <v>570</v>
      </c>
      <c r="C76" s="1486" t="s">
        <v>972</v>
      </c>
      <c r="D76" s="1486"/>
      <c r="E76" s="1486"/>
      <c r="F76" s="1486"/>
      <c r="G76" s="1486"/>
      <c r="H76" s="1486"/>
      <c r="I76" s="1486"/>
      <c r="J76" s="1486"/>
      <c r="K76" s="1486"/>
      <c r="L76" s="1486"/>
      <c r="M76" s="1486"/>
      <c r="N76" s="1486"/>
      <c r="O76" s="1486"/>
      <c r="P76" s="1486"/>
      <c r="Q76" s="1486"/>
      <c r="R76" s="1486"/>
      <c r="S76" s="1486"/>
      <c r="T76" s="1486"/>
    </row>
    <row r="77" spans="1:20" s="497" customFormat="1" ht="15" customHeight="1">
      <c r="B77" s="496"/>
      <c r="C77" s="1486"/>
      <c r="D77" s="1486"/>
      <c r="E77" s="1486"/>
      <c r="F77" s="1486"/>
      <c r="G77" s="1486"/>
      <c r="H77" s="1486"/>
      <c r="I77" s="1486"/>
      <c r="J77" s="1486"/>
      <c r="K77" s="1486"/>
      <c r="L77" s="1486"/>
      <c r="M77" s="1486"/>
      <c r="N77" s="1486"/>
      <c r="O77" s="1486"/>
      <c r="P77" s="1486"/>
      <c r="Q77" s="1486"/>
      <c r="R77" s="1486"/>
      <c r="S77" s="1486"/>
      <c r="T77" s="1486"/>
    </row>
    <row r="78" spans="1:20" s="497" customFormat="1" ht="15" customHeight="1">
      <c r="B78" s="496"/>
      <c r="C78" s="1486"/>
      <c r="D78" s="1486"/>
      <c r="E78" s="1486"/>
      <c r="F78" s="1486"/>
      <c r="G78" s="1486"/>
      <c r="H78" s="1486"/>
      <c r="I78" s="1486"/>
      <c r="J78" s="1486"/>
      <c r="K78" s="1486"/>
      <c r="L78" s="1486"/>
      <c r="M78" s="1486"/>
      <c r="N78" s="1486"/>
      <c r="O78" s="1486"/>
      <c r="P78" s="1486"/>
      <c r="Q78" s="1486"/>
      <c r="R78" s="1486"/>
      <c r="S78" s="1486"/>
      <c r="T78" s="1486"/>
    </row>
    <row r="79" spans="1:20" s="497" customFormat="1" ht="15" customHeight="1">
      <c r="B79" s="496"/>
      <c r="C79" s="496"/>
    </row>
    <row r="80" spans="1:20" s="497" customFormat="1" ht="15" customHeight="1">
      <c r="A80" s="497" t="s">
        <v>638</v>
      </c>
      <c r="B80" s="496"/>
      <c r="C80" s="496"/>
    </row>
    <row r="81" spans="1:41" s="497" customFormat="1" ht="15" customHeight="1">
      <c r="A81" s="497" t="s">
        <v>639</v>
      </c>
      <c r="B81" s="496"/>
      <c r="C81" s="1486" t="s">
        <v>973</v>
      </c>
      <c r="D81" s="1486"/>
      <c r="E81" s="1486"/>
      <c r="F81" s="1486"/>
      <c r="G81" s="1486"/>
      <c r="H81" s="1486"/>
      <c r="I81" s="1486"/>
      <c r="J81" s="1486"/>
      <c r="K81" s="1486"/>
      <c r="L81" s="1486"/>
      <c r="M81" s="1486"/>
      <c r="N81" s="1486"/>
      <c r="O81" s="1486"/>
      <c r="P81" s="1486"/>
      <c r="Q81" s="1486"/>
      <c r="R81" s="1486"/>
      <c r="S81" s="1486"/>
      <c r="T81" s="1486"/>
      <c r="U81" s="514"/>
    </row>
    <row r="82" spans="1:41" s="497" customFormat="1" ht="15" customHeight="1">
      <c r="B82" s="496"/>
      <c r="C82" s="1486"/>
      <c r="D82" s="1486"/>
      <c r="E82" s="1486"/>
      <c r="F82" s="1486"/>
      <c r="G82" s="1486"/>
      <c r="H82" s="1486"/>
      <c r="I82" s="1486"/>
      <c r="J82" s="1486"/>
      <c r="K82" s="1486"/>
      <c r="L82" s="1486"/>
      <c r="M82" s="1486"/>
      <c r="N82" s="1486"/>
      <c r="O82" s="1486"/>
      <c r="P82" s="1486"/>
      <c r="Q82" s="1486"/>
      <c r="R82" s="1486"/>
      <c r="S82" s="1486"/>
      <c r="T82" s="1486"/>
    </row>
    <row r="83" spans="1:41" s="497" customFormat="1" ht="15" customHeight="1">
      <c r="B83" s="496"/>
      <c r="C83" s="1486"/>
      <c r="D83" s="1486"/>
      <c r="E83" s="1486"/>
      <c r="F83" s="1486"/>
      <c r="G83" s="1486"/>
      <c r="H83" s="1486"/>
      <c r="I83" s="1486"/>
      <c r="J83" s="1486"/>
      <c r="K83" s="1486"/>
      <c r="L83" s="1486"/>
      <c r="M83" s="1486"/>
      <c r="N83" s="1486"/>
      <c r="O83" s="1486"/>
      <c r="P83" s="1486"/>
      <c r="Q83" s="1486"/>
      <c r="R83" s="1486"/>
      <c r="S83" s="1486"/>
      <c r="T83" s="1486"/>
    </row>
    <row r="84" spans="1:41" s="497" customFormat="1" ht="15" customHeight="1">
      <c r="B84" s="496" t="s">
        <v>570</v>
      </c>
      <c r="C84" s="1486" t="s">
        <v>974</v>
      </c>
      <c r="D84" s="1486"/>
      <c r="E84" s="1486"/>
      <c r="F84" s="1486"/>
      <c r="G84" s="1486"/>
      <c r="H84" s="1486"/>
      <c r="I84" s="1486"/>
      <c r="J84" s="1486"/>
      <c r="K84" s="1486"/>
      <c r="L84" s="1486"/>
      <c r="M84" s="1486"/>
      <c r="N84" s="1486"/>
      <c r="O84" s="1486"/>
      <c r="P84" s="1486"/>
      <c r="Q84" s="1486"/>
      <c r="R84" s="1486"/>
      <c r="S84" s="1486"/>
      <c r="T84" s="1486"/>
    </row>
    <row r="85" spans="1:41" s="497" customFormat="1" ht="15" customHeight="1">
      <c r="B85" s="496"/>
      <c r="C85" s="1486"/>
      <c r="D85" s="1486"/>
      <c r="E85" s="1486"/>
      <c r="F85" s="1486"/>
      <c r="G85" s="1486"/>
      <c r="H85" s="1486"/>
      <c r="I85" s="1486"/>
      <c r="J85" s="1486"/>
      <c r="K85" s="1486"/>
      <c r="L85" s="1486"/>
      <c r="M85" s="1486"/>
      <c r="N85" s="1486"/>
      <c r="O85" s="1486"/>
      <c r="P85" s="1486"/>
      <c r="Q85" s="1486"/>
      <c r="R85" s="1486"/>
      <c r="S85" s="1486"/>
      <c r="T85" s="1486"/>
    </row>
    <row r="86" spans="1:41" s="497" customFormat="1" ht="15" customHeight="1">
      <c r="B86" s="496"/>
      <c r="C86" s="1486"/>
      <c r="D86" s="1486"/>
      <c r="E86" s="1486"/>
      <c r="F86" s="1486"/>
      <c r="G86" s="1486"/>
      <c r="H86" s="1486"/>
      <c r="I86" s="1486"/>
      <c r="J86" s="1486"/>
      <c r="K86" s="1486"/>
      <c r="L86" s="1486"/>
      <c r="M86" s="1486"/>
      <c r="N86" s="1486"/>
      <c r="O86" s="1486"/>
      <c r="P86" s="1486"/>
      <c r="Q86" s="1486"/>
      <c r="R86" s="1486"/>
      <c r="S86" s="1486"/>
      <c r="T86" s="1486"/>
    </row>
    <row r="87" spans="1:41" s="497" customFormat="1" ht="15" customHeight="1">
      <c r="B87" s="496"/>
      <c r="C87" s="1486"/>
      <c r="D87" s="1486"/>
      <c r="E87" s="1486"/>
      <c r="F87" s="1486"/>
      <c r="G87" s="1486"/>
      <c r="H87" s="1486"/>
      <c r="I87" s="1486"/>
      <c r="J87" s="1486"/>
      <c r="K87" s="1486"/>
      <c r="L87" s="1486"/>
      <c r="M87" s="1486"/>
      <c r="N87" s="1486"/>
      <c r="O87" s="1486"/>
      <c r="P87" s="1486"/>
      <c r="Q87" s="1486"/>
      <c r="R87" s="1486"/>
      <c r="S87" s="1486"/>
      <c r="T87" s="1486"/>
    </row>
    <row r="88" spans="1:41" s="497" customFormat="1" ht="15" customHeight="1">
      <c r="B88" s="496"/>
      <c r="C88" s="496"/>
    </row>
    <row r="89" spans="1:41" s="497" customFormat="1" ht="15" customHeight="1">
      <c r="A89" s="496" t="s">
        <v>1908</v>
      </c>
      <c r="B89" s="799"/>
      <c r="C89" s="799"/>
      <c r="D89" s="799"/>
      <c r="E89" s="799"/>
      <c r="F89" s="800"/>
      <c r="G89" s="800"/>
      <c r="H89" s="800"/>
      <c r="I89" s="800"/>
      <c r="J89" s="800"/>
      <c r="K89" s="800"/>
      <c r="L89" s="800"/>
      <c r="M89" s="800"/>
      <c r="N89" s="800"/>
      <c r="O89" s="800"/>
      <c r="P89" s="800"/>
      <c r="Q89" s="800"/>
      <c r="R89" s="800"/>
      <c r="S89" s="800"/>
      <c r="T89" s="498"/>
      <c r="U89" s="514"/>
      <c r="W89" s="514"/>
      <c r="X89" s="514"/>
      <c r="Y89" s="798"/>
      <c r="Z89" s="798"/>
      <c r="AM89" s="801" t="s">
        <v>1895</v>
      </c>
    </row>
    <row r="90" spans="1:41" s="497" customFormat="1" ht="30" customHeight="1">
      <c r="A90" s="497" t="s">
        <v>643</v>
      </c>
      <c r="C90" s="1487" t="s">
        <v>1909</v>
      </c>
      <c r="D90" s="1487"/>
      <c r="E90" s="1487"/>
      <c r="F90" s="1487"/>
      <c r="G90" s="1487"/>
      <c r="H90" s="1487"/>
      <c r="I90" s="1487"/>
      <c r="J90" s="1487"/>
      <c r="K90" s="1487"/>
      <c r="L90" s="1487"/>
      <c r="M90" s="1487"/>
      <c r="N90" s="1487"/>
      <c r="O90" s="1487"/>
      <c r="P90" s="1487"/>
      <c r="Q90" s="1487"/>
      <c r="R90" s="1487"/>
      <c r="S90" s="1487"/>
      <c r="T90" s="1487"/>
      <c r="U90" s="813"/>
      <c r="V90" s="514"/>
      <c r="W90" s="803"/>
      <c r="X90" s="803"/>
      <c r="Y90" s="803"/>
      <c r="Z90" s="803"/>
      <c r="AA90" s="803"/>
      <c r="AB90" s="803"/>
      <c r="AC90" s="803"/>
      <c r="AD90" s="803"/>
      <c r="AE90" s="803"/>
      <c r="AF90" s="803"/>
      <c r="AG90" s="803"/>
      <c r="AH90" s="803"/>
      <c r="AI90" s="803"/>
      <c r="AJ90" s="803"/>
      <c r="AK90" s="803"/>
      <c r="AL90" s="803"/>
      <c r="AM90" s="803"/>
      <c r="AN90" s="803"/>
      <c r="AO90" s="803"/>
    </row>
    <row r="91" spans="1:41" s="497" customFormat="1" ht="15" customHeight="1">
      <c r="A91" s="802"/>
      <c r="B91" s="804"/>
      <c r="C91" s="1487" t="s">
        <v>1991</v>
      </c>
      <c r="D91" s="1487"/>
      <c r="E91" s="1487"/>
      <c r="F91" s="1487"/>
      <c r="G91" s="1487"/>
      <c r="H91" s="1487"/>
      <c r="I91" s="1487"/>
      <c r="J91" s="1487"/>
      <c r="K91" s="1487"/>
      <c r="L91" s="1487"/>
      <c r="M91" s="1487"/>
      <c r="N91" s="1487"/>
      <c r="O91" s="1487"/>
      <c r="P91" s="1487"/>
      <c r="Q91" s="1487"/>
      <c r="R91" s="1487"/>
      <c r="S91" s="1487"/>
      <c r="T91" s="1487"/>
      <c r="V91" s="514"/>
      <c r="W91" s="803"/>
      <c r="X91" s="803"/>
      <c r="Y91" s="803"/>
      <c r="Z91" s="803"/>
      <c r="AA91" s="803"/>
      <c r="AB91" s="803"/>
      <c r="AC91" s="803"/>
      <c r="AD91" s="803"/>
      <c r="AE91" s="803"/>
      <c r="AF91" s="803"/>
      <c r="AG91" s="803"/>
      <c r="AH91" s="803"/>
      <c r="AI91" s="803"/>
      <c r="AJ91" s="803"/>
      <c r="AK91" s="803"/>
      <c r="AL91" s="803"/>
      <c r="AM91" s="803"/>
      <c r="AN91" s="803"/>
      <c r="AO91" s="803"/>
    </row>
    <row r="92" spans="1:41" s="497" customFormat="1" ht="15" customHeight="1">
      <c r="A92" s="802"/>
      <c r="B92" s="804"/>
      <c r="C92" s="1487"/>
      <c r="D92" s="1487"/>
      <c r="E92" s="1487"/>
      <c r="F92" s="1487"/>
      <c r="G92" s="1487"/>
      <c r="H92" s="1487"/>
      <c r="I92" s="1487"/>
      <c r="J92" s="1487"/>
      <c r="K92" s="1487"/>
      <c r="L92" s="1487"/>
      <c r="M92" s="1487"/>
      <c r="N92" s="1487"/>
      <c r="O92" s="1487"/>
      <c r="P92" s="1487"/>
      <c r="Q92" s="1487"/>
      <c r="R92" s="1487"/>
      <c r="S92" s="1487"/>
      <c r="T92" s="1487"/>
      <c r="V92" s="514"/>
      <c r="W92" s="803"/>
      <c r="X92" s="803"/>
      <c r="Y92" s="803"/>
      <c r="Z92" s="803"/>
      <c r="AA92" s="803"/>
      <c r="AB92" s="803"/>
      <c r="AC92" s="803"/>
      <c r="AD92" s="803"/>
      <c r="AE92" s="803"/>
      <c r="AF92" s="803"/>
      <c r="AG92" s="803"/>
      <c r="AH92" s="803"/>
      <c r="AI92" s="803"/>
      <c r="AJ92" s="803"/>
      <c r="AK92" s="803"/>
      <c r="AL92" s="803"/>
      <c r="AM92" s="803"/>
      <c r="AN92" s="803"/>
      <c r="AO92" s="803"/>
    </row>
    <row r="93" spans="1:41" s="497" customFormat="1" ht="15" customHeight="1">
      <c r="A93" s="802"/>
      <c r="C93" s="805" t="s">
        <v>1896</v>
      </c>
      <c r="D93" s="805"/>
      <c r="E93" s="805"/>
      <c r="F93" s="805"/>
      <c r="G93" s="805"/>
      <c r="H93" s="805"/>
      <c r="I93" s="805"/>
      <c r="J93" s="805"/>
      <c r="K93" s="805"/>
      <c r="L93" s="805"/>
      <c r="M93" s="805"/>
      <c r="N93" s="805"/>
      <c r="O93" s="805"/>
      <c r="P93" s="805"/>
      <c r="Q93" s="805"/>
      <c r="R93" s="805"/>
      <c r="S93" s="805"/>
      <c r="T93" s="806"/>
      <c r="V93" s="514"/>
    </row>
    <row r="94" spans="1:41" s="497" customFormat="1" ht="15" customHeight="1">
      <c r="A94" s="802"/>
      <c r="B94" s="807"/>
      <c r="C94" s="1487" t="s">
        <v>1897</v>
      </c>
      <c r="D94" s="1487"/>
      <c r="E94" s="1487"/>
      <c r="F94" s="1487"/>
      <c r="G94" s="1487"/>
      <c r="H94" s="1487"/>
      <c r="I94" s="1487"/>
      <c r="J94" s="1487"/>
      <c r="K94" s="1487"/>
      <c r="L94" s="1487"/>
      <c r="M94" s="1487"/>
      <c r="N94" s="1487"/>
      <c r="O94" s="1487"/>
      <c r="P94" s="1487"/>
      <c r="Q94" s="1487"/>
      <c r="R94" s="1487"/>
      <c r="S94" s="1487"/>
      <c r="T94" s="1487"/>
      <c r="V94" s="514"/>
      <c r="W94" s="803"/>
      <c r="X94" s="803"/>
      <c r="Y94" s="803"/>
      <c r="Z94" s="803"/>
      <c r="AA94" s="803"/>
      <c r="AB94" s="803"/>
      <c r="AC94" s="803"/>
      <c r="AD94" s="803"/>
      <c r="AE94" s="803"/>
      <c r="AF94" s="803"/>
      <c r="AG94" s="803"/>
      <c r="AH94" s="803"/>
      <c r="AI94" s="803"/>
      <c r="AJ94" s="803"/>
      <c r="AK94" s="803"/>
      <c r="AL94" s="803"/>
      <c r="AM94" s="803"/>
      <c r="AN94" s="803"/>
      <c r="AO94" s="803"/>
    </row>
    <row r="95" spans="1:41" s="497" customFormat="1" ht="15" customHeight="1">
      <c r="A95" s="802"/>
      <c r="B95" s="807"/>
      <c r="C95" s="1487"/>
      <c r="D95" s="1487"/>
      <c r="E95" s="1487"/>
      <c r="F95" s="1487"/>
      <c r="G95" s="1487"/>
      <c r="H95" s="1487"/>
      <c r="I95" s="1487"/>
      <c r="J95" s="1487"/>
      <c r="K95" s="1487"/>
      <c r="L95" s="1487"/>
      <c r="M95" s="1487"/>
      <c r="N95" s="1487"/>
      <c r="O95" s="1487"/>
      <c r="P95" s="1487"/>
      <c r="Q95" s="1487"/>
      <c r="R95" s="1487"/>
      <c r="S95" s="1487"/>
      <c r="T95" s="1487"/>
      <c r="V95" s="514"/>
      <c r="W95" s="803"/>
      <c r="X95" s="803"/>
      <c r="Y95" s="803"/>
      <c r="Z95" s="803"/>
      <c r="AA95" s="803"/>
      <c r="AB95" s="803"/>
      <c r="AC95" s="803"/>
      <c r="AD95" s="803"/>
      <c r="AE95" s="803"/>
      <c r="AF95" s="803"/>
      <c r="AG95" s="803"/>
      <c r="AH95" s="803"/>
      <c r="AI95" s="803"/>
      <c r="AJ95" s="803"/>
      <c r="AK95" s="803"/>
      <c r="AL95" s="803"/>
      <c r="AM95" s="803"/>
      <c r="AN95" s="803"/>
      <c r="AO95" s="803"/>
    </row>
    <row r="96" spans="1:41" s="497" customFormat="1" ht="15" customHeight="1">
      <c r="A96" s="802"/>
      <c r="B96" s="807"/>
      <c r="C96" s="1487" t="s">
        <v>1992</v>
      </c>
      <c r="D96" s="1488"/>
      <c r="E96" s="1488"/>
      <c r="F96" s="1488"/>
      <c r="G96" s="1488"/>
      <c r="H96" s="1488"/>
      <c r="I96" s="1488"/>
      <c r="J96" s="1488"/>
      <c r="K96" s="1488"/>
      <c r="L96" s="1488"/>
      <c r="M96" s="1488"/>
      <c r="N96" s="1488"/>
      <c r="O96" s="1488"/>
      <c r="P96" s="1488"/>
      <c r="Q96" s="1488"/>
      <c r="R96" s="1488"/>
      <c r="S96" s="1488"/>
      <c r="T96" s="1488"/>
      <c r="V96" s="514"/>
      <c r="W96" s="803"/>
      <c r="X96" s="803"/>
      <c r="Y96" s="803"/>
      <c r="Z96" s="803"/>
      <c r="AA96" s="803"/>
      <c r="AB96" s="803"/>
      <c r="AC96" s="803"/>
      <c r="AD96" s="803"/>
      <c r="AE96" s="803"/>
      <c r="AF96" s="803"/>
      <c r="AG96" s="803"/>
      <c r="AH96" s="803"/>
      <c r="AI96" s="803"/>
      <c r="AJ96" s="803"/>
      <c r="AK96" s="803"/>
      <c r="AL96" s="803"/>
      <c r="AM96" s="803"/>
      <c r="AN96" s="803"/>
      <c r="AO96" s="803"/>
    </row>
    <row r="97" spans="1:41" s="497" customFormat="1" ht="15" customHeight="1">
      <c r="A97" s="802"/>
      <c r="B97" s="807"/>
      <c r="C97" s="1488"/>
      <c r="D97" s="1488"/>
      <c r="E97" s="1488"/>
      <c r="F97" s="1488"/>
      <c r="G97" s="1488"/>
      <c r="H97" s="1488"/>
      <c r="I97" s="1488"/>
      <c r="J97" s="1488"/>
      <c r="K97" s="1488"/>
      <c r="L97" s="1488"/>
      <c r="M97" s="1488"/>
      <c r="N97" s="1488"/>
      <c r="O97" s="1488"/>
      <c r="P97" s="1488"/>
      <c r="Q97" s="1488"/>
      <c r="R97" s="1488"/>
      <c r="S97" s="1488"/>
      <c r="T97" s="1488"/>
      <c r="V97" s="514"/>
      <c r="W97" s="803"/>
      <c r="X97" s="803"/>
      <c r="Y97" s="803"/>
      <c r="Z97" s="803"/>
      <c r="AA97" s="803"/>
      <c r="AB97" s="803"/>
      <c r="AC97" s="803"/>
      <c r="AD97" s="803"/>
      <c r="AE97" s="803"/>
      <c r="AF97" s="803"/>
      <c r="AG97" s="803"/>
      <c r="AH97" s="803"/>
      <c r="AI97" s="803"/>
      <c r="AJ97" s="803"/>
      <c r="AK97" s="803"/>
      <c r="AL97" s="803"/>
      <c r="AM97" s="803"/>
      <c r="AN97" s="803"/>
      <c r="AO97" s="803"/>
    </row>
    <row r="98" spans="1:41" s="497" customFormat="1" ht="15" customHeight="1">
      <c r="A98" s="808"/>
      <c r="B98" s="805"/>
      <c r="C98" s="1487" t="s">
        <v>1911</v>
      </c>
      <c r="D98" s="1487"/>
      <c r="E98" s="1487"/>
      <c r="F98" s="1487"/>
      <c r="G98" s="1487"/>
      <c r="H98" s="1487"/>
      <c r="I98" s="1487"/>
      <c r="J98" s="1487"/>
      <c r="K98" s="1487"/>
      <c r="L98" s="1487"/>
      <c r="M98" s="1487"/>
      <c r="N98" s="1487"/>
      <c r="O98" s="1487"/>
      <c r="P98" s="1487"/>
      <c r="Q98" s="1487"/>
      <c r="R98" s="1487"/>
      <c r="S98" s="1487"/>
      <c r="T98" s="1487"/>
      <c r="V98" s="514"/>
      <c r="W98" s="803"/>
      <c r="X98" s="803"/>
      <c r="Y98" s="803"/>
      <c r="Z98" s="803"/>
      <c r="AA98" s="803"/>
      <c r="AB98" s="803"/>
      <c r="AC98" s="803"/>
      <c r="AD98" s="803"/>
      <c r="AE98" s="803"/>
      <c r="AF98" s="803"/>
      <c r="AG98" s="803"/>
      <c r="AH98" s="803"/>
      <c r="AI98" s="803"/>
      <c r="AJ98" s="803"/>
      <c r="AK98" s="803"/>
      <c r="AL98" s="803"/>
      <c r="AM98" s="803"/>
      <c r="AN98" s="803"/>
      <c r="AO98" s="803"/>
    </row>
    <row r="99" spans="1:41" s="497" customFormat="1" ht="15" customHeight="1">
      <c r="A99" s="808"/>
      <c r="B99" s="805"/>
      <c r="C99" s="1487"/>
      <c r="D99" s="1487"/>
      <c r="E99" s="1487"/>
      <c r="F99" s="1487"/>
      <c r="G99" s="1487"/>
      <c r="H99" s="1487"/>
      <c r="I99" s="1487"/>
      <c r="J99" s="1487"/>
      <c r="K99" s="1487"/>
      <c r="L99" s="1487"/>
      <c r="M99" s="1487"/>
      <c r="N99" s="1487"/>
      <c r="O99" s="1487"/>
      <c r="P99" s="1487"/>
      <c r="Q99" s="1487"/>
      <c r="R99" s="1487"/>
      <c r="S99" s="1487"/>
      <c r="T99" s="1487"/>
      <c r="V99" s="514"/>
      <c r="W99" s="803"/>
      <c r="X99" s="803"/>
      <c r="Y99" s="803"/>
      <c r="Z99" s="803"/>
      <c r="AA99" s="803"/>
      <c r="AB99" s="803"/>
      <c r="AC99" s="803"/>
      <c r="AD99" s="803"/>
      <c r="AE99" s="803"/>
      <c r="AF99" s="803"/>
      <c r="AG99" s="803"/>
      <c r="AH99" s="803"/>
      <c r="AI99" s="803"/>
      <c r="AJ99" s="803"/>
      <c r="AK99" s="803"/>
      <c r="AL99" s="803"/>
      <c r="AM99" s="803"/>
      <c r="AN99" s="803"/>
      <c r="AO99" s="803"/>
    </row>
    <row r="100" spans="1:41" s="497" customFormat="1" ht="15" customHeight="1">
      <c r="A100" s="496"/>
      <c r="B100" s="814" t="s">
        <v>570</v>
      </c>
      <c r="C100" s="1494" t="s">
        <v>1993</v>
      </c>
      <c r="D100" s="1494"/>
      <c r="E100" s="1494"/>
      <c r="F100" s="1494"/>
      <c r="G100" s="1494"/>
      <c r="H100" s="1494"/>
      <c r="I100" s="1494"/>
      <c r="J100" s="1494"/>
      <c r="K100" s="1494"/>
      <c r="L100" s="1494"/>
      <c r="M100" s="1494"/>
      <c r="N100" s="1494"/>
      <c r="O100" s="1494"/>
      <c r="P100" s="1494"/>
      <c r="Q100" s="1494"/>
      <c r="R100" s="1494"/>
      <c r="S100" s="1494"/>
      <c r="T100" s="1494"/>
      <c r="W100" s="514"/>
      <c r="X100" s="514"/>
      <c r="Y100" s="798"/>
      <c r="Z100" s="798"/>
    </row>
    <row r="101" spans="1:41" s="497" customFormat="1" ht="15" customHeight="1">
      <c r="A101" s="496"/>
      <c r="B101" s="814"/>
      <c r="C101" s="1494"/>
      <c r="D101" s="1494"/>
      <c r="E101" s="1494"/>
      <c r="F101" s="1494"/>
      <c r="G101" s="1494"/>
      <c r="H101" s="1494"/>
      <c r="I101" s="1494"/>
      <c r="J101" s="1494"/>
      <c r="K101" s="1494"/>
      <c r="L101" s="1494"/>
      <c r="M101" s="1494"/>
      <c r="N101" s="1494"/>
      <c r="O101" s="1494"/>
      <c r="P101" s="1494"/>
      <c r="Q101" s="1494"/>
      <c r="R101" s="1494"/>
      <c r="S101" s="1494"/>
      <c r="T101" s="1494"/>
      <c r="W101" s="514"/>
      <c r="X101" s="514"/>
      <c r="Y101" s="798"/>
      <c r="Z101" s="798"/>
    </row>
    <row r="102" spans="1:41" s="497" customFormat="1" ht="15" customHeight="1">
      <c r="A102" s="496"/>
      <c r="B102" s="814" t="s">
        <v>595</v>
      </c>
      <c r="C102" s="1494" t="s">
        <v>1913</v>
      </c>
      <c r="D102" s="1494"/>
      <c r="E102" s="1494"/>
      <c r="F102" s="1494"/>
      <c r="G102" s="1494"/>
      <c r="H102" s="1494"/>
      <c r="I102" s="1494"/>
      <c r="J102" s="1494"/>
      <c r="K102" s="1494"/>
      <c r="L102" s="1494"/>
      <c r="M102" s="1494"/>
      <c r="N102" s="1494"/>
      <c r="O102" s="1494"/>
      <c r="P102" s="1494"/>
      <c r="Q102" s="1494"/>
      <c r="R102" s="1494"/>
      <c r="S102" s="1494"/>
      <c r="T102" s="1494"/>
      <c r="W102" s="514"/>
      <c r="X102" s="514"/>
      <c r="Y102" s="798"/>
      <c r="Z102" s="798"/>
    </row>
    <row r="103" spans="1:41" s="497" customFormat="1" ht="15" customHeight="1">
      <c r="A103" s="496"/>
      <c r="B103" s="814"/>
      <c r="C103" s="1494"/>
      <c r="D103" s="1494"/>
      <c r="E103" s="1494"/>
      <c r="F103" s="1494"/>
      <c r="G103" s="1494"/>
      <c r="H103" s="1494"/>
      <c r="I103" s="1494"/>
      <c r="J103" s="1494"/>
      <c r="K103" s="1494"/>
      <c r="L103" s="1494"/>
      <c r="M103" s="1494"/>
      <c r="N103" s="1494"/>
      <c r="O103" s="1494"/>
      <c r="P103" s="1494"/>
      <c r="Q103" s="1494"/>
      <c r="R103" s="1494"/>
      <c r="S103" s="1494"/>
      <c r="T103" s="1494"/>
      <c r="W103" s="514"/>
      <c r="X103" s="514"/>
      <c r="Y103" s="798"/>
      <c r="Z103" s="798"/>
    </row>
    <row r="104" spans="1:41" s="497" customFormat="1" ht="15" customHeight="1">
      <c r="A104" s="496"/>
      <c r="B104" s="814"/>
      <c r="C104" s="1494"/>
      <c r="D104" s="1494"/>
      <c r="E104" s="1494"/>
      <c r="F104" s="1494"/>
      <c r="G104" s="1494"/>
      <c r="H104" s="1494"/>
      <c r="I104" s="1494"/>
      <c r="J104" s="1494"/>
      <c r="K104" s="1494"/>
      <c r="L104" s="1494"/>
      <c r="M104" s="1494"/>
      <c r="N104" s="1494"/>
      <c r="O104" s="1494"/>
      <c r="P104" s="1494"/>
      <c r="Q104" s="1494"/>
      <c r="R104" s="1494"/>
      <c r="S104" s="1494"/>
      <c r="T104" s="1494"/>
      <c r="W104" s="514"/>
      <c r="X104" s="514"/>
      <c r="Y104" s="798"/>
      <c r="Z104" s="798"/>
    </row>
    <row r="105" spans="1:41" s="497" customFormat="1" ht="15" customHeight="1">
      <c r="A105" s="808"/>
      <c r="B105" s="814" t="s">
        <v>597</v>
      </c>
      <c r="C105" s="1487" t="s">
        <v>1914</v>
      </c>
      <c r="D105" s="1487"/>
      <c r="E105" s="1487"/>
      <c r="F105" s="1487"/>
      <c r="G105" s="1487"/>
      <c r="H105" s="1487"/>
      <c r="I105" s="1487"/>
      <c r="J105" s="1487"/>
      <c r="K105" s="1487"/>
      <c r="L105" s="1487"/>
      <c r="M105" s="1487"/>
      <c r="N105" s="1487"/>
      <c r="O105" s="1487"/>
      <c r="P105" s="1487"/>
      <c r="Q105" s="1487"/>
      <c r="R105" s="1487"/>
      <c r="S105" s="1487"/>
      <c r="T105" s="1487"/>
      <c r="V105" s="514"/>
      <c r="W105" s="803"/>
      <c r="X105" s="803"/>
      <c r="Y105" s="803"/>
      <c r="Z105" s="803"/>
      <c r="AA105" s="803"/>
      <c r="AB105" s="803"/>
      <c r="AC105" s="803"/>
      <c r="AD105" s="803"/>
      <c r="AE105" s="803"/>
      <c r="AF105" s="803"/>
      <c r="AG105" s="803"/>
      <c r="AH105" s="803"/>
      <c r="AI105" s="803"/>
      <c r="AJ105" s="803"/>
      <c r="AK105" s="803"/>
      <c r="AL105" s="803"/>
      <c r="AM105" s="803"/>
      <c r="AN105" s="803"/>
      <c r="AO105" s="803"/>
    </row>
    <row r="106" spans="1:41" s="497" customFormat="1" ht="15" customHeight="1">
      <c r="A106" s="808"/>
      <c r="B106" s="805"/>
      <c r="C106" s="1487"/>
      <c r="D106" s="1487"/>
      <c r="E106" s="1487"/>
      <c r="F106" s="1487"/>
      <c r="G106" s="1487"/>
      <c r="H106" s="1487"/>
      <c r="I106" s="1487"/>
      <c r="J106" s="1487"/>
      <c r="K106" s="1487"/>
      <c r="L106" s="1487"/>
      <c r="M106" s="1487"/>
      <c r="N106" s="1487"/>
      <c r="O106" s="1487"/>
      <c r="P106" s="1487"/>
      <c r="Q106" s="1487"/>
      <c r="R106" s="1487"/>
      <c r="S106" s="1487"/>
      <c r="T106" s="1487"/>
      <c r="V106" s="514"/>
      <c r="W106" s="803"/>
      <c r="X106" s="803"/>
      <c r="Y106" s="803"/>
      <c r="Z106" s="803"/>
      <c r="AA106" s="803"/>
      <c r="AB106" s="803"/>
      <c r="AC106" s="803"/>
      <c r="AD106" s="803"/>
      <c r="AE106" s="803"/>
      <c r="AF106" s="803"/>
      <c r="AG106" s="803"/>
      <c r="AH106" s="803"/>
      <c r="AI106" s="803"/>
      <c r="AJ106" s="803"/>
      <c r="AK106" s="803"/>
      <c r="AL106" s="803"/>
      <c r="AM106" s="803"/>
      <c r="AN106" s="803"/>
      <c r="AO106" s="803"/>
    </row>
    <row r="107" spans="1:41" s="497" customFormat="1" ht="15" customHeight="1">
      <c r="A107" s="808"/>
      <c r="B107" s="805"/>
      <c r="C107" s="805"/>
      <c r="D107" s="805"/>
      <c r="E107" s="805"/>
      <c r="F107" s="805"/>
      <c r="G107" s="805"/>
      <c r="H107" s="805"/>
      <c r="I107" s="805"/>
      <c r="J107" s="805"/>
      <c r="K107" s="805"/>
      <c r="L107" s="805"/>
      <c r="M107" s="805"/>
      <c r="N107" s="805"/>
      <c r="O107" s="805"/>
      <c r="P107" s="805"/>
      <c r="Q107" s="805"/>
      <c r="R107" s="805"/>
      <c r="S107" s="805"/>
      <c r="T107" s="806"/>
      <c r="V107" s="514"/>
      <c r="W107" s="803"/>
      <c r="X107" s="803"/>
      <c r="Y107" s="803"/>
      <c r="Z107" s="803"/>
      <c r="AA107" s="803"/>
      <c r="AB107" s="803"/>
      <c r="AC107" s="803"/>
      <c r="AD107" s="803"/>
      <c r="AE107" s="803"/>
      <c r="AF107" s="803"/>
      <c r="AG107" s="803"/>
      <c r="AH107" s="803"/>
      <c r="AI107" s="803"/>
      <c r="AJ107" s="803"/>
      <c r="AK107" s="803"/>
      <c r="AL107" s="803"/>
      <c r="AM107" s="803"/>
      <c r="AN107" s="803"/>
      <c r="AO107" s="803"/>
    </row>
    <row r="108" spans="1:41" s="497" customFormat="1" ht="15" customHeight="1">
      <c r="A108" s="497" t="s">
        <v>642</v>
      </c>
      <c r="B108" s="496"/>
      <c r="C108" s="496"/>
    </row>
    <row r="109" spans="1:41" s="497" customFormat="1" ht="15" customHeight="1">
      <c r="A109" s="497" t="s">
        <v>646</v>
      </c>
      <c r="B109" s="496"/>
      <c r="C109" s="1486" t="s">
        <v>975</v>
      </c>
      <c r="D109" s="1486"/>
      <c r="E109" s="1486"/>
      <c r="F109" s="1486"/>
      <c r="G109" s="1486"/>
      <c r="H109" s="1486"/>
      <c r="I109" s="1486"/>
      <c r="J109" s="1486"/>
      <c r="K109" s="1486"/>
      <c r="L109" s="1486"/>
      <c r="M109" s="1486"/>
      <c r="N109" s="1486"/>
      <c r="O109" s="1486"/>
      <c r="P109" s="1486"/>
      <c r="Q109" s="1486"/>
      <c r="R109" s="1486"/>
      <c r="S109" s="1486"/>
      <c r="T109" s="1486"/>
    </row>
    <row r="110" spans="1:41" s="497" customFormat="1" ht="15" customHeight="1">
      <c r="B110" s="496"/>
      <c r="C110" s="1486"/>
      <c r="D110" s="1486"/>
      <c r="E110" s="1486"/>
      <c r="F110" s="1486"/>
      <c r="G110" s="1486"/>
      <c r="H110" s="1486"/>
      <c r="I110" s="1486"/>
      <c r="J110" s="1486"/>
      <c r="K110" s="1486"/>
      <c r="L110" s="1486"/>
      <c r="M110" s="1486"/>
      <c r="N110" s="1486"/>
      <c r="O110" s="1486"/>
      <c r="P110" s="1486"/>
      <c r="Q110" s="1486"/>
      <c r="R110" s="1486"/>
      <c r="S110" s="1486"/>
      <c r="T110" s="1486"/>
    </row>
    <row r="111" spans="1:41" s="497" customFormat="1" ht="15" customHeight="1">
      <c r="B111" s="496"/>
      <c r="C111" s="1486"/>
      <c r="D111" s="1486"/>
      <c r="E111" s="1486"/>
      <c r="F111" s="1486"/>
      <c r="G111" s="1486"/>
      <c r="H111" s="1486"/>
      <c r="I111" s="1486"/>
      <c r="J111" s="1486"/>
      <c r="K111" s="1486"/>
      <c r="L111" s="1486"/>
      <c r="M111" s="1486"/>
      <c r="N111" s="1486"/>
      <c r="O111" s="1486"/>
      <c r="P111" s="1486"/>
      <c r="Q111" s="1486"/>
      <c r="R111" s="1486"/>
      <c r="S111" s="1486"/>
      <c r="T111" s="1486"/>
    </row>
    <row r="112" spans="1:41" s="497" customFormat="1" ht="15" customHeight="1">
      <c r="B112" s="496"/>
      <c r="C112" s="496"/>
    </row>
    <row r="113" spans="1:24" s="497" customFormat="1" ht="15" customHeight="1">
      <c r="A113" s="497" t="s">
        <v>645</v>
      </c>
      <c r="B113" s="496"/>
      <c r="C113" s="496"/>
    </row>
    <row r="114" spans="1:24" s="497" customFormat="1" ht="15" customHeight="1">
      <c r="A114" s="497" t="s">
        <v>671</v>
      </c>
      <c r="B114" s="496"/>
      <c r="C114" s="1486" t="s">
        <v>976</v>
      </c>
      <c r="D114" s="1486"/>
      <c r="E114" s="1486"/>
      <c r="F114" s="1486"/>
      <c r="G114" s="1486"/>
      <c r="H114" s="1486"/>
      <c r="I114" s="1486"/>
      <c r="J114" s="1486"/>
      <c r="K114" s="1486"/>
      <c r="L114" s="1486"/>
      <c r="M114" s="1486"/>
      <c r="N114" s="1486"/>
      <c r="O114" s="1486"/>
      <c r="P114" s="1486"/>
      <c r="Q114" s="1486"/>
      <c r="R114" s="1486"/>
      <c r="S114" s="1486"/>
      <c r="T114" s="1486"/>
    </row>
    <row r="115" spans="1:24" s="497" customFormat="1" ht="15" customHeight="1">
      <c r="B115" s="496"/>
      <c r="C115" s="1486"/>
      <c r="D115" s="1486"/>
      <c r="E115" s="1486"/>
      <c r="F115" s="1486"/>
      <c r="G115" s="1486"/>
      <c r="H115" s="1486"/>
      <c r="I115" s="1486"/>
      <c r="J115" s="1486"/>
      <c r="K115" s="1486"/>
      <c r="L115" s="1486"/>
      <c r="M115" s="1486"/>
      <c r="N115" s="1486"/>
      <c r="O115" s="1486"/>
      <c r="P115" s="1486"/>
      <c r="Q115" s="1486"/>
      <c r="R115" s="1486"/>
      <c r="S115" s="1486"/>
      <c r="T115" s="1486"/>
    </row>
    <row r="116" spans="1:24" s="497" customFormat="1" ht="15" customHeight="1">
      <c r="B116" s="496" t="s">
        <v>570</v>
      </c>
      <c r="C116" s="1486" t="s">
        <v>977</v>
      </c>
      <c r="D116" s="1486"/>
      <c r="E116" s="1486"/>
      <c r="F116" s="1486"/>
      <c r="G116" s="1486"/>
      <c r="H116" s="1486"/>
      <c r="I116" s="1486"/>
      <c r="J116" s="1486"/>
      <c r="K116" s="1486"/>
      <c r="L116" s="1486"/>
      <c r="M116" s="1486"/>
      <c r="N116" s="1486"/>
      <c r="O116" s="1486"/>
      <c r="P116" s="1486"/>
      <c r="Q116" s="1486"/>
      <c r="R116" s="1486"/>
      <c r="S116" s="1486"/>
      <c r="T116" s="1486"/>
    </row>
    <row r="117" spans="1:24" s="497" customFormat="1" ht="15" customHeight="1">
      <c r="B117" s="496"/>
      <c r="C117" s="1486"/>
      <c r="D117" s="1486"/>
      <c r="E117" s="1486"/>
      <c r="F117" s="1486"/>
      <c r="G117" s="1486"/>
      <c r="H117" s="1486"/>
      <c r="I117" s="1486"/>
      <c r="J117" s="1486"/>
      <c r="K117" s="1486"/>
      <c r="L117" s="1486"/>
      <c r="M117" s="1486"/>
      <c r="N117" s="1486"/>
      <c r="O117" s="1486"/>
      <c r="P117" s="1486"/>
      <c r="Q117" s="1486"/>
      <c r="R117" s="1486"/>
      <c r="S117" s="1486"/>
      <c r="T117" s="1486"/>
    </row>
    <row r="118" spans="1:24" s="497" customFormat="1" ht="15" customHeight="1">
      <c r="B118" s="496" t="s">
        <v>595</v>
      </c>
      <c r="C118" s="1486" t="s">
        <v>978</v>
      </c>
      <c r="D118" s="1486"/>
      <c r="E118" s="1486"/>
      <c r="F118" s="1486"/>
      <c r="G118" s="1486"/>
      <c r="H118" s="1486"/>
      <c r="I118" s="1486"/>
      <c r="J118" s="1486"/>
      <c r="K118" s="1486"/>
      <c r="L118" s="1486"/>
      <c r="M118" s="1486"/>
      <c r="N118" s="1486"/>
      <c r="O118" s="1486"/>
      <c r="P118" s="1486"/>
      <c r="Q118" s="1486"/>
      <c r="R118" s="1486"/>
      <c r="S118" s="1486"/>
      <c r="T118" s="1486"/>
    </row>
    <row r="119" spans="1:24" s="497" customFormat="1" ht="15" customHeight="1">
      <c r="B119" s="496"/>
      <c r="C119" s="1486"/>
      <c r="D119" s="1486"/>
      <c r="E119" s="1486"/>
      <c r="F119" s="1486"/>
      <c r="G119" s="1486"/>
      <c r="H119" s="1486"/>
      <c r="I119" s="1486"/>
      <c r="J119" s="1486"/>
      <c r="K119" s="1486"/>
      <c r="L119" s="1486"/>
      <c r="M119" s="1486"/>
      <c r="N119" s="1486"/>
      <c r="O119" s="1486"/>
      <c r="P119" s="1486"/>
      <c r="Q119" s="1486"/>
      <c r="R119" s="1486"/>
      <c r="S119" s="1486"/>
      <c r="T119" s="1486"/>
    </row>
    <row r="120" spans="1:24" s="497" customFormat="1" ht="15" customHeight="1">
      <c r="B120" s="844" t="s">
        <v>597</v>
      </c>
      <c r="C120" s="1486" t="s">
        <v>650</v>
      </c>
      <c r="D120" s="1486"/>
      <c r="E120" s="1486"/>
      <c r="F120" s="1486"/>
      <c r="G120" s="1486"/>
      <c r="H120" s="1486"/>
      <c r="I120" s="1486"/>
      <c r="J120" s="1486"/>
      <c r="K120" s="1486"/>
      <c r="L120" s="1486"/>
      <c r="M120" s="1486"/>
      <c r="N120" s="1486"/>
      <c r="O120" s="1486"/>
      <c r="P120" s="1486"/>
      <c r="Q120" s="1486"/>
      <c r="R120" s="1486"/>
      <c r="S120" s="1486"/>
      <c r="T120" s="1486"/>
    </row>
    <row r="121" spans="1:24" s="497" customFormat="1" ht="15" customHeight="1">
      <c r="B121" s="496"/>
      <c r="C121" s="1486"/>
      <c r="D121" s="1486"/>
      <c r="E121" s="1486"/>
      <c r="F121" s="1486"/>
      <c r="G121" s="1486"/>
      <c r="H121" s="1486"/>
      <c r="I121" s="1486"/>
      <c r="J121" s="1486"/>
      <c r="K121" s="1486"/>
      <c r="L121" s="1486"/>
      <c r="M121" s="1486"/>
      <c r="N121" s="1486"/>
      <c r="O121" s="1486"/>
      <c r="P121" s="1486"/>
      <c r="Q121" s="1486"/>
      <c r="R121" s="1486"/>
      <c r="S121" s="1486"/>
      <c r="T121" s="1486"/>
    </row>
    <row r="122" spans="1:24" s="497" customFormat="1" ht="15" customHeight="1">
      <c r="B122" s="1490" t="s">
        <v>599</v>
      </c>
      <c r="C122" s="1490"/>
      <c r="D122" s="1486" t="s">
        <v>979</v>
      </c>
      <c r="E122" s="1486"/>
      <c r="F122" s="1486"/>
      <c r="G122" s="1486"/>
      <c r="H122" s="1486"/>
      <c r="I122" s="1486"/>
      <c r="J122" s="1486"/>
      <c r="K122" s="1486"/>
      <c r="L122" s="1486"/>
      <c r="M122" s="1486"/>
      <c r="N122" s="1486"/>
      <c r="O122" s="1486"/>
      <c r="P122" s="1486"/>
      <c r="Q122" s="1486"/>
      <c r="R122" s="1486"/>
      <c r="S122" s="1486"/>
      <c r="T122" s="1486"/>
      <c r="X122" s="514"/>
    </row>
    <row r="123" spans="1:24" s="497" customFormat="1" ht="15" customHeight="1">
      <c r="D123" s="1486"/>
      <c r="E123" s="1486"/>
      <c r="F123" s="1486"/>
      <c r="G123" s="1486"/>
      <c r="H123" s="1486"/>
      <c r="I123" s="1486"/>
      <c r="J123" s="1486"/>
      <c r="K123" s="1486"/>
      <c r="L123" s="1486"/>
      <c r="M123" s="1486"/>
      <c r="N123" s="1486"/>
      <c r="O123" s="1486"/>
      <c r="P123" s="1486"/>
      <c r="Q123" s="1486"/>
      <c r="R123" s="1486"/>
      <c r="S123" s="1486"/>
      <c r="T123" s="1486"/>
    </row>
    <row r="124" spans="1:24" s="497" customFormat="1" ht="15" customHeight="1">
      <c r="B124" s="1490" t="s">
        <v>980</v>
      </c>
      <c r="C124" s="1490"/>
      <c r="D124" s="497" t="s">
        <v>654</v>
      </c>
    </row>
    <row r="125" spans="1:24" s="497" customFormat="1" ht="15" customHeight="1">
      <c r="B125" s="1490" t="s">
        <v>981</v>
      </c>
      <c r="C125" s="1490"/>
      <c r="D125" s="497" t="s">
        <v>982</v>
      </c>
    </row>
    <row r="126" spans="1:24" s="497" customFormat="1" ht="15" customHeight="1">
      <c r="B126" s="1490" t="s">
        <v>983</v>
      </c>
      <c r="C126" s="1490"/>
      <c r="D126" s="497" t="s">
        <v>658</v>
      </c>
    </row>
    <row r="127" spans="1:24" s="497" customFormat="1" ht="15" customHeight="1">
      <c r="B127" s="496"/>
      <c r="C127" s="513"/>
      <c r="D127" s="1486" t="s">
        <v>984</v>
      </c>
      <c r="E127" s="1486"/>
      <c r="F127" s="1486"/>
      <c r="G127" s="1486"/>
      <c r="H127" s="1486"/>
      <c r="I127" s="1486"/>
      <c r="J127" s="1486"/>
      <c r="K127" s="1486"/>
      <c r="L127" s="1486"/>
      <c r="M127" s="1486"/>
      <c r="N127" s="1486"/>
      <c r="O127" s="1486"/>
      <c r="P127" s="1486"/>
      <c r="Q127" s="1486"/>
      <c r="R127" s="1486"/>
      <c r="S127" s="1486"/>
      <c r="T127" s="1486"/>
    </row>
    <row r="128" spans="1:24" s="497" customFormat="1" ht="15" customHeight="1">
      <c r="B128" s="496"/>
      <c r="C128" s="496"/>
      <c r="D128" s="1486"/>
      <c r="E128" s="1486"/>
      <c r="F128" s="1486"/>
      <c r="G128" s="1486"/>
      <c r="H128" s="1486"/>
      <c r="I128" s="1486"/>
      <c r="J128" s="1486"/>
      <c r="K128" s="1486"/>
      <c r="L128" s="1486"/>
      <c r="M128" s="1486"/>
      <c r="N128" s="1486"/>
      <c r="O128" s="1486"/>
      <c r="P128" s="1486"/>
      <c r="Q128" s="1486"/>
      <c r="R128" s="1486"/>
      <c r="S128" s="1486"/>
      <c r="T128" s="1486"/>
    </row>
    <row r="129" spans="1:20" s="497" customFormat="1" ht="15" customHeight="1">
      <c r="B129" s="496"/>
      <c r="C129" s="496"/>
      <c r="D129" s="1486"/>
      <c r="E129" s="1486"/>
      <c r="F129" s="1486"/>
      <c r="G129" s="1486"/>
      <c r="H129" s="1486"/>
      <c r="I129" s="1486"/>
      <c r="J129" s="1486"/>
      <c r="K129" s="1486"/>
      <c r="L129" s="1486"/>
      <c r="M129" s="1486"/>
      <c r="N129" s="1486"/>
      <c r="O129" s="1486"/>
      <c r="P129" s="1486"/>
      <c r="Q129" s="1486"/>
      <c r="R129" s="1486"/>
      <c r="S129" s="1486"/>
      <c r="T129" s="1486"/>
    </row>
    <row r="130" spans="1:20" s="497" customFormat="1" ht="15" customHeight="1">
      <c r="B130" s="844" t="s">
        <v>603</v>
      </c>
      <c r="C130" s="1489" t="s">
        <v>661</v>
      </c>
      <c r="D130" s="1489"/>
      <c r="E130" s="1489"/>
      <c r="F130" s="1489"/>
      <c r="G130" s="1489"/>
      <c r="H130" s="1489"/>
      <c r="I130" s="1489"/>
      <c r="J130" s="1489"/>
      <c r="K130" s="1489"/>
      <c r="L130" s="1489"/>
      <c r="M130" s="1489"/>
      <c r="N130" s="1489"/>
      <c r="O130" s="1489"/>
      <c r="P130" s="1489"/>
      <c r="Q130" s="1489"/>
      <c r="R130" s="1489"/>
      <c r="S130" s="1489"/>
      <c r="T130" s="1489"/>
    </row>
    <row r="131" spans="1:20" s="497" customFormat="1" ht="15" customHeight="1">
      <c r="B131" s="496"/>
      <c r="C131" s="1489"/>
      <c r="D131" s="1489"/>
      <c r="E131" s="1489"/>
      <c r="F131" s="1489"/>
      <c r="G131" s="1489"/>
      <c r="H131" s="1489"/>
      <c r="I131" s="1489"/>
      <c r="J131" s="1489"/>
      <c r="K131" s="1489"/>
      <c r="L131" s="1489"/>
      <c r="M131" s="1489"/>
      <c r="N131" s="1489"/>
      <c r="O131" s="1489"/>
      <c r="P131" s="1489"/>
      <c r="Q131" s="1489"/>
      <c r="R131" s="1489"/>
      <c r="S131" s="1489"/>
      <c r="T131" s="1489"/>
    </row>
    <row r="132" spans="1:20" s="497" customFormat="1" ht="15" customHeight="1">
      <c r="B132" s="496"/>
      <c r="C132" s="1489"/>
      <c r="D132" s="1489"/>
      <c r="E132" s="1489"/>
      <c r="F132" s="1489"/>
      <c r="G132" s="1489"/>
      <c r="H132" s="1489"/>
      <c r="I132" s="1489"/>
      <c r="J132" s="1489"/>
      <c r="K132" s="1489"/>
      <c r="L132" s="1489"/>
      <c r="M132" s="1489"/>
      <c r="N132" s="1489"/>
      <c r="O132" s="1489"/>
      <c r="P132" s="1489"/>
      <c r="Q132" s="1489"/>
      <c r="R132" s="1489"/>
      <c r="S132" s="1489"/>
      <c r="T132" s="1489"/>
    </row>
    <row r="133" spans="1:20" s="497" customFormat="1" ht="15" customHeight="1">
      <c r="B133" s="496" t="s">
        <v>606</v>
      </c>
      <c r="C133" s="1489" t="s">
        <v>985</v>
      </c>
      <c r="D133" s="1489"/>
      <c r="E133" s="1489"/>
      <c r="F133" s="1489"/>
      <c r="G133" s="1489"/>
      <c r="H133" s="1489"/>
      <c r="I133" s="1489"/>
      <c r="J133" s="1489"/>
      <c r="K133" s="1489"/>
      <c r="L133" s="1489"/>
      <c r="M133" s="1489"/>
      <c r="N133" s="1489"/>
      <c r="O133" s="1489"/>
      <c r="P133" s="1489"/>
      <c r="Q133" s="1489"/>
      <c r="R133" s="1489"/>
      <c r="S133" s="1489"/>
      <c r="T133" s="1489"/>
    </row>
    <row r="134" spans="1:20" s="497" customFormat="1" ht="15" customHeight="1">
      <c r="B134" s="496"/>
      <c r="C134" s="1489"/>
      <c r="D134" s="1489"/>
      <c r="E134" s="1489"/>
      <c r="F134" s="1489"/>
      <c r="G134" s="1489"/>
      <c r="H134" s="1489"/>
      <c r="I134" s="1489"/>
      <c r="J134" s="1489"/>
      <c r="K134" s="1489"/>
      <c r="L134" s="1489"/>
      <c r="M134" s="1489"/>
      <c r="N134" s="1489"/>
      <c r="O134" s="1489"/>
      <c r="P134" s="1489"/>
      <c r="Q134" s="1489"/>
      <c r="R134" s="1489"/>
      <c r="S134" s="1489"/>
      <c r="T134" s="1489"/>
    </row>
    <row r="135" spans="1:20" s="497" customFormat="1" ht="15" customHeight="1">
      <c r="B135" s="496" t="s">
        <v>663</v>
      </c>
      <c r="C135" s="1489" t="s">
        <v>986</v>
      </c>
      <c r="D135" s="1489"/>
      <c r="E135" s="1489"/>
      <c r="F135" s="1489"/>
      <c r="G135" s="1489"/>
      <c r="H135" s="1489"/>
      <c r="I135" s="1489"/>
      <c r="J135" s="1489"/>
      <c r="K135" s="1489"/>
      <c r="L135" s="1489"/>
      <c r="M135" s="1489"/>
      <c r="N135" s="1489"/>
      <c r="O135" s="1489"/>
      <c r="P135" s="1489"/>
      <c r="Q135" s="1489"/>
      <c r="R135" s="1489"/>
      <c r="S135" s="1489"/>
      <c r="T135" s="1489"/>
    </row>
    <row r="136" spans="1:20" s="497" customFormat="1" ht="15" customHeight="1">
      <c r="B136" s="496"/>
      <c r="C136" s="1489"/>
      <c r="D136" s="1489"/>
      <c r="E136" s="1489"/>
      <c r="F136" s="1489"/>
      <c r="G136" s="1489"/>
      <c r="H136" s="1489"/>
      <c r="I136" s="1489"/>
      <c r="J136" s="1489"/>
      <c r="K136" s="1489"/>
      <c r="L136" s="1489"/>
      <c r="M136" s="1489"/>
      <c r="N136" s="1489"/>
      <c r="O136" s="1489"/>
      <c r="P136" s="1489"/>
      <c r="Q136" s="1489"/>
      <c r="R136" s="1489"/>
      <c r="S136" s="1489"/>
      <c r="T136" s="1489"/>
    </row>
    <row r="137" spans="1:20" s="497" customFormat="1" ht="15" customHeight="1">
      <c r="B137" s="496" t="s">
        <v>665</v>
      </c>
      <c r="C137" s="1489" t="s">
        <v>666</v>
      </c>
      <c r="D137" s="1489"/>
      <c r="E137" s="1489"/>
      <c r="F137" s="1489"/>
      <c r="G137" s="1489"/>
      <c r="H137" s="1489"/>
      <c r="I137" s="1489"/>
      <c r="J137" s="1489"/>
      <c r="K137" s="1489"/>
      <c r="L137" s="1489"/>
      <c r="M137" s="1489"/>
      <c r="N137" s="1489"/>
      <c r="O137" s="1489"/>
      <c r="P137" s="1489"/>
      <c r="Q137" s="1489"/>
      <c r="R137" s="1489"/>
      <c r="S137" s="1489"/>
      <c r="T137" s="1489"/>
    </row>
    <row r="138" spans="1:20" s="497" customFormat="1" ht="15" customHeight="1">
      <c r="B138" s="496"/>
      <c r="C138" s="1489"/>
      <c r="D138" s="1489"/>
      <c r="E138" s="1489"/>
      <c r="F138" s="1489"/>
      <c r="G138" s="1489"/>
      <c r="H138" s="1489"/>
      <c r="I138" s="1489"/>
      <c r="J138" s="1489"/>
      <c r="K138" s="1489"/>
      <c r="L138" s="1489"/>
      <c r="M138" s="1489"/>
      <c r="N138" s="1489"/>
      <c r="O138" s="1489"/>
      <c r="P138" s="1489"/>
      <c r="Q138" s="1489"/>
      <c r="R138" s="1489"/>
      <c r="S138" s="1489"/>
      <c r="T138" s="1489"/>
    </row>
    <row r="139" spans="1:20" s="497" customFormat="1" ht="15" customHeight="1">
      <c r="B139" s="496" t="s">
        <v>667</v>
      </c>
      <c r="C139" s="1489" t="s">
        <v>668</v>
      </c>
      <c r="D139" s="1489"/>
      <c r="E139" s="1489"/>
      <c r="F139" s="1489"/>
      <c r="G139" s="1489"/>
      <c r="H139" s="1489"/>
      <c r="I139" s="1489"/>
      <c r="J139" s="1489"/>
      <c r="K139" s="1489"/>
      <c r="L139" s="1489"/>
      <c r="M139" s="1489"/>
      <c r="N139" s="1489"/>
      <c r="O139" s="1489"/>
      <c r="P139" s="1489"/>
      <c r="Q139" s="1489"/>
      <c r="R139" s="1489"/>
      <c r="S139" s="1489"/>
      <c r="T139" s="1489"/>
    </row>
    <row r="140" spans="1:20" s="497" customFormat="1" ht="15" customHeight="1">
      <c r="B140" s="496"/>
      <c r="C140" s="1489"/>
      <c r="D140" s="1489"/>
      <c r="E140" s="1489"/>
      <c r="F140" s="1489"/>
      <c r="G140" s="1489"/>
      <c r="H140" s="1489"/>
      <c r="I140" s="1489"/>
      <c r="J140" s="1489"/>
      <c r="K140" s="1489"/>
      <c r="L140" s="1489"/>
      <c r="M140" s="1489"/>
      <c r="N140" s="1489"/>
      <c r="O140" s="1489"/>
      <c r="P140" s="1489"/>
      <c r="Q140" s="1489"/>
      <c r="R140" s="1489"/>
      <c r="S140" s="1489"/>
      <c r="T140" s="1489"/>
    </row>
    <row r="141" spans="1:20" s="497" customFormat="1" ht="15" customHeight="1">
      <c r="B141" s="496"/>
      <c r="C141" s="496"/>
    </row>
    <row r="142" spans="1:20" s="497" customFormat="1" ht="15" customHeight="1">
      <c r="A142" s="497" t="s">
        <v>987</v>
      </c>
      <c r="B142" s="496"/>
      <c r="C142" s="496"/>
    </row>
    <row r="143" spans="1:20" s="497" customFormat="1" ht="15" customHeight="1">
      <c r="A143" s="497" t="s">
        <v>677</v>
      </c>
      <c r="B143" s="496"/>
      <c r="C143" s="1489" t="s">
        <v>988</v>
      </c>
      <c r="D143" s="1489"/>
      <c r="E143" s="1489"/>
      <c r="F143" s="1489"/>
      <c r="G143" s="1489"/>
      <c r="H143" s="1489"/>
      <c r="I143" s="1489"/>
      <c r="J143" s="1489"/>
      <c r="K143" s="1489"/>
      <c r="L143" s="1489"/>
      <c r="M143" s="1489"/>
      <c r="N143" s="1489"/>
      <c r="O143" s="1489"/>
      <c r="P143" s="1489"/>
      <c r="Q143" s="1489"/>
      <c r="R143" s="1489"/>
      <c r="S143" s="1489"/>
      <c r="T143" s="1489"/>
    </row>
    <row r="144" spans="1:20" s="497" customFormat="1" ht="15" customHeight="1">
      <c r="B144" s="496"/>
      <c r="C144" s="1489"/>
      <c r="D144" s="1489"/>
      <c r="E144" s="1489"/>
      <c r="F144" s="1489"/>
      <c r="G144" s="1489"/>
      <c r="H144" s="1489"/>
      <c r="I144" s="1489"/>
      <c r="J144" s="1489"/>
      <c r="K144" s="1489"/>
      <c r="L144" s="1489"/>
      <c r="M144" s="1489"/>
      <c r="N144" s="1489"/>
      <c r="O144" s="1489"/>
      <c r="P144" s="1489"/>
      <c r="Q144" s="1489"/>
      <c r="R144" s="1489"/>
      <c r="S144" s="1489"/>
      <c r="T144" s="1489"/>
    </row>
    <row r="145" spans="1:20" s="497" customFormat="1" ht="15" customHeight="1">
      <c r="B145" s="496"/>
      <c r="C145" s="1489"/>
      <c r="D145" s="1489"/>
      <c r="E145" s="1489"/>
      <c r="F145" s="1489"/>
      <c r="G145" s="1489"/>
      <c r="H145" s="1489"/>
      <c r="I145" s="1489"/>
      <c r="J145" s="1489"/>
      <c r="K145" s="1489"/>
      <c r="L145" s="1489"/>
      <c r="M145" s="1489"/>
      <c r="N145" s="1489"/>
      <c r="O145" s="1489"/>
      <c r="P145" s="1489"/>
      <c r="Q145" s="1489"/>
      <c r="R145" s="1489"/>
      <c r="S145" s="1489"/>
      <c r="T145" s="1489"/>
    </row>
    <row r="146" spans="1:20" s="497" customFormat="1" ht="15" customHeight="1">
      <c r="B146" s="496" t="s">
        <v>570</v>
      </c>
      <c r="C146" s="1489" t="s">
        <v>989</v>
      </c>
      <c r="D146" s="1489"/>
      <c r="E146" s="1489"/>
      <c r="F146" s="1489"/>
      <c r="G146" s="1489"/>
      <c r="H146" s="1489"/>
      <c r="I146" s="1489"/>
      <c r="J146" s="1489"/>
      <c r="K146" s="1489"/>
      <c r="L146" s="1489"/>
      <c r="M146" s="1489"/>
      <c r="N146" s="1489"/>
      <c r="O146" s="1489"/>
      <c r="P146" s="1489"/>
      <c r="Q146" s="1489"/>
      <c r="R146" s="1489"/>
      <c r="S146" s="1489"/>
      <c r="T146" s="1489"/>
    </row>
    <row r="147" spans="1:20" s="497" customFormat="1" ht="15" customHeight="1">
      <c r="B147" s="496"/>
      <c r="C147" s="1489"/>
      <c r="D147" s="1489"/>
      <c r="E147" s="1489"/>
      <c r="F147" s="1489"/>
      <c r="G147" s="1489"/>
      <c r="H147" s="1489"/>
      <c r="I147" s="1489"/>
      <c r="J147" s="1489"/>
      <c r="K147" s="1489"/>
      <c r="L147" s="1489"/>
      <c r="M147" s="1489"/>
      <c r="N147" s="1489"/>
      <c r="O147" s="1489"/>
      <c r="P147" s="1489"/>
      <c r="Q147" s="1489"/>
      <c r="R147" s="1489"/>
      <c r="S147" s="1489"/>
      <c r="T147" s="1489"/>
    </row>
    <row r="148" spans="1:20" s="497" customFormat="1" ht="15" customHeight="1">
      <c r="B148" s="496"/>
      <c r="C148" s="1489"/>
      <c r="D148" s="1489"/>
      <c r="E148" s="1489"/>
      <c r="F148" s="1489"/>
      <c r="G148" s="1489"/>
      <c r="H148" s="1489"/>
      <c r="I148" s="1489"/>
      <c r="J148" s="1489"/>
      <c r="K148" s="1489"/>
      <c r="L148" s="1489"/>
      <c r="M148" s="1489"/>
      <c r="N148" s="1489"/>
      <c r="O148" s="1489"/>
      <c r="P148" s="1489"/>
      <c r="Q148" s="1489"/>
      <c r="R148" s="1489"/>
      <c r="S148" s="1489"/>
      <c r="T148" s="1489"/>
    </row>
    <row r="149" spans="1:20" s="497" customFormat="1" ht="15" customHeight="1">
      <c r="B149" s="496" t="s">
        <v>595</v>
      </c>
      <c r="C149" s="1489" t="s">
        <v>674</v>
      </c>
      <c r="D149" s="1489"/>
      <c r="E149" s="1489"/>
      <c r="F149" s="1489"/>
      <c r="G149" s="1489"/>
      <c r="H149" s="1489"/>
      <c r="I149" s="1489"/>
      <c r="J149" s="1489"/>
      <c r="K149" s="1489"/>
      <c r="L149" s="1489"/>
      <c r="M149" s="1489"/>
      <c r="N149" s="1489"/>
      <c r="O149" s="1489"/>
      <c r="P149" s="1489"/>
      <c r="Q149" s="1489"/>
      <c r="R149" s="1489"/>
      <c r="S149" s="1489"/>
      <c r="T149" s="1489"/>
    </row>
    <row r="150" spans="1:20" s="497" customFormat="1" ht="15" customHeight="1">
      <c r="B150" s="496"/>
      <c r="C150" s="1489"/>
      <c r="D150" s="1489"/>
      <c r="E150" s="1489"/>
      <c r="F150" s="1489"/>
      <c r="G150" s="1489"/>
      <c r="H150" s="1489"/>
      <c r="I150" s="1489"/>
      <c r="J150" s="1489"/>
      <c r="K150" s="1489"/>
      <c r="L150" s="1489"/>
      <c r="M150" s="1489"/>
      <c r="N150" s="1489"/>
      <c r="O150" s="1489"/>
      <c r="P150" s="1489"/>
      <c r="Q150" s="1489"/>
      <c r="R150" s="1489"/>
      <c r="S150" s="1489"/>
      <c r="T150" s="1489"/>
    </row>
    <row r="151" spans="1:20" s="497" customFormat="1" ht="15" customHeight="1">
      <c r="B151" s="496" t="s">
        <v>597</v>
      </c>
      <c r="C151" s="1489" t="s">
        <v>990</v>
      </c>
      <c r="D151" s="1489"/>
      <c r="E151" s="1489"/>
      <c r="F151" s="1489"/>
      <c r="G151" s="1489"/>
      <c r="H151" s="1489"/>
      <c r="I151" s="1489"/>
      <c r="J151" s="1489"/>
      <c r="K151" s="1489"/>
      <c r="L151" s="1489"/>
      <c r="M151" s="1489"/>
      <c r="N151" s="1489"/>
      <c r="O151" s="1489"/>
      <c r="P151" s="1489"/>
      <c r="Q151" s="1489"/>
      <c r="R151" s="1489"/>
      <c r="S151" s="1489"/>
      <c r="T151" s="1489"/>
    </row>
    <row r="152" spans="1:20" s="497" customFormat="1" ht="15" customHeight="1">
      <c r="B152" s="496"/>
      <c r="C152" s="1489"/>
      <c r="D152" s="1489"/>
      <c r="E152" s="1489"/>
      <c r="F152" s="1489"/>
      <c r="G152" s="1489"/>
      <c r="H152" s="1489"/>
      <c r="I152" s="1489"/>
      <c r="J152" s="1489"/>
      <c r="K152" s="1489"/>
      <c r="L152" s="1489"/>
      <c r="M152" s="1489"/>
      <c r="N152" s="1489"/>
      <c r="O152" s="1489"/>
      <c r="P152" s="1489"/>
      <c r="Q152" s="1489"/>
      <c r="R152" s="1489"/>
      <c r="S152" s="1489"/>
      <c r="T152" s="1489"/>
    </row>
    <row r="153" spans="1:20" s="497" customFormat="1" ht="15" customHeight="1">
      <c r="B153" s="496"/>
      <c r="C153" s="496"/>
    </row>
    <row r="154" spans="1:20" s="497" customFormat="1" ht="15" customHeight="1">
      <c r="A154" s="497" t="s">
        <v>676</v>
      </c>
      <c r="B154" s="496"/>
      <c r="C154" s="496"/>
    </row>
    <row r="155" spans="1:20" s="497" customFormat="1" ht="15" customHeight="1">
      <c r="A155" s="497" t="s">
        <v>685</v>
      </c>
      <c r="B155" s="496"/>
      <c r="C155" s="1489" t="s">
        <v>678</v>
      </c>
      <c r="D155" s="1489"/>
      <c r="E155" s="1489"/>
      <c r="F155" s="1489"/>
      <c r="G155" s="1489"/>
      <c r="H155" s="1489"/>
      <c r="I155" s="1489"/>
      <c r="J155" s="1489"/>
      <c r="K155" s="1489"/>
      <c r="L155" s="1489"/>
      <c r="M155" s="1489"/>
      <c r="N155" s="1489"/>
      <c r="O155" s="1489"/>
      <c r="P155" s="1489"/>
      <c r="Q155" s="1489"/>
      <c r="R155" s="1489"/>
      <c r="S155" s="1489"/>
      <c r="T155" s="1489"/>
    </row>
    <row r="156" spans="1:20" s="497" customFormat="1" ht="15" customHeight="1">
      <c r="B156" s="496"/>
      <c r="C156" s="1489"/>
      <c r="D156" s="1489"/>
      <c r="E156" s="1489"/>
      <c r="F156" s="1489"/>
      <c r="G156" s="1489"/>
      <c r="H156" s="1489"/>
      <c r="I156" s="1489"/>
      <c r="J156" s="1489"/>
      <c r="K156" s="1489"/>
      <c r="L156" s="1489"/>
      <c r="M156" s="1489"/>
      <c r="N156" s="1489"/>
      <c r="O156" s="1489"/>
      <c r="P156" s="1489"/>
      <c r="Q156" s="1489"/>
      <c r="R156" s="1489"/>
      <c r="S156" s="1489"/>
      <c r="T156" s="1489"/>
    </row>
    <row r="157" spans="1:20" s="497" customFormat="1" ht="15" customHeight="1">
      <c r="B157" s="496" t="s">
        <v>570</v>
      </c>
      <c r="C157" s="1489" t="s">
        <v>991</v>
      </c>
      <c r="D157" s="1489"/>
      <c r="E157" s="1489"/>
      <c r="F157" s="1489"/>
      <c r="G157" s="1489"/>
      <c r="H157" s="1489"/>
      <c r="I157" s="1489"/>
      <c r="J157" s="1489"/>
      <c r="K157" s="1489"/>
      <c r="L157" s="1489"/>
      <c r="M157" s="1489"/>
      <c r="N157" s="1489"/>
      <c r="O157" s="1489"/>
      <c r="P157" s="1489"/>
      <c r="Q157" s="1489"/>
      <c r="R157" s="1489"/>
      <c r="S157" s="1489"/>
      <c r="T157" s="1489"/>
    </row>
    <row r="158" spans="1:20" s="497" customFormat="1" ht="15" customHeight="1">
      <c r="B158" s="496"/>
      <c r="C158" s="1489"/>
      <c r="D158" s="1489"/>
      <c r="E158" s="1489"/>
      <c r="F158" s="1489"/>
      <c r="G158" s="1489"/>
      <c r="H158" s="1489"/>
      <c r="I158" s="1489"/>
      <c r="J158" s="1489"/>
      <c r="K158" s="1489"/>
      <c r="L158" s="1489"/>
      <c r="M158" s="1489"/>
      <c r="N158" s="1489"/>
      <c r="O158" s="1489"/>
      <c r="P158" s="1489"/>
      <c r="Q158" s="1489"/>
      <c r="R158" s="1489"/>
      <c r="S158" s="1489"/>
      <c r="T158" s="1489"/>
    </row>
    <row r="159" spans="1:20" s="497" customFormat="1" ht="15" customHeight="1">
      <c r="B159" s="496"/>
      <c r="C159" s="1489"/>
      <c r="D159" s="1489"/>
      <c r="E159" s="1489"/>
      <c r="F159" s="1489"/>
      <c r="G159" s="1489"/>
      <c r="H159" s="1489"/>
      <c r="I159" s="1489"/>
      <c r="J159" s="1489"/>
      <c r="K159" s="1489"/>
      <c r="L159" s="1489"/>
      <c r="M159" s="1489"/>
      <c r="N159" s="1489"/>
      <c r="O159" s="1489"/>
      <c r="P159" s="1489"/>
      <c r="Q159" s="1489"/>
      <c r="R159" s="1489"/>
      <c r="S159" s="1489"/>
      <c r="T159" s="1489"/>
    </row>
    <row r="160" spans="1:20" s="497" customFormat="1" ht="15" customHeight="1">
      <c r="B160" s="497" t="s">
        <v>595</v>
      </c>
      <c r="C160" s="1486" t="s">
        <v>682</v>
      </c>
      <c r="D160" s="1486"/>
      <c r="E160" s="1486"/>
      <c r="F160" s="1486"/>
      <c r="G160" s="1486"/>
      <c r="H160" s="1486"/>
      <c r="I160" s="1486"/>
      <c r="J160" s="1486"/>
      <c r="K160" s="1486"/>
      <c r="L160" s="1486"/>
      <c r="M160" s="1486"/>
      <c r="N160" s="1486"/>
      <c r="O160" s="1486"/>
      <c r="P160" s="1486"/>
      <c r="Q160" s="1486"/>
      <c r="R160" s="1486"/>
      <c r="S160" s="1486"/>
      <c r="T160" s="1486"/>
    </row>
    <row r="161" spans="1:20" s="497" customFormat="1" ht="15" customHeight="1">
      <c r="C161" s="1486"/>
      <c r="D161" s="1486"/>
      <c r="E161" s="1486"/>
      <c r="F161" s="1486"/>
      <c r="G161" s="1486"/>
      <c r="H161" s="1486"/>
      <c r="I161" s="1486"/>
      <c r="J161" s="1486"/>
      <c r="K161" s="1486"/>
      <c r="L161" s="1486"/>
      <c r="M161" s="1486"/>
      <c r="N161" s="1486"/>
      <c r="O161" s="1486"/>
      <c r="P161" s="1486"/>
      <c r="Q161" s="1486"/>
      <c r="R161" s="1486"/>
      <c r="S161" s="1486"/>
      <c r="T161" s="1486"/>
    </row>
    <row r="162" spans="1:20" s="497" customFormat="1" ht="15" customHeight="1">
      <c r="C162" s="1486"/>
      <c r="D162" s="1486"/>
      <c r="E162" s="1486"/>
      <c r="F162" s="1486"/>
      <c r="G162" s="1486"/>
      <c r="H162" s="1486"/>
      <c r="I162" s="1486"/>
      <c r="J162" s="1486"/>
      <c r="K162" s="1486"/>
      <c r="L162" s="1486"/>
      <c r="M162" s="1486"/>
      <c r="N162" s="1486"/>
      <c r="O162" s="1486"/>
      <c r="P162" s="1486"/>
      <c r="Q162" s="1486"/>
      <c r="R162" s="1486"/>
      <c r="S162" s="1486"/>
      <c r="T162" s="1486"/>
    </row>
    <row r="163" spans="1:20" s="497" customFormat="1" ht="15" customHeight="1">
      <c r="B163" s="496"/>
      <c r="C163" s="547"/>
      <c r="D163" s="547"/>
      <c r="E163" s="547"/>
      <c r="F163" s="547"/>
      <c r="G163" s="547"/>
      <c r="H163" s="547"/>
      <c r="I163" s="547"/>
      <c r="J163" s="547"/>
      <c r="K163" s="547"/>
      <c r="L163" s="547"/>
      <c r="M163" s="547"/>
      <c r="N163" s="547"/>
      <c r="O163" s="547"/>
      <c r="P163" s="547"/>
      <c r="Q163" s="547"/>
      <c r="R163" s="547"/>
      <c r="S163" s="547"/>
      <c r="T163" s="547"/>
    </row>
    <row r="164" spans="1:20" s="497" customFormat="1" ht="15" customHeight="1">
      <c r="A164" s="497" t="s">
        <v>684</v>
      </c>
      <c r="B164" s="496"/>
      <c r="C164" s="547"/>
      <c r="D164" s="547"/>
      <c r="E164" s="547"/>
      <c r="F164" s="547"/>
      <c r="G164" s="547"/>
      <c r="H164" s="547"/>
      <c r="I164" s="547"/>
      <c r="J164" s="547"/>
      <c r="K164" s="547"/>
      <c r="L164" s="547"/>
      <c r="M164" s="547"/>
      <c r="N164" s="547"/>
      <c r="O164" s="547"/>
      <c r="P164" s="547"/>
      <c r="Q164" s="547"/>
      <c r="R164" s="547"/>
      <c r="S164" s="547"/>
      <c r="T164" s="547"/>
    </row>
    <row r="165" spans="1:20" s="497" customFormat="1" ht="15" customHeight="1">
      <c r="A165" s="497" t="s">
        <v>688</v>
      </c>
      <c r="B165" s="496"/>
      <c r="C165" s="1489" t="s">
        <v>686</v>
      </c>
      <c r="D165" s="1489"/>
      <c r="E165" s="1489"/>
      <c r="F165" s="1489"/>
      <c r="G165" s="1489"/>
      <c r="H165" s="1489"/>
      <c r="I165" s="1489"/>
      <c r="J165" s="1489"/>
      <c r="K165" s="1489"/>
      <c r="L165" s="1489"/>
      <c r="M165" s="1489"/>
      <c r="N165" s="1489"/>
      <c r="O165" s="1489"/>
      <c r="P165" s="1489"/>
      <c r="Q165" s="1489"/>
      <c r="R165" s="1489"/>
      <c r="S165" s="1489"/>
      <c r="T165" s="1489"/>
    </row>
    <row r="166" spans="1:20" s="497" customFormat="1" ht="15" customHeight="1">
      <c r="B166" s="496"/>
      <c r="C166" s="1489"/>
      <c r="D166" s="1489"/>
      <c r="E166" s="1489"/>
      <c r="F166" s="1489"/>
      <c r="G166" s="1489"/>
      <c r="H166" s="1489"/>
      <c r="I166" s="1489"/>
      <c r="J166" s="1489"/>
      <c r="K166" s="1489"/>
      <c r="L166" s="1489"/>
      <c r="M166" s="1489"/>
      <c r="N166" s="1489"/>
      <c r="O166" s="1489"/>
      <c r="P166" s="1489"/>
      <c r="Q166" s="1489"/>
      <c r="R166" s="1489"/>
      <c r="S166" s="1489"/>
      <c r="T166" s="1489"/>
    </row>
    <row r="167" spans="1:20" s="497" customFormat="1" ht="15" customHeight="1">
      <c r="B167" s="496"/>
      <c r="C167" s="496"/>
    </row>
    <row r="168" spans="1:20" s="497" customFormat="1" ht="15" customHeight="1">
      <c r="A168" s="497" t="s">
        <v>687</v>
      </c>
      <c r="B168" s="496"/>
      <c r="C168" s="496"/>
    </row>
    <row r="169" spans="1:20" s="497" customFormat="1" ht="15" customHeight="1">
      <c r="A169" s="497" t="s">
        <v>692</v>
      </c>
      <c r="B169" s="496"/>
      <c r="C169" s="1489" t="s">
        <v>992</v>
      </c>
      <c r="D169" s="1489"/>
      <c r="E169" s="1489"/>
      <c r="F169" s="1489"/>
      <c r="G169" s="1489"/>
      <c r="H169" s="1489"/>
      <c r="I169" s="1489"/>
      <c r="J169" s="1489"/>
      <c r="K169" s="1489"/>
      <c r="L169" s="1489"/>
      <c r="M169" s="1489"/>
      <c r="N169" s="1489"/>
      <c r="O169" s="1489"/>
      <c r="P169" s="1489"/>
      <c r="Q169" s="1489"/>
      <c r="R169" s="1489"/>
      <c r="S169" s="1489"/>
      <c r="T169" s="1489"/>
    </row>
    <row r="170" spans="1:20" s="497" customFormat="1" ht="15" customHeight="1">
      <c r="B170" s="496"/>
      <c r="C170" s="1489"/>
      <c r="D170" s="1489"/>
      <c r="E170" s="1489"/>
      <c r="F170" s="1489"/>
      <c r="G170" s="1489"/>
      <c r="H170" s="1489"/>
      <c r="I170" s="1489"/>
      <c r="J170" s="1489"/>
      <c r="K170" s="1489"/>
      <c r="L170" s="1489"/>
      <c r="M170" s="1489"/>
      <c r="N170" s="1489"/>
      <c r="O170" s="1489"/>
      <c r="P170" s="1489"/>
      <c r="Q170" s="1489"/>
      <c r="R170" s="1489"/>
      <c r="S170" s="1489"/>
      <c r="T170" s="1489"/>
    </row>
    <row r="171" spans="1:20" s="497" customFormat="1" ht="15" customHeight="1">
      <c r="B171" s="496"/>
      <c r="C171" s="1489"/>
      <c r="D171" s="1489"/>
      <c r="E171" s="1489"/>
      <c r="F171" s="1489"/>
      <c r="G171" s="1489"/>
      <c r="H171" s="1489"/>
      <c r="I171" s="1489"/>
      <c r="J171" s="1489"/>
      <c r="K171" s="1489"/>
      <c r="L171" s="1489"/>
      <c r="M171" s="1489"/>
      <c r="N171" s="1489"/>
      <c r="O171" s="1489"/>
      <c r="P171" s="1489"/>
      <c r="Q171" s="1489"/>
      <c r="R171" s="1489"/>
      <c r="S171" s="1489"/>
      <c r="T171" s="1489"/>
    </row>
    <row r="172" spans="1:20" s="497" customFormat="1" ht="15" customHeight="1">
      <c r="B172" s="496"/>
      <c r="C172" s="1489"/>
      <c r="D172" s="1489"/>
      <c r="E172" s="1489"/>
      <c r="F172" s="1489"/>
      <c r="G172" s="1489"/>
      <c r="H172" s="1489"/>
      <c r="I172" s="1489"/>
      <c r="J172" s="1489"/>
      <c r="K172" s="1489"/>
      <c r="L172" s="1489"/>
      <c r="M172" s="1489"/>
      <c r="N172" s="1489"/>
      <c r="O172" s="1489"/>
      <c r="P172" s="1489"/>
      <c r="Q172" s="1489"/>
      <c r="R172" s="1489"/>
      <c r="S172" s="1489"/>
      <c r="T172" s="1489"/>
    </row>
    <row r="173" spans="1:20" s="497" customFormat="1" ht="15" customHeight="1">
      <c r="B173" s="496" t="s">
        <v>570</v>
      </c>
      <c r="C173" s="1489" t="s">
        <v>690</v>
      </c>
      <c r="D173" s="1489"/>
      <c r="E173" s="1489"/>
      <c r="F173" s="1489"/>
      <c r="G173" s="1489"/>
      <c r="H173" s="1489"/>
      <c r="I173" s="1489"/>
      <c r="J173" s="1489"/>
      <c r="K173" s="1489"/>
      <c r="L173" s="1489"/>
      <c r="M173" s="1489"/>
      <c r="N173" s="1489"/>
      <c r="O173" s="1489"/>
      <c r="P173" s="1489"/>
      <c r="Q173" s="1489"/>
      <c r="R173" s="1489"/>
      <c r="S173" s="1489"/>
      <c r="T173" s="1489"/>
    </row>
    <row r="174" spans="1:20" s="497" customFormat="1" ht="15" customHeight="1">
      <c r="B174" s="496"/>
      <c r="C174" s="1489"/>
      <c r="D174" s="1489"/>
      <c r="E174" s="1489"/>
      <c r="F174" s="1489"/>
      <c r="G174" s="1489"/>
      <c r="H174" s="1489"/>
      <c r="I174" s="1489"/>
      <c r="J174" s="1489"/>
      <c r="K174" s="1489"/>
      <c r="L174" s="1489"/>
      <c r="M174" s="1489"/>
      <c r="N174" s="1489"/>
      <c r="O174" s="1489"/>
      <c r="P174" s="1489"/>
      <c r="Q174" s="1489"/>
      <c r="R174" s="1489"/>
      <c r="S174" s="1489"/>
      <c r="T174" s="1489"/>
    </row>
    <row r="175" spans="1:20" s="497" customFormat="1" ht="15" customHeight="1">
      <c r="B175" s="496"/>
      <c r="C175" s="547"/>
      <c r="D175" s="547"/>
      <c r="E175" s="547"/>
      <c r="F175" s="547"/>
      <c r="G175" s="547"/>
      <c r="H175" s="547"/>
      <c r="I175" s="547"/>
      <c r="J175" s="547"/>
      <c r="K175" s="547"/>
      <c r="L175" s="547"/>
      <c r="M175" s="547"/>
      <c r="N175" s="547"/>
      <c r="O175" s="547"/>
      <c r="P175" s="547"/>
      <c r="Q175" s="547"/>
      <c r="R175" s="547"/>
      <c r="S175" s="547"/>
      <c r="T175" s="547"/>
    </row>
    <row r="176" spans="1:20" s="497" customFormat="1" ht="15" customHeight="1">
      <c r="A176" s="497" t="s">
        <v>691</v>
      </c>
      <c r="B176" s="496"/>
      <c r="C176" s="496"/>
    </row>
    <row r="177" spans="1:20" s="497" customFormat="1" ht="15" customHeight="1">
      <c r="A177" s="497" t="s">
        <v>706</v>
      </c>
      <c r="B177" s="496"/>
      <c r="C177" s="1489" t="s">
        <v>693</v>
      </c>
      <c r="D177" s="1489"/>
      <c r="E177" s="1489"/>
      <c r="F177" s="1489"/>
      <c r="G177" s="1489"/>
      <c r="H177" s="1489"/>
      <c r="I177" s="1489"/>
      <c r="J177" s="1489"/>
      <c r="K177" s="1489"/>
      <c r="L177" s="1489"/>
      <c r="M177" s="1489"/>
      <c r="N177" s="1489"/>
      <c r="O177" s="1489"/>
      <c r="P177" s="1489"/>
      <c r="Q177" s="1489"/>
      <c r="R177" s="1489"/>
      <c r="S177" s="1489"/>
      <c r="T177" s="1489"/>
    </row>
    <row r="178" spans="1:20" s="497" customFormat="1" ht="15" customHeight="1">
      <c r="B178" s="496"/>
      <c r="C178" s="1489"/>
      <c r="D178" s="1489"/>
      <c r="E178" s="1489"/>
      <c r="F178" s="1489"/>
      <c r="G178" s="1489"/>
      <c r="H178" s="1489"/>
      <c r="I178" s="1489"/>
      <c r="J178" s="1489"/>
      <c r="K178" s="1489"/>
      <c r="L178" s="1489"/>
      <c r="M178" s="1489"/>
      <c r="N178" s="1489"/>
      <c r="O178" s="1489"/>
      <c r="P178" s="1489"/>
      <c r="Q178" s="1489"/>
      <c r="R178" s="1489"/>
      <c r="S178" s="1489"/>
      <c r="T178" s="1489"/>
    </row>
    <row r="179" spans="1:20" s="497" customFormat="1" ht="15" customHeight="1">
      <c r="B179" s="1490" t="s">
        <v>599</v>
      </c>
      <c r="C179" s="1490"/>
      <c r="D179" s="497" t="s">
        <v>694</v>
      </c>
    </row>
    <row r="180" spans="1:20" s="497" customFormat="1" ht="15" customHeight="1">
      <c r="B180" s="815"/>
      <c r="C180" s="815"/>
    </row>
    <row r="181" spans="1:20" s="497" customFormat="1" ht="15" customHeight="1">
      <c r="B181" s="1490" t="s">
        <v>601</v>
      </c>
      <c r="C181" s="1490"/>
      <c r="D181" s="1486" t="s">
        <v>695</v>
      </c>
      <c r="E181" s="1486"/>
      <c r="F181" s="1486"/>
      <c r="G181" s="1486"/>
      <c r="H181" s="1486"/>
      <c r="I181" s="1486"/>
      <c r="J181" s="1486"/>
      <c r="K181" s="1486"/>
      <c r="L181" s="1486"/>
      <c r="M181" s="1486"/>
      <c r="N181" s="1486"/>
      <c r="O181" s="1486"/>
      <c r="P181" s="1486"/>
      <c r="Q181" s="1486"/>
      <c r="R181" s="1486"/>
      <c r="S181" s="1486"/>
      <c r="T181" s="1486"/>
    </row>
    <row r="182" spans="1:20" s="497" customFormat="1" ht="15" customHeight="1">
      <c r="B182" s="496"/>
      <c r="C182" s="496"/>
      <c r="D182" s="1486"/>
      <c r="E182" s="1486"/>
      <c r="F182" s="1486"/>
      <c r="G182" s="1486"/>
      <c r="H182" s="1486"/>
      <c r="I182" s="1486"/>
      <c r="J182" s="1486"/>
      <c r="K182" s="1486"/>
      <c r="L182" s="1486"/>
      <c r="M182" s="1486"/>
      <c r="N182" s="1486"/>
      <c r="O182" s="1486"/>
      <c r="P182" s="1486"/>
      <c r="Q182" s="1486"/>
      <c r="R182" s="1486"/>
      <c r="S182" s="1486"/>
      <c r="T182" s="1486"/>
    </row>
    <row r="183" spans="1:20" s="497" customFormat="1" ht="15" customHeight="1">
      <c r="B183" s="1490" t="s">
        <v>635</v>
      </c>
      <c r="C183" s="1490"/>
      <c r="D183" s="497" t="s">
        <v>1915</v>
      </c>
    </row>
    <row r="184" spans="1:20" s="497" customFormat="1" ht="15" customHeight="1">
      <c r="B184" s="1490" t="s">
        <v>655</v>
      </c>
      <c r="C184" s="1490"/>
      <c r="D184" s="497" t="s">
        <v>1916</v>
      </c>
    </row>
    <row r="185" spans="1:20" s="497" customFormat="1" ht="15" customHeight="1">
      <c r="B185" s="1490" t="s">
        <v>657</v>
      </c>
      <c r="C185" s="1490"/>
      <c r="D185" s="497" t="s">
        <v>697</v>
      </c>
    </row>
    <row r="186" spans="1:20" s="497" customFormat="1" ht="15" customHeight="1">
      <c r="B186" s="815"/>
      <c r="C186" s="815"/>
      <c r="D186" s="497" t="s">
        <v>993</v>
      </c>
    </row>
    <row r="187" spans="1:20" s="497" customFormat="1" ht="15" customHeight="1">
      <c r="B187" s="1490" t="s">
        <v>700</v>
      </c>
      <c r="C187" s="1490"/>
      <c r="D187" s="497" t="s">
        <v>701</v>
      </c>
    </row>
    <row r="188" spans="1:20" s="497" customFormat="1" ht="15" customHeight="1">
      <c r="B188" s="1491" t="s">
        <v>702</v>
      </c>
      <c r="C188" s="1492"/>
      <c r="D188" s="497" t="s">
        <v>703</v>
      </c>
    </row>
    <row r="189" spans="1:20" s="497" customFormat="1" ht="15" customHeight="1">
      <c r="B189" s="815"/>
      <c r="C189" s="815"/>
    </row>
    <row r="190" spans="1:20" s="497" customFormat="1" ht="15" customHeight="1">
      <c r="A190" s="497" t="s">
        <v>705</v>
      </c>
      <c r="B190" s="496"/>
      <c r="C190" s="496"/>
    </row>
    <row r="191" spans="1:20" s="497" customFormat="1" ht="15" customHeight="1">
      <c r="A191" s="497" t="s">
        <v>716</v>
      </c>
      <c r="B191" s="496"/>
      <c r="C191" s="1489" t="s">
        <v>994</v>
      </c>
      <c r="D191" s="1489"/>
      <c r="E191" s="1489"/>
      <c r="F191" s="1489"/>
      <c r="G191" s="1489"/>
      <c r="H191" s="1489"/>
      <c r="I191" s="1489"/>
      <c r="J191" s="1489"/>
      <c r="K191" s="1489"/>
      <c r="L191" s="1489"/>
      <c r="M191" s="1489"/>
      <c r="N191" s="1489"/>
      <c r="O191" s="1489"/>
      <c r="P191" s="1489"/>
      <c r="Q191" s="1489"/>
      <c r="R191" s="1489"/>
      <c r="S191" s="1489"/>
      <c r="T191" s="1489"/>
    </row>
    <row r="192" spans="1:20" s="497" customFormat="1" ht="15" customHeight="1">
      <c r="B192" s="496"/>
      <c r="C192" s="1489"/>
      <c r="D192" s="1489"/>
      <c r="E192" s="1489"/>
      <c r="F192" s="1489"/>
      <c r="G192" s="1489"/>
      <c r="H192" s="1489"/>
      <c r="I192" s="1489"/>
      <c r="J192" s="1489"/>
      <c r="K192" s="1489"/>
      <c r="L192" s="1489"/>
      <c r="M192" s="1489"/>
      <c r="N192" s="1489"/>
      <c r="O192" s="1489"/>
      <c r="P192" s="1489"/>
      <c r="Q192" s="1489"/>
      <c r="R192" s="1489"/>
      <c r="S192" s="1489"/>
      <c r="T192" s="1489"/>
    </row>
    <row r="193" spans="1:20" s="497" customFormat="1" ht="15" customHeight="1">
      <c r="B193" s="496" t="s">
        <v>570</v>
      </c>
      <c r="C193" s="1489" t="s">
        <v>995</v>
      </c>
      <c r="D193" s="1489"/>
      <c r="E193" s="1489"/>
      <c r="F193" s="1489"/>
      <c r="G193" s="1489"/>
      <c r="H193" s="1489"/>
      <c r="I193" s="1489"/>
      <c r="J193" s="1489"/>
      <c r="K193" s="1489"/>
      <c r="L193" s="1489"/>
      <c r="M193" s="1489"/>
      <c r="N193" s="1489"/>
      <c r="O193" s="1489"/>
      <c r="P193" s="1489"/>
      <c r="Q193" s="1489"/>
      <c r="R193" s="1489"/>
      <c r="S193" s="1489"/>
      <c r="T193" s="1489"/>
    </row>
    <row r="194" spans="1:20" s="497" customFormat="1" ht="15" customHeight="1">
      <c r="B194" s="496"/>
      <c r="C194" s="1489"/>
      <c r="D194" s="1489"/>
      <c r="E194" s="1489"/>
      <c r="F194" s="1489"/>
      <c r="G194" s="1489"/>
      <c r="H194" s="1489"/>
      <c r="I194" s="1489"/>
      <c r="J194" s="1489"/>
      <c r="K194" s="1489"/>
      <c r="L194" s="1489"/>
      <c r="M194" s="1489"/>
      <c r="N194" s="1489"/>
      <c r="O194" s="1489"/>
      <c r="P194" s="1489"/>
      <c r="Q194" s="1489"/>
      <c r="R194" s="1489"/>
      <c r="S194" s="1489"/>
      <c r="T194" s="1489"/>
    </row>
    <row r="195" spans="1:20" s="497" customFormat="1" ht="15" customHeight="1">
      <c r="B195" s="496"/>
      <c r="C195" s="1489"/>
      <c r="D195" s="1489"/>
      <c r="E195" s="1489"/>
      <c r="F195" s="1489"/>
      <c r="G195" s="1489"/>
      <c r="H195" s="1489"/>
      <c r="I195" s="1489"/>
      <c r="J195" s="1489"/>
      <c r="K195" s="1489"/>
      <c r="L195" s="1489"/>
      <c r="M195" s="1489"/>
      <c r="N195" s="1489"/>
      <c r="O195" s="1489"/>
      <c r="P195" s="1489"/>
      <c r="Q195" s="1489"/>
      <c r="R195" s="1489"/>
      <c r="S195" s="1489"/>
      <c r="T195" s="1489"/>
    </row>
    <row r="196" spans="1:20" s="497" customFormat="1" ht="15" customHeight="1">
      <c r="B196" s="496" t="s">
        <v>595</v>
      </c>
      <c r="C196" s="1489" t="s">
        <v>996</v>
      </c>
      <c r="D196" s="1489"/>
      <c r="E196" s="1489"/>
      <c r="F196" s="1489"/>
      <c r="G196" s="1489"/>
      <c r="H196" s="1489"/>
      <c r="I196" s="1489"/>
      <c r="J196" s="1489"/>
      <c r="K196" s="1489"/>
      <c r="L196" s="1489"/>
      <c r="M196" s="1489"/>
      <c r="N196" s="1489"/>
      <c r="O196" s="1489"/>
      <c r="P196" s="1489"/>
      <c r="Q196" s="1489"/>
      <c r="R196" s="1489"/>
      <c r="S196" s="1489"/>
      <c r="T196" s="1489"/>
    </row>
    <row r="197" spans="1:20" s="497" customFormat="1" ht="15" customHeight="1">
      <c r="B197" s="496"/>
      <c r="C197" s="1489"/>
      <c r="D197" s="1489"/>
      <c r="E197" s="1489"/>
      <c r="F197" s="1489"/>
      <c r="G197" s="1489"/>
      <c r="H197" s="1489"/>
      <c r="I197" s="1489"/>
      <c r="J197" s="1489"/>
      <c r="K197" s="1489"/>
      <c r="L197" s="1489"/>
      <c r="M197" s="1489"/>
      <c r="N197" s="1489"/>
      <c r="O197" s="1489"/>
      <c r="P197" s="1489"/>
      <c r="Q197" s="1489"/>
      <c r="R197" s="1489"/>
      <c r="S197" s="1489"/>
      <c r="T197" s="1489"/>
    </row>
    <row r="198" spans="1:20" s="497" customFormat="1" ht="15" customHeight="1">
      <c r="B198" s="496" t="s">
        <v>597</v>
      </c>
      <c r="C198" s="1489" t="s">
        <v>711</v>
      </c>
      <c r="D198" s="1489"/>
      <c r="E198" s="1489"/>
      <c r="F198" s="1489"/>
      <c r="G198" s="1489"/>
      <c r="H198" s="1489"/>
      <c r="I198" s="1489"/>
      <c r="J198" s="1489"/>
      <c r="K198" s="1489"/>
      <c r="L198" s="1489"/>
      <c r="M198" s="1489"/>
      <c r="N198" s="1489"/>
      <c r="O198" s="1489"/>
      <c r="P198" s="1489"/>
      <c r="Q198" s="1489"/>
      <c r="R198" s="1489"/>
      <c r="S198" s="1489"/>
      <c r="T198" s="1489"/>
    </row>
    <row r="199" spans="1:20" s="497" customFormat="1" ht="15" customHeight="1">
      <c r="B199" s="496"/>
      <c r="C199" s="1489"/>
      <c r="D199" s="1489"/>
      <c r="E199" s="1489"/>
      <c r="F199" s="1489"/>
      <c r="G199" s="1489"/>
      <c r="H199" s="1489"/>
      <c r="I199" s="1489"/>
      <c r="J199" s="1489"/>
      <c r="K199" s="1489"/>
      <c r="L199" s="1489"/>
      <c r="M199" s="1489"/>
      <c r="N199" s="1489"/>
      <c r="O199" s="1489"/>
      <c r="P199" s="1489"/>
      <c r="Q199" s="1489"/>
      <c r="R199" s="1489"/>
      <c r="S199" s="1489"/>
      <c r="T199" s="1489"/>
    </row>
    <row r="200" spans="1:20" s="497" customFormat="1" ht="15" customHeight="1">
      <c r="B200" s="496"/>
      <c r="C200" s="1489"/>
      <c r="D200" s="1489"/>
      <c r="E200" s="1489"/>
      <c r="F200" s="1489"/>
      <c r="G200" s="1489"/>
      <c r="H200" s="1489"/>
      <c r="I200" s="1489"/>
      <c r="J200" s="1489"/>
      <c r="K200" s="1489"/>
      <c r="L200" s="1489"/>
      <c r="M200" s="1489"/>
      <c r="N200" s="1489"/>
      <c r="O200" s="1489"/>
      <c r="P200" s="1489"/>
      <c r="Q200" s="1489"/>
      <c r="R200" s="1489"/>
      <c r="S200" s="1489"/>
      <c r="T200" s="1489"/>
    </row>
    <row r="201" spans="1:20" s="497" customFormat="1" ht="15" customHeight="1">
      <c r="B201" s="844" t="s">
        <v>603</v>
      </c>
      <c r="C201" s="1486" t="s">
        <v>713</v>
      </c>
      <c r="D201" s="1486"/>
      <c r="E201" s="1486"/>
      <c r="F201" s="1486"/>
      <c r="G201" s="1486"/>
      <c r="H201" s="1486"/>
      <c r="I201" s="1486"/>
      <c r="J201" s="1486"/>
      <c r="K201" s="1486"/>
      <c r="L201" s="1486"/>
      <c r="M201" s="1486"/>
      <c r="N201" s="1486"/>
      <c r="O201" s="1486"/>
      <c r="P201" s="1486"/>
      <c r="Q201" s="1486"/>
      <c r="R201" s="1486"/>
      <c r="S201" s="1486"/>
      <c r="T201" s="1486"/>
    </row>
    <row r="202" spans="1:20" s="497" customFormat="1" ht="15" customHeight="1">
      <c r="B202" s="496"/>
      <c r="C202" s="496"/>
    </row>
    <row r="203" spans="1:20" s="497" customFormat="1" ht="15" customHeight="1">
      <c r="A203" s="497" t="s">
        <v>715</v>
      </c>
      <c r="B203" s="496"/>
      <c r="C203" s="496"/>
    </row>
    <row r="204" spans="1:20" s="497" customFormat="1" ht="15" customHeight="1">
      <c r="A204" s="497" t="s">
        <v>720</v>
      </c>
      <c r="B204" s="496"/>
      <c r="C204" s="1489" t="s">
        <v>997</v>
      </c>
      <c r="D204" s="1489"/>
      <c r="E204" s="1489"/>
      <c r="F204" s="1489"/>
      <c r="G204" s="1489"/>
      <c r="H204" s="1489"/>
      <c r="I204" s="1489"/>
      <c r="J204" s="1489"/>
      <c r="K204" s="1489"/>
      <c r="L204" s="1489"/>
      <c r="M204" s="1489"/>
      <c r="N204" s="1489"/>
      <c r="O204" s="1489"/>
      <c r="P204" s="1489"/>
      <c r="Q204" s="1489"/>
      <c r="R204" s="1489"/>
      <c r="S204" s="1489"/>
      <c r="T204" s="1489"/>
    </row>
    <row r="205" spans="1:20" s="497" customFormat="1" ht="15" customHeight="1">
      <c r="B205" s="496"/>
      <c r="C205" s="1489"/>
      <c r="D205" s="1489"/>
      <c r="E205" s="1489"/>
      <c r="F205" s="1489"/>
      <c r="G205" s="1489"/>
      <c r="H205" s="1489"/>
      <c r="I205" s="1489"/>
      <c r="J205" s="1489"/>
      <c r="K205" s="1489"/>
      <c r="L205" s="1489"/>
      <c r="M205" s="1489"/>
      <c r="N205" s="1489"/>
      <c r="O205" s="1489"/>
      <c r="P205" s="1489"/>
      <c r="Q205" s="1489"/>
      <c r="R205" s="1489"/>
      <c r="S205" s="1489"/>
      <c r="T205" s="1489"/>
    </row>
    <row r="206" spans="1:20" s="497" customFormat="1" ht="15" customHeight="1">
      <c r="B206" s="496" t="s">
        <v>570</v>
      </c>
      <c r="C206" s="1489" t="s">
        <v>718</v>
      </c>
      <c r="D206" s="1489"/>
      <c r="E206" s="1489"/>
      <c r="F206" s="1489"/>
      <c r="G206" s="1489"/>
      <c r="H206" s="1489"/>
      <c r="I206" s="1489"/>
      <c r="J206" s="1489"/>
      <c r="K206" s="1489"/>
      <c r="L206" s="1489"/>
      <c r="M206" s="1489"/>
      <c r="N206" s="1489"/>
      <c r="O206" s="1489"/>
      <c r="P206" s="1489"/>
      <c r="Q206" s="1489"/>
      <c r="R206" s="1489"/>
      <c r="S206" s="1489"/>
      <c r="T206" s="1489"/>
    </row>
    <row r="207" spans="1:20" s="497" customFormat="1" ht="15" customHeight="1">
      <c r="B207" s="496"/>
      <c r="C207" s="1489"/>
      <c r="D207" s="1489"/>
      <c r="E207" s="1489"/>
      <c r="F207" s="1489"/>
      <c r="G207" s="1489"/>
      <c r="H207" s="1489"/>
      <c r="I207" s="1489"/>
      <c r="J207" s="1489"/>
      <c r="K207" s="1489"/>
      <c r="L207" s="1489"/>
      <c r="M207" s="1489"/>
      <c r="N207" s="1489"/>
      <c r="O207" s="1489"/>
      <c r="P207" s="1489"/>
      <c r="Q207" s="1489"/>
      <c r="R207" s="1489"/>
      <c r="S207" s="1489"/>
      <c r="T207" s="1489"/>
    </row>
    <row r="208" spans="1:20" s="497" customFormat="1" ht="15" customHeight="1">
      <c r="B208" s="496"/>
      <c r="C208" s="496"/>
    </row>
    <row r="209" spans="1:20" s="497" customFormat="1" ht="15" customHeight="1">
      <c r="A209" s="497" t="s">
        <v>719</v>
      </c>
      <c r="B209" s="496"/>
      <c r="C209" s="496"/>
    </row>
    <row r="210" spans="1:20" s="497" customFormat="1" ht="15" customHeight="1">
      <c r="A210" s="497" t="s">
        <v>725</v>
      </c>
      <c r="B210" s="496"/>
      <c r="C210" s="1489" t="s">
        <v>998</v>
      </c>
      <c r="D210" s="1489"/>
      <c r="E210" s="1489"/>
      <c r="F210" s="1489"/>
      <c r="G210" s="1489"/>
      <c r="H210" s="1489"/>
      <c r="I210" s="1489"/>
      <c r="J210" s="1489"/>
      <c r="K210" s="1489"/>
      <c r="L210" s="1489"/>
      <c r="M210" s="1489"/>
      <c r="N210" s="1489"/>
      <c r="O210" s="1489"/>
      <c r="P210" s="1489"/>
      <c r="Q210" s="1489"/>
      <c r="R210" s="1489"/>
      <c r="S210" s="1489"/>
      <c r="T210" s="1489"/>
    </row>
    <row r="211" spans="1:20" s="497" customFormat="1" ht="15" customHeight="1">
      <c r="B211" s="496"/>
      <c r="C211" s="1489"/>
      <c r="D211" s="1489"/>
      <c r="E211" s="1489"/>
      <c r="F211" s="1489"/>
      <c r="G211" s="1489"/>
      <c r="H211" s="1489"/>
      <c r="I211" s="1489"/>
      <c r="J211" s="1489"/>
      <c r="K211" s="1489"/>
      <c r="L211" s="1489"/>
      <c r="M211" s="1489"/>
      <c r="N211" s="1489"/>
      <c r="O211" s="1489"/>
      <c r="P211" s="1489"/>
      <c r="Q211" s="1489"/>
      <c r="R211" s="1489"/>
      <c r="S211" s="1489"/>
      <c r="T211" s="1489"/>
    </row>
    <row r="212" spans="1:20" s="497" customFormat="1" ht="15" customHeight="1">
      <c r="B212" s="496"/>
      <c r="C212" s="496"/>
    </row>
    <row r="213" spans="1:20" s="497" customFormat="1" ht="15" customHeight="1">
      <c r="A213" s="497" t="s">
        <v>724</v>
      </c>
      <c r="B213" s="496"/>
      <c r="C213" s="496"/>
    </row>
    <row r="214" spans="1:20" s="497" customFormat="1" ht="15" customHeight="1">
      <c r="A214" s="497" t="s">
        <v>728</v>
      </c>
      <c r="B214" s="496"/>
      <c r="C214" s="1489" t="s">
        <v>999</v>
      </c>
      <c r="D214" s="1489"/>
      <c r="E214" s="1489"/>
      <c r="F214" s="1489"/>
      <c r="G214" s="1489"/>
      <c r="H214" s="1489"/>
      <c r="I214" s="1489"/>
      <c r="J214" s="1489"/>
      <c r="K214" s="1489"/>
      <c r="L214" s="1489"/>
      <c r="M214" s="1489"/>
      <c r="N214" s="1489"/>
      <c r="O214" s="1489"/>
      <c r="P214" s="1489"/>
      <c r="Q214" s="1489"/>
      <c r="R214" s="1489"/>
      <c r="S214" s="1489"/>
      <c r="T214" s="1489"/>
    </row>
    <row r="215" spans="1:20" s="497" customFormat="1" ht="15" customHeight="1">
      <c r="B215" s="496"/>
      <c r="C215" s="1489"/>
      <c r="D215" s="1489"/>
      <c r="E215" s="1489"/>
      <c r="F215" s="1489"/>
      <c r="G215" s="1489"/>
      <c r="H215" s="1489"/>
      <c r="I215" s="1489"/>
      <c r="J215" s="1489"/>
      <c r="K215" s="1489"/>
      <c r="L215" s="1489"/>
      <c r="M215" s="1489"/>
      <c r="N215" s="1489"/>
      <c r="O215" s="1489"/>
      <c r="P215" s="1489"/>
      <c r="Q215" s="1489"/>
      <c r="R215" s="1489"/>
      <c r="S215" s="1489"/>
      <c r="T215" s="1489"/>
    </row>
    <row r="216" spans="1:20" s="497" customFormat="1" ht="15" customHeight="1">
      <c r="B216" s="496"/>
      <c r="C216" s="547"/>
      <c r="D216" s="547"/>
      <c r="E216" s="547"/>
      <c r="F216" s="547"/>
      <c r="G216" s="547"/>
      <c r="H216" s="547"/>
      <c r="I216" s="547"/>
      <c r="J216" s="547"/>
      <c r="K216" s="547"/>
      <c r="L216" s="547"/>
      <c r="M216" s="547"/>
      <c r="N216" s="547"/>
      <c r="O216" s="547"/>
      <c r="P216" s="547"/>
      <c r="Q216" s="547"/>
      <c r="R216" s="547"/>
      <c r="S216" s="547"/>
      <c r="T216" s="547"/>
    </row>
    <row r="217" spans="1:20" s="514" customFormat="1" ht="15" customHeight="1">
      <c r="A217" s="497" t="s">
        <v>727</v>
      </c>
      <c r="B217" s="497"/>
      <c r="C217" s="497"/>
      <c r="D217" s="497"/>
      <c r="E217" s="497"/>
      <c r="F217" s="497"/>
      <c r="G217" s="497"/>
      <c r="H217" s="497"/>
      <c r="I217" s="497"/>
      <c r="J217" s="497"/>
      <c r="K217" s="497"/>
      <c r="L217" s="497"/>
      <c r="M217" s="497"/>
      <c r="N217" s="497"/>
      <c r="O217" s="497"/>
      <c r="P217" s="497"/>
      <c r="Q217" s="497"/>
      <c r="R217" s="497"/>
      <c r="S217" s="497"/>
      <c r="T217" s="497"/>
    </row>
    <row r="218" spans="1:20" s="514" customFormat="1" ht="50.1" customHeight="1">
      <c r="A218" s="497" t="s">
        <v>1699</v>
      </c>
      <c r="B218" s="497"/>
      <c r="C218" s="1486" t="s">
        <v>729</v>
      </c>
      <c r="D218" s="1486"/>
      <c r="E218" s="1486"/>
      <c r="F218" s="1486"/>
      <c r="G218" s="1486"/>
      <c r="H218" s="1486"/>
      <c r="I218" s="1486"/>
      <c r="J218" s="1486"/>
      <c r="K218" s="1486"/>
      <c r="L218" s="1486"/>
      <c r="M218" s="1486"/>
      <c r="N218" s="1486"/>
      <c r="O218" s="1486"/>
      <c r="P218" s="1486"/>
      <c r="Q218" s="1486"/>
      <c r="R218" s="1486"/>
      <c r="S218" s="1486"/>
      <c r="T218" s="1486"/>
    </row>
    <row r="219" spans="1:20" s="514" customFormat="1" ht="60" customHeight="1">
      <c r="A219" s="497"/>
      <c r="B219" s="497" t="s">
        <v>570</v>
      </c>
      <c r="C219" s="1486" t="s">
        <v>730</v>
      </c>
      <c r="D219" s="1486"/>
      <c r="E219" s="1486"/>
      <c r="F219" s="1486"/>
      <c r="G219" s="1486"/>
      <c r="H219" s="1486"/>
      <c r="I219" s="1486"/>
      <c r="J219" s="1486"/>
      <c r="K219" s="1486"/>
      <c r="L219" s="1486"/>
      <c r="M219" s="1486"/>
      <c r="N219" s="1486"/>
      <c r="O219" s="1486"/>
      <c r="P219" s="1486"/>
      <c r="Q219" s="1486"/>
      <c r="R219" s="1486"/>
      <c r="S219" s="1486"/>
      <c r="T219" s="1486"/>
    </row>
    <row r="220" spans="1:20" s="514" customFormat="1" ht="37.35" customHeight="1">
      <c r="A220" s="497"/>
      <c r="B220" s="497" t="s">
        <v>1538</v>
      </c>
      <c r="C220" s="1486" t="s">
        <v>2028</v>
      </c>
      <c r="D220" s="1486"/>
      <c r="E220" s="1486"/>
      <c r="F220" s="1486"/>
      <c r="G220" s="1486"/>
      <c r="H220" s="1486"/>
      <c r="I220" s="1486"/>
      <c r="J220" s="1486"/>
      <c r="K220" s="1486"/>
      <c r="L220" s="1486"/>
      <c r="M220" s="1486"/>
      <c r="N220" s="1486"/>
      <c r="O220" s="1486"/>
      <c r="P220" s="1486"/>
      <c r="Q220" s="1486"/>
      <c r="R220" s="1486"/>
      <c r="S220" s="1486"/>
      <c r="T220" s="1486"/>
    </row>
    <row r="221" spans="1:20" s="497" customFormat="1" ht="15" customHeight="1">
      <c r="B221" s="496"/>
      <c r="C221" s="547"/>
      <c r="D221" s="547"/>
      <c r="E221" s="547"/>
      <c r="F221" s="547"/>
      <c r="G221" s="547"/>
      <c r="H221" s="547"/>
      <c r="I221" s="547"/>
      <c r="J221" s="547"/>
      <c r="K221" s="547"/>
      <c r="L221" s="547"/>
      <c r="M221" s="547"/>
      <c r="N221" s="547"/>
      <c r="O221" s="547"/>
      <c r="P221" s="547"/>
      <c r="Q221" s="547"/>
      <c r="R221" s="547"/>
      <c r="S221" s="547"/>
      <c r="T221" s="815"/>
    </row>
    <row r="222" spans="1:20" s="497" customFormat="1" ht="15" customHeight="1">
      <c r="B222" s="496"/>
      <c r="C222" s="547"/>
      <c r="D222" s="547"/>
      <c r="E222" s="547"/>
      <c r="F222" s="547"/>
      <c r="G222" s="547"/>
      <c r="H222" s="547"/>
      <c r="I222" s="547"/>
      <c r="J222" s="547"/>
      <c r="K222" s="547"/>
      <c r="L222" s="547"/>
      <c r="M222" s="547"/>
      <c r="N222" s="547"/>
      <c r="O222" s="547"/>
      <c r="P222" s="547"/>
      <c r="Q222" s="547"/>
      <c r="R222" s="547"/>
      <c r="S222" s="547"/>
      <c r="T222" s="815" t="s">
        <v>731</v>
      </c>
    </row>
    <row r="223" spans="1:20" s="497" customFormat="1" ht="15" customHeight="1">
      <c r="B223" s="496"/>
      <c r="C223" s="547"/>
      <c r="D223" s="547"/>
      <c r="E223" s="547"/>
      <c r="F223" s="547"/>
      <c r="G223" s="547"/>
      <c r="H223" s="547"/>
      <c r="I223" s="547"/>
      <c r="J223" s="547"/>
      <c r="K223" s="547"/>
      <c r="L223" s="547"/>
      <c r="M223" s="547"/>
      <c r="N223" s="547"/>
      <c r="O223" s="547"/>
      <c r="P223" s="547"/>
      <c r="Q223" s="547"/>
      <c r="R223" s="547"/>
      <c r="S223" s="547"/>
      <c r="T223" s="547"/>
    </row>
  </sheetData>
  <sheetProtection selectLockedCells="1"/>
  <mergeCells count="87">
    <mergeCell ref="C218:T218"/>
    <mergeCell ref="C219:T219"/>
    <mergeCell ref="C18:T20"/>
    <mergeCell ref="A1:T2"/>
    <mergeCell ref="A3:T5"/>
    <mergeCell ref="C8:T11"/>
    <mergeCell ref="C12:T13"/>
    <mergeCell ref="C16:H16"/>
    <mergeCell ref="C17:M17"/>
    <mergeCell ref="N17:T17"/>
    <mergeCell ref="C23:T25"/>
    <mergeCell ref="C28:T30"/>
    <mergeCell ref="C31:T32"/>
    <mergeCell ref="C33:T34"/>
    <mergeCell ref="C35:T36"/>
    <mergeCell ref="B37:C37"/>
    <mergeCell ref="D37:T38"/>
    <mergeCell ref="B39:C39"/>
    <mergeCell ref="C40:T41"/>
    <mergeCell ref="C42:T43"/>
    <mergeCell ref="C47:T48"/>
    <mergeCell ref="C49:T51"/>
    <mergeCell ref="C109:T111"/>
    <mergeCell ref="C52:T53"/>
    <mergeCell ref="C56:T57"/>
    <mergeCell ref="C61:T62"/>
    <mergeCell ref="C65:T67"/>
    <mergeCell ref="C68:T69"/>
    <mergeCell ref="B73:C73"/>
    <mergeCell ref="B74:C74"/>
    <mergeCell ref="B75:C75"/>
    <mergeCell ref="C76:T78"/>
    <mergeCell ref="C81:T83"/>
    <mergeCell ref="C84:T87"/>
    <mergeCell ref="C58:T58"/>
    <mergeCell ref="C100:T101"/>
    <mergeCell ref="C102:T104"/>
    <mergeCell ref="C133:T134"/>
    <mergeCell ref="C114:T115"/>
    <mergeCell ref="C116:T117"/>
    <mergeCell ref="C118:T119"/>
    <mergeCell ref="C120:T121"/>
    <mergeCell ref="B122:C122"/>
    <mergeCell ref="D122:T123"/>
    <mergeCell ref="B124:C124"/>
    <mergeCell ref="B125:C125"/>
    <mergeCell ref="B126:C126"/>
    <mergeCell ref="D127:T129"/>
    <mergeCell ref="C130:T132"/>
    <mergeCell ref="C169:T172"/>
    <mergeCell ref="C135:T136"/>
    <mergeCell ref="C137:T138"/>
    <mergeCell ref="C139:T140"/>
    <mergeCell ref="C143:T145"/>
    <mergeCell ref="C146:T148"/>
    <mergeCell ref="C149:T150"/>
    <mergeCell ref="C151:T152"/>
    <mergeCell ref="C155:T156"/>
    <mergeCell ref="C157:T159"/>
    <mergeCell ref="C160:T162"/>
    <mergeCell ref="C165:T166"/>
    <mergeCell ref="C173:T174"/>
    <mergeCell ref="C177:T178"/>
    <mergeCell ref="B179:C179"/>
    <mergeCell ref="B181:C181"/>
    <mergeCell ref="D181:T182"/>
    <mergeCell ref="C193:T195"/>
    <mergeCell ref="C196:T197"/>
    <mergeCell ref="C198:T200"/>
    <mergeCell ref="C201:T201"/>
    <mergeCell ref="C204:T205"/>
    <mergeCell ref="C220:T220"/>
    <mergeCell ref="C105:T106"/>
    <mergeCell ref="C90:T90"/>
    <mergeCell ref="C91:T92"/>
    <mergeCell ref="C94:T95"/>
    <mergeCell ref="C96:T97"/>
    <mergeCell ref="C98:T99"/>
    <mergeCell ref="C210:T211"/>
    <mergeCell ref="C214:T215"/>
    <mergeCell ref="C206:T207"/>
    <mergeCell ref="B183:C183"/>
    <mergeCell ref="B184:C184"/>
    <mergeCell ref="B185:C185"/>
    <mergeCell ref="B187:C187"/>
    <mergeCell ref="B188:C188"/>
    <mergeCell ref="C191:T192"/>
  </mergeCells>
  <phoneticPr fontId="17"/>
  <printOptions horizontalCentered="1"/>
  <pageMargins left="0.70866141732283472" right="0.70866141732283472" top="0.74803149606299213" bottom="0.55118110236220474" header="0.31496062992125984" footer="0.31496062992125984"/>
  <pageSetup paperSize="9" scale="96" fitToHeight="0" orientation="portrait" r:id="rId1"/>
  <headerFooter>
    <oddFooter>&amp;L【通所介護_BMC】&amp;C&amp;P</oddFooter>
  </headerFooter>
  <rowBreaks count="4" manualBreakCount="4">
    <brk id="54" max="19" man="1"/>
    <brk id="107" max="19" man="1"/>
    <brk id="162" max="19" man="1"/>
    <brk id="216"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8">
    <tabColor rgb="FFFDD0C7"/>
    <pageSetUpPr fitToPage="1"/>
  </sheetPr>
  <dimension ref="A1:V53"/>
  <sheetViews>
    <sheetView workbookViewId="0"/>
  </sheetViews>
  <sheetFormatPr defaultColWidth="9" defaultRowHeight="15" customHeight="1"/>
  <cols>
    <col min="1" max="1" width="4.625" style="299" customWidth="1"/>
    <col min="2" max="3" width="4.625" style="298" customWidth="1"/>
    <col min="4" max="20" width="4.625" style="299" customWidth="1"/>
    <col min="21" max="22" width="0" style="299" hidden="1" customWidth="1"/>
    <col min="23" max="39" width="4.625" style="299" customWidth="1"/>
    <col min="40" max="16384" width="9" style="299"/>
  </cols>
  <sheetData>
    <row r="1" spans="1:22" ht="15" customHeight="1">
      <c r="T1" s="312"/>
      <c r="V1" s="299" t="s">
        <v>563</v>
      </c>
    </row>
    <row r="9" spans="1:22" ht="15" customHeight="1">
      <c r="A9" s="1255" t="s">
        <v>296</v>
      </c>
      <c r="B9" s="1255"/>
      <c r="C9" s="1255"/>
      <c r="D9" s="1255"/>
      <c r="E9" s="1255"/>
      <c r="F9" s="1255"/>
      <c r="G9" s="1255"/>
      <c r="H9" s="1255"/>
      <c r="I9" s="1255"/>
      <c r="J9" s="1255"/>
      <c r="K9" s="1255"/>
      <c r="L9" s="1255"/>
      <c r="M9" s="1255"/>
      <c r="N9" s="1255"/>
      <c r="O9" s="1255"/>
      <c r="P9" s="1255"/>
      <c r="Q9" s="1255"/>
      <c r="R9" s="1255"/>
      <c r="S9" s="1255"/>
      <c r="T9" s="1255"/>
    </row>
    <row r="10" spans="1:22" ht="15" customHeight="1">
      <c r="A10" s="1255"/>
      <c r="B10" s="1255"/>
      <c r="C10" s="1255"/>
      <c r="D10" s="1255"/>
      <c r="E10" s="1255"/>
      <c r="F10" s="1255"/>
      <c r="G10" s="1255"/>
      <c r="H10" s="1255"/>
      <c r="I10" s="1255"/>
      <c r="J10" s="1255"/>
      <c r="K10" s="1255"/>
      <c r="L10" s="1255"/>
      <c r="M10" s="1255"/>
      <c r="N10" s="1255"/>
      <c r="O10" s="1255"/>
      <c r="P10" s="1255"/>
      <c r="Q10" s="1255"/>
      <c r="R10" s="1255"/>
      <c r="S10" s="1255"/>
      <c r="T10" s="1255"/>
    </row>
    <row r="11" spans="1:22" ht="15" customHeight="1">
      <c r="A11" s="1255"/>
      <c r="B11" s="1255"/>
      <c r="C11" s="1255"/>
      <c r="D11" s="1255"/>
      <c r="E11" s="1255"/>
      <c r="F11" s="1255"/>
      <c r="G11" s="1255"/>
      <c r="H11" s="1255"/>
      <c r="I11" s="1255"/>
      <c r="J11" s="1255"/>
      <c r="K11" s="1255"/>
      <c r="L11" s="1255"/>
      <c r="M11" s="1255"/>
      <c r="N11" s="1255"/>
      <c r="O11" s="1255"/>
      <c r="P11" s="1255"/>
      <c r="Q11" s="1255"/>
      <c r="R11" s="1255"/>
      <c r="S11" s="1255"/>
      <c r="T11" s="1255"/>
    </row>
    <row r="12" spans="1:22" ht="15" customHeight="1">
      <c r="A12" s="1255" t="s">
        <v>903</v>
      </c>
      <c r="B12" s="1255"/>
      <c r="C12" s="1255"/>
      <c r="D12" s="1255"/>
      <c r="E12" s="1255"/>
      <c r="F12" s="1255"/>
      <c r="G12" s="1255"/>
      <c r="H12" s="1255"/>
      <c r="I12" s="1255"/>
      <c r="J12" s="1255"/>
      <c r="K12" s="1255"/>
      <c r="L12" s="1255"/>
      <c r="M12" s="1255"/>
      <c r="N12" s="1255"/>
      <c r="O12" s="1255"/>
      <c r="P12" s="1255"/>
      <c r="Q12" s="1255"/>
      <c r="R12" s="1255"/>
      <c r="S12" s="1255"/>
      <c r="T12" s="1255"/>
    </row>
    <row r="13" spans="1:22" ht="15" customHeight="1">
      <c r="A13" s="1255"/>
      <c r="B13" s="1255"/>
      <c r="C13" s="1255"/>
      <c r="D13" s="1255"/>
      <c r="E13" s="1255"/>
      <c r="F13" s="1255"/>
      <c r="G13" s="1255"/>
      <c r="H13" s="1255"/>
      <c r="I13" s="1255"/>
      <c r="J13" s="1255"/>
      <c r="K13" s="1255"/>
      <c r="L13" s="1255"/>
      <c r="M13" s="1255"/>
      <c r="N13" s="1255"/>
      <c r="O13" s="1255"/>
      <c r="P13" s="1255"/>
      <c r="Q13" s="1255"/>
      <c r="R13" s="1255"/>
      <c r="S13" s="1255"/>
      <c r="T13" s="1255"/>
    </row>
    <row r="14" spans="1:22" ht="15" customHeight="1">
      <c r="A14" s="1255"/>
      <c r="B14" s="1255"/>
      <c r="C14" s="1255"/>
      <c r="D14" s="1255"/>
      <c r="E14" s="1255"/>
      <c r="F14" s="1255"/>
      <c r="G14" s="1255"/>
      <c r="H14" s="1255"/>
      <c r="I14" s="1255"/>
      <c r="J14" s="1255"/>
      <c r="K14" s="1255"/>
      <c r="L14" s="1255"/>
      <c r="M14" s="1255"/>
      <c r="N14" s="1255"/>
      <c r="O14" s="1255"/>
      <c r="P14" s="1255"/>
      <c r="Q14" s="1255"/>
      <c r="R14" s="1255"/>
      <c r="S14" s="1255"/>
      <c r="T14" s="1255"/>
    </row>
    <row r="20" spans="1:20" ht="15" customHeight="1">
      <c r="B20" s="1256" t="str">
        <f>【マスター】!C7</f>
        <v>デイサービスさつきの湯</v>
      </c>
      <c r="C20" s="1256"/>
      <c r="D20" s="1256"/>
      <c r="E20" s="1256"/>
      <c r="F20" s="1256"/>
      <c r="G20" s="1256"/>
      <c r="H20" s="1256"/>
      <c r="I20" s="1256"/>
      <c r="J20" s="1256"/>
      <c r="K20" s="1256"/>
      <c r="L20" s="1256"/>
      <c r="M20" s="1256"/>
      <c r="N20" s="1256"/>
      <c r="O20" s="1256"/>
      <c r="P20" s="1256"/>
      <c r="Q20" s="1256"/>
      <c r="R20" s="1256"/>
      <c r="S20" s="1256"/>
      <c r="T20" s="314"/>
    </row>
    <row r="21" spans="1:20" ht="15" customHeight="1">
      <c r="A21" s="314"/>
      <c r="B21" s="1256"/>
      <c r="C21" s="1256"/>
      <c r="D21" s="1256"/>
      <c r="E21" s="1256"/>
      <c r="F21" s="1256"/>
      <c r="G21" s="1256"/>
      <c r="H21" s="1256"/>
      <c r="I21" s="1256"/>
      <c r="J21" s="1256"/>
      <c r="K21" s="1256"/>
      <c r="L21" s="1256"/>
      <c r="M21" s="1256"/>
      <c r="N21" s="1256"/>
      <c r="O21" s="1256"/>
      <c r="P21" s="1256"/>
      <c r="Q21" s="1256"/>
      <c r="R21" s="1256"/>
      <c r="S21" s="1256"/>
      <c r="T21" s="314"/>
    </row>
    <row r="22" spans="1:20" ht="15" customHeight="1">
      <c r="A22" s="314"/>
      <c r="B22" s="1256"/>
      <c r="C22" s="1256"/>
      <c r="D22" s="1256"/>
      <c r="E22" s="1256"/>
      <c r="F22" s="1256"/>
      <c r="G22" s="1256"/>
      <c r="H22" s="1256"/>
      <c r="I22" s="1256"/>
      <c r="J22" s="1256"/>
      <c r="K22" s="1256"/>
      <c r="L22" s="1256"/>
      <c r="M22" s="1256"/>
      <c r="N22" s="1256"/>
      <c r="O22" s="1256"/>
      <c r="P22" s="1256"/>
      <c r="Q22" s="1256"/>
      <c r="R22" s="1256"/>
      <c r="S22" s="1256"/>
      <c r="T22" s="314"/>
    </row>
    <row r="53" spans="1:20" ht="15" customHeight="1">
      <c r="A53" s="1257" t="str">
        <f>【マスター】!C21</f>
        <v>株式会社ケアサポート</v>
      </c>
      <c r="B53" s="1257"/>
      <c r="C53" s="1257"/>
      <c r="D53" s="1257"/>
      <c r="E53" s="1257"/>
      <c r="F53" s="1257"/>
      <c r="G53" s="1257"/>
      <c r="H53" s="1257"/>
      <c r="I53" s="1257"/>
      <c r="J53" s="1257"/>
      <c r="K53" s="1257"/>
      <c r="L53" s="1257"/>
      <c r="M53" s="1257"/>
      <c r="N53" s="1257"/>
      <c r="O53" s="1257"/>
      <c r="P53" s="1257"/>
      <c r="Q53" s="1257"/>
      <c r="R53" s="1257"/>
      <c r="S53" s="1257"/>
      <c r="T53" s="1257"/>
    </row>
  </sheetData>
  <sheetProtection selectLockedCells="1"/>
  <mergeCells count="4">
    <mergeCell ref="A9:T11"/>
    <mergeCell ref="A12:T14"/>
    <mergeCell ref="B20:S22"/>
    <mergeCell ref="A53:T53"/>
  </mergeCells>
  <phoneticPr fontId="17"/>
  <printOptions horizontalCentered="1" verticalCentered="1"/>
  <pageMargins left="0.70866141732283472" right="0.70866141732283472" top="0.55118110236220474" bottom="0.55118110236220474" header="0.31496062992125984" footer="0.31496062992125984"/>
  <pageSetup paperSize="9" scale="95" fitToHeight="0" orientation="portrait" r:id="rId1"/>
  <headerFooter>
    <oddFooter>&amp;L【通所介護】BMC</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O162"/>
  <sheetViews>
    <sheetView view="pageBreakPreview" topLeftCell="F163" zoomScale="111" zoomScaleNormal="100" zoomScaleSheetLayoutView="111" workbookViewId="0">
      <selection activeCell="AL39" sqref="AL39"/>
    </sheetView>
  </sheetViews>
  <sheetFormatPr defaultColWidth="9" defaultRowHeight="15" customHeight="1"/>
  <cols>
    <col min="1" max="1" width="4.625" style="810" customWidth="1"/>
    <col min="2" max="3" width="4.625" style="842" customWidth="1"/>
    <col min="4" max="20" width="4.625" style="810" customWidth="1"/>
    <col min="21" max="22" width="0" style="810" hidden="1" customWidth="1"/>
    <col min="23" max="39" width="4.625" style="810" customWidth="1"/>
    <col min="40" max="16384" width="9" style="810"/>
  </cols>
  <sheetData>
    <row r="1" spans="1:24" ht="15" customHeight="1">
      <c r="A1" s="1495" t="s">
        <v>904</v>
      </c>
      <c r="B1" s="1495"/>
      <c r="C1" s="1495"/>
      <c r="D1" s="1495"/>
      <c r="E1" s="1495"/>
      <c r="F1" s="1495"/>
      <c r="G1" s="1495"/>
      <c r="H1" s="1495"/>
      <c r="I1" s="1495"/>
      <c r="J1" s="1495"/>
      <c r="K1" s="1495"/>
      <c r="L1" s="1495"/>
      <c r="M1" s="1495"/>
      <c r="N1" s="1495"/>
      <c r="O1" s="1495"/>
      <c r="P1" s="1495"/>
      <c r="Q1" s="1495"/>
      <c r="R1" s="1495"/>
      <c r="S1" s="1495"/>
      <c r="T1" s="1495"/>
    </row>
    <row r="2" spans="1:24" ht="15" customHeight="1">
      <c r="A2" s="1495"/>
      <c r="B2" s="1495"/>
      <c r="C2" s="1495"/>
      <c r="D2" s="1495"/>
      <c r="E2" s="1495"/>
      <c r="F2" s="1495"/>
      <c r="G2" s="1495"/>
      <c r="H2" s="1495"/>
      <c r="I2" s="1495"/>
      <c r="J2" s="1495"/>
      <c r="K2" s="1495"/>
      <c r="L2" s="1495"/>
      <c r="M2" s="1495"/>
      <c r="N2" s="1495"/>
      <c r="O2" s="1495"/>
      <c r="P2" s="1495"/>
      <c r="Q2" s="1495"/>
      <c r="R2" s="1495"/>
      <c r="S2" s="1495"/>
      <c r="T2" s="1495"/>
    </row>
    <row r="3" spans="1:24" s="497" customFormat="1" ht="15" customHeight="1">
      <c r="A3" s="1577" t="str">
        <f>DBCS("＜　"&amp;【マスター】!C4&amp;" "&amp;【マスター】!D4&amp;【マスター】!E4&amp;" "&amp;【マスター】!F4&amp;【マスター】!G4&amp;" "&amp;【マスター】!H4&amp;【マスター】!I4&amp;" ＞")</f>
        <v>＜　令和　６年　６月　１日現在　＞</v>
      </c>
      <c r="B3" s="1577"/>
      <c r="C3" s="1577"/>
      <c r="D3" s="1577"/>
      <c r="E3" s="1577"/>
      <c r="F3" s="1577"/>
      <c r="G3" s="1577"/>
      <c r="H3" s="1577"/>
      <c r="I3" s="1577"/>
      <c r="J3" s="1577"/>
      <c r="K3" s="1577"/>
      <c r="L3" s="1577"/>
      <c r="M3" s="1577"/>
      <c r="N3" s="1577"/>
      <c r="O3" s="1577"/>
      <c r="P3" s="1577"/>
      <c r="Q3" s="1577"/>
      <c r="R3" s="1577"/>
      <c r="S3" s="1577"/>
      <c r="T3" s="1577"/>
    </row>
    <row r="4" spans="1:24" s="497" customFormat="1" ht="15" customHeight="1">
      <c r="B4" s="803"/>
      <c r="C4" s="803"/>
      <c r="D4" s="803"/>
      <c r="E4" s="803"/>
      <c r="F4" s="803"/>
      <c r="G4" s="803"/>
      <c r="H4" s="803"/>
      <c r="I4" s="803"/>
      <c r="J4" s="803"/>
      <c r="K4" s="803"/>
      <c r="L4" s="803"/>
      <c r="M4" s="803"/>
      <c r="N4" s="803"/>
      <c r="O4" s="803"/>
      <c r="P4" s="803"/>
      <c r="Q4" s="803"/>
      <c r="R4" s="803"/>
      <c r="S4" s="803"/>
      <c r="T4" s="803"/>
      <c r="X4" s="811"/>
    </row>
    <row r="5" spans="1:24" s="497" customFormat="1" ht="15" customHeight="1">
      <c r="A5" s="497" t="s">
        <v>905</v>
      </c>
      <c r="B5" s="496"/>
      <c r="C5" s="496"/>
    </row>
    <row r="6" spans="1:24" s="497" customFormat="1" ht="15" customHeight="1">
      <c r="A6" s="816"/>
      <c r="B6" s="1568" t="s">
        <v>300</v>
      </c>
      <c r="C6" s="1568"/>
      <c r="D6" s="1568"/>
      <c r="E6" s="1568"/>
      <c r="F6" s="1568"/>
      <c r="G6" s="817"/>
      <c r="H6" s="1581" t="s">
        <v>2149</v>
      </c>
      <c r="I6" s="1582"/>
      <c r="J6" s="1582"/>
      <c r="K6" s="1582"/>
      <c r="L6" s="1582"/>
      <c r="M6" s="1582"/>
      <c r="N6" s="1582"/>
      <c r="O6" s="1582"/>
      <c r="P6" s="1582"/>
      <c r="Q6" s="1507" t="s">
        <v>301</v>
      </c>
      <c r="R6" s="1507"/>
      <c r="S6" s="1507"/>
      <c r="T6" s="1508"/>
    </row>
    <row r="7" spans="1:24" s="497" customFormat="1" ht="15" customHeight="1">
      <c r="A7" s="816"/>
      <c r="B7" s="1568" t="s">
        <v>302</v>
      </c>
      <c r="C7" s="1568"/>
      <c r="D7" s="1568"/>
      <c r="E7" s="1568"/>
      <c r="F7" s="1568"/>
      <c r="G7" s="818"/>
      <c r="H7" s="1583" t="s">
        <v>2150</v>
      </c>
      <c r="I7" s="1584"/>
      <c r="J7" s="1584"/>
      <c r="K7" s="1584"/>
      <c r="L7" s="1584"/>
      <c r="M7" s="1584"/>
      <c r="N7" s="1584"/>
      <c r="O7" s="1584"/>
      <c r="P7" s="1584"/>
      <c r="Q7" s="1584"/>
      <c r="R7" s="1584"/>
      <c r="S7" s="1584"/>
      <c r="T7" s="1585"/>
    </row>
    <row r="8" spans="1:24" s="497" customFormat="1" ht="15" customHeight="1">
      <c r="A8" s="819"/>
      <c r="B8" s="1570" t="s">
        <v>303</v>
      </c>
      <c r="C8" s="1570"/>
      <c r="D8" s="1570"/>
      <c r="E8" s="1570"/>
      <c r="F8" s="1570"/>
      <c r="G8" s="820"/>
      <c r="H8" s="1572" t="s">
        <v>304</v>
      </c>
      <c r="I8" s="1573"/>
      <c r="J8" s="1573"/>
      <c r="K8" s="1574" t="str">
        <f>DBCS(【マスター】!F22&amp;" "&amp;【マスター】!C23)</f>
        <v>愛知県豊川市大堀町２９３番地　</v>
      </c>
      <c r="L8" s="1574"/>
      <c r="M8" s="1574"/>
      <c r="N8" s="1574"/>
      <c r="O8" s="1574"/>
      <c r="P8" s="1574"/>
      <c r="Q8" s="1574"/>
      <c r="R8" s="1574"/>
      <c r="S8" s="1574"/>
      <c r="T8" s="1575"/>
    </row>
    <row r="9" spans="1:24" s="497" customFormat="1" ht="15" customHeight="1">
      <c r="A9" s="821"/>
      <c r="B9" s="1571"/>
      <c r="C9" s="1571"/>
      <c r="D9" s="1571"/>
      <c r="E9" s="1571"/>
      <c r="F9" s="1571"/>
      <c r="G9" s="822"/>
      <c r="H9" s="1576" t="s">
        <v>305</v>
      </c>
      <c r="I9" s="1577"/>
      <c r="J9" s="1577"/>
      <c r="K9" s="1523" t="str">
        <f>DBCS(【マスター】!C24)</f>
        <v>０５３３－６５－８７０２</v>
      </c>
      <c r="L9" s="1523"/>
      <c r="M9" s="1523"/>
      <c r="N9" s="1523"/>
      <c r="O9" s="1523"/>
      <c r="P9" s="1523"/>
      <c r="Q9" s="1523"/>
      <c r="R9" s="1523"/>
      <c r="S9" s="1523"/>
      <c r="T9" s="1524"/>
    </row>
    <row r="10" spans="1:24" s="497" customFormat="1" ht="15" customHeight="1">
      <c r="A10" s="823"/>
      <c r="B10" s="1586"/>
      <c r="C10" s="1586"/>
      <c r="D10" s="1586"/>
      <c r="E10" s="1586"/>
      <c r="F10" s="1586"/>
      <c r="G10" s="824"/>
      <c r="H10" s="1578" t="s">
        <v>306</v>
      </c>
      <c r="I10" s="1579"/>
      <c r="J10" s="1579"/>
      <c r="K10" s="1526" t="str">
        <f>DBCS(【マスター】!I24)</f>
        <v>０５３３－６５－８７０３</v>
      </c>
      <c r="L10" s="1526"/>
      <c r="M10" s="1526"/>
      <c r="N10" s="1526"/>
      <c r="O10" s="1526"/>
      <c r="P10" s="1526"/>
      <c r="Q10" s="1526"/>
      <c r="R10" s="1526"/>
      <c r="S10" s="1526"/>
      <c r="T10" s="1527"/>
    </row>
    <row r="11" spans="1:24" s="497" customFormat="1" ht="15" customHeight="1">
      <c r="G11" s="803"/>
    </row>
    <row r="12" spans="1:24" s="497" customFormat="1" ht="15" customHeight="1">
      <c r="A12" s="497" t="s">
        <v>307</v>
      </c>
      <c r="B12" s="496"/>
      <c r="C12" s="803"/>
      <c r="D12" s="803"/>
      <c r="E12" s="803"/>
      <c r="F12" s="803"/>
      <c r="G12" s="803"/>
    </row>
    <row r="13" spans="1:24" s="497" customFormat="1" ht="15" customHeight="1">
      <c r="A13" s="496" t="s">
        <v>906</v>
      </c>
      <c r="C13" s="496"/>
    </row>
    <row r="14" spans="1:24" s="497" customFormat="1" ht="15" customHeight="1">
      <c r="A14" s="816"/>
      <c r="B14" s="1568" t="s">
        <v>78</v>
      </c>
      <c r="C14" s="1568"/>
      <c r="D14" s="1568"/>
      <c r="E14" s="1568"/>
      <c r="F14" s="1568"/>
      <c r="G14" s="817"/>
      <c r="H14" s="1569" t="str">
        <f>【マスター】!C7</f>
        <v>デイサービスさつきの湯</v>
      </c>
      <c r="I14" s="1569"/>
      <c r="J14" s="1569"/>
      <c r="K14" s="1569"/>
      <c r="L14" s="1569"/>
      <c r="M14" s="1569"/>
      <c r="N14" s="1569"/>
      <c r="O14" s="1569"/>
      <c r="P14" s="1569"/>
      <c r="Q14" s="1569"/>
      <c r="R14" s="1569"/>
      <c r="S14" s="1569"/>
      <c r="T14" s="1569"/>
    </row>
    <row r="15" spans="1:24" s="497" customFormat="1" ht="15" customHeight="1">
      <c r="A15" s="819"/>
      <c r="B15" s="1570" t="s">
        <v>303</v>
      </c>
      <c r="C15" s="1570"/>
      <c r="D15" s="1570"/>
      <c r="E15" s="1570"/>
      <c r="F15" s="1570"/>
      <c r="G15" s="820"/>
      <c r="H15" s="1572" t="s">
        <v>304</v>
      </c>
      <c r="I15" s="1573"/>
      <c r="J15" s="1573"/>
      <c r="K15" s="1574" t="str">
        <f>DBCS(【マスター】!F8)</f>
        <v>愛知県豊川市八幡町本郷１４番地１</v>
      </c>
      <c r="L15" s="1574"/>
      <c r="M15" s="1574"/>
      <c r="N15" s="1574"/>
      <c r="O15" s="1574"/>
      <c r="P15" s="1574"/>
      <c r="Q15" s="1574"/>
      <c r="R15" s="1574"/>
      <c r="S15" s="1574"/>
      <c r="T15" s="1575"/>
    </row>
    <row r="16" spans="1:24" s="497" customFormat="1" ht="15" customHeight="1">
      <c r="A16" s="821"/>
      <c r="B16" s="1571"/>
      <c r="C16" s="1571"/>
      <c r="D16" s="1571"/>
      <c r="E16" s="1571"/>
      <c r="F16" s="1571"/>
      <c r="G16" s="822"/>
      <c r="H16" s="1576" t="s">
        <v>305</v>
      </c>
      <c r="I16" s="1577"/>
      <c r="J16" s="1577"/>
      <c r="K16" s="1523" t="str">
        <f>DBCS(【マスター】!C9)</f>
        <v>０５３３－５６－７０８７</v>
      </c>
      <c r="L16" s="1523"/>
      <c r="M16" s="1523"/>
      <c r="N16" s="1523"/>
      <c r="O16" s="1523"/>
      <c r="P16" s="1523"/>
      <c r="Q16" s="1523"/>
      <c r="R16" s="1523"/>
      <c r="S16" s="1523"/>
      <c r="T16" s="1524"/>
    </row>
    <row r="17" spans="1:24" s="497" customFormat="1" ht="15" customHeight="1">
      <c r="A17" s="821"/>
      <c r="B17" s="1571"/>
      <c r="C17" s="1571"/>
      <c r="D17" s="1571"/>
      <c r="E17" s="1571"/>
      <c r="F17" s="1571"/>
      <c r="G17" s="822"/>
      <c r="H17" s="1578" t="s">
        <v>306</v>
      </c>
      <c r="I17" s="1579"/>
      <c r="J17" s="1579"/>
      <c r="K17" s="1526" t="str">
        <f>DBCS(【マスター】!I9)</f>
        <v>０５３３－５６－７０８８</v>
      </c>
      <c r="L17" s="1526"/>
      <c r="M17" s="1526"/>
      <c r="N17" s="1526"/>
      <c r="O17" s="1526"/>
      <c r="P17" s="1526"/>
      <c r="Q17" s="1526"/>
      <c r="R17" s="1526"/>
      <c r="S17" s="1526"/>
      <c r="T17" s="1527"/>
    </row>
    <row r="18" spans="1:24" s="497" customFormat="1" ht="15" customHeight="1">
      <c r="A18" s="816"/>
      <c r="B18" s="1568" t="s">
        <v>310</v>
      </c>
      <c r="C18" s="1568"/>
      <c r="D18" s="1568"/>
      <c r="E18" s="1568"/>
      <c r="F18" s="1568"/>
      <c r="G18" s="818"/>
      <c r="H18" s="1560" t="str">
        <f>【マスター】!C20</f>
        <v>繁原　秀章</v>
      </c>
      <c r="I18" s="1560"/>
      <c r="J18" s="1560"/>
      <c r="K18" s="1560"/>
      <c r="L18" s="1560"/>
      <c r="M18" s="1560"/>
      <c r="N18" s="1560"/>
      <c r="O18" s="1560"/>
      <c r="P18" s="1560"/>
      <c r="Q18" s="1560"/>
      <c r="R18" s="1560"/>
      <c r="S18" s="1560"/>
      <c r="T18" s="1560"/>
    </row>
    <row r="19" spans="1:24" s="497" customFormat="1" ht="15" customHeight="1">
      <c r="B19" s="496"/>
      <c r="C19" s="803"/>
      <c r="D19" s="803"/>
      <c r="E19" s="803"/>
      <c r="F19" s="803"/>
      <c r="G19" s="803"/>
      <c r="H19" s="803"/>
      <c r="I19" s="803"/>
      <c r="J19" s="803"/>
      <c r="K19" s="803"/>
      <c r="L19" s="803"/>
      <c r="M19" s="803"/>
      <c r="N19" s="803"/>
      <c r="O19" s="803"/>
      <c r="P19" s="803"/>
      <c r="Q19" s="803"/>
      <c r="R19" s="803"/>
      <c r="S19" s="803"/>
      <c r="T19" s="803"/>
    </row>
    <row r="20" spans="1:24" s="497" customFormat="1" ht="15" customHeight="1">
      <c r="A20" s="496" t="s">
        <v>907</v>
      </c>
      <c r="C20" s="803"/>
      <c r="D20" s="803"/>
      <c r="E20" s="803"/>
      <c r="F20" s="803"/>
      <c r="G20" s="803"/>
      <c r="H20" s="803"/>
      <c r="I20" s="803"/>
      <c r="J20" s="803"/>
      <c r="K20" s="803"/>
      <c r="L20" s="803"/>
      <c r="M20" s="803"/>
      <c r="N20" s="803"/>
      <c r="O20" s="803"/>
      <c r="P20" s="803"/>
      <c r="Q20" s="803"/>
      <c r="R20" s="803"/>
      <c r="S20" s="803"/>
      <c r="T20" s="803"/>
    </row>
    <row r="21" spans="1:24" s="497" customFormat="1" ht="15" customHeight="1">
      <c r="A21" s="819"/>
      <c r="B21" s="1587" t="s">
        <v>344</v>
      </c>
      <c r="C21" s="1587"/>
      <c r="D21" s="1587"/>
      <c r="E21" s="1587"/>
      <c r="F21" s="1587"/>
      <c r="G21" s="820"/>
      <c r="H21" s="1588" t="s">
        <v>2147</v>
      </c>
      <c r="I21" s="1589"/>
      <c r="J21" s="1589"/>
      <c r="K21" s="1589"/>
      <c r="L21" s="1589"/>
      <c r="M21" s="1589"/>
      <c r="N21" s="1589"/>
      <c r="O21" s="803"/>
      <c r="P21" s="803"/>
      <c r="Q21" s="803"/>
      <c r="R21" s="803"/>
      <c r="S21" s="803"/>
      <c r="T21" s="803"/>
    </row>
    <row r="22" spans="1:24" s="497" customFormat="1" ht="15" customHeight="1">
      <c r="A22" s="816"/>
      <c r="B22" s="1568" t="s">
        <v>345</v>
      </c>
      <c r="C22" s="1568"/>
      <c r="D22" s="1568"/>
      <c r="E22" s="1568"/>
      <c r="F22" s="1568"/>
      <c r="G22" s="817"/>
      <c r="H22" s="1590" t="s">
        <v>2148</v>
      </c>
      <c r="I22" s="1591"/>
      <c r="J22" s="1591"/>
      <c r="K22" s="1591"/>
      <c r="L22" s="1591"/>
      <c r="M22" s="1591"/>
      <c r="N22" s="1592"/>
      <c r="O22" s="999"/>
      <c r="P22" s="999"/>
      <c r="Q22" s="999"/>
      <c r="R22" s="999"/>
      <c r="S22" s="999"/>
      <c r="T22" s="999"/>
    </row>
    <row r="23" spans="1:24" s="497" customFormat="1" ht="15" customHeight="1">
      <c r="A23" s="999"/>
      <c r="B23" s="999"/>
      <c r="C23" s="999"/>
      <c r="D23" s="999"/>
      <c r="E23" s="999"/>
      <c r="F23" s="999"/>
      <c r="G23" s="999"/>
      <c r="H23" s="999"/>
      <c r="I23" s="999"/>
      <c r="J23" s="999"/>
      <c r="K23" s="999"/>
      <c r="L23" s="999"/>
      <c r="M23" s="999"/>
      <c r="N23" s="999"/>
      <c r="O23" s="999"/>
      <c r="P23" s="999"/>
      <c r="Q23" s="999"/>
      <c r="R23" s="999"/>
      <c r="S23" s="999"/>
      <c r="T23" s="999"/>
    </row>
    <row r="24" spans="1:24" s="497" customFormat="1" ht="15" customHeight="1">
      <c r="A24" s="497" t="s">
        <v>346</v>
      </c>
      <c r="B24" s="496"/>
      <c r="C24" s="496"/>
    </row>
    <row r="25" spans="1:24" s="497" customFormat="1" ht="15" customHeight="1">
      <c r="A25" s="496" t="s">
        <v>909</v>
      </c>
      <c r="C25" s="803"/>
      <c r="D25" s="803"/>
      <c r="E25" s="803"/>
      <c r="F25" s="803"/>
      <c r="G25" s="803"/>
      <c r="H25" s="803"/>
      <c r="I25" s="803"/>
      <c r="J25" s="803"/>
      <c r="K25" s="803"/>
      <c r="L25" s="803"/>
      <c r="M25" s="803"/>
      <c r="N25" s="803"/>
      <c r="O25" s="803"/>
      <c r="P25" s="803"/>
      <c r="Q25" s="803"/>
      <c r="R25" s="803"/>
      <c r="S25" s="803"/>
      <c r="T25" s="803"/>
    </row>
    <row r="26" spans="1:24" s="497" customFormat="1" ht="15" customHeight="1">
      <c r="B26" s="497" t="s">
        <v>348</v>
      </c>
      <c r="D26" s="803"/>
      <c r="E26" s="803"/>
      <c r="F26" s="803"/>
      <c r="G26" s="803"/>
      <c r="H26" s="803"/>
      <c r="I26" s="803"/>
      <c r="J26" s="803"/>
      <c r="K26" s="803"/>
      <c r="L26" s="803"/>
      <c r="M26" s="803"/>
      <c r="N26" s="803"/>
      <c r="O26" s="803"/>
      <c r="P26" s="803"/>
      <c r="Q26" s="803"/>
      <c r="R26" s="803"/>
      <c r="S26" s="803"/>
      <c r="T26" s="803"/>
    </row>
    <row r="27" spans="1:24" s="497" customFormat="1" ht="15" customHeight="1">
      <c r="A27" s="1561" t="s">
        <v>349</v>
      </c>
      <c r="B27" s="1542"/>
      <c r="C27" s="1543"/>
      <c r="D27" s="1562" t="s">
        <v>910</v>
      </c>
      <c r="E27" s="1563"/>
      <c r="F27" s="1563"/>
      <c r="G27" s="1563"/>
      <c r="H27" s="1563"/>
      <c r="I27" s="1563"/>
      <c r="J27" s="1563"/>
      <c r="K27" s="1562" t="s">
        <v>350</v>
      </c>
      <c r="L27" s="1563"/>
      <c r="M27" s="1563"/>
      <c r="N27" s="1563"/>
      <c r="O27" s="1563"/>
      <c r="P27" s="1563"/>
      <c r="Q27" s="1563"/>
      <c r="R27" s="1563"/>
      <c r="S27" s="1563"/>
      <c r="T27" s="1566"/>
    </row>
    <row r="28" spans="1:24" s="497" customFormat="1" ht="15" customHeight="1">
      <c r="A28" s="1546"/>
      <c r="B28" s="1547"/>
      <c r="C28" s="1548"/>
      <c r="D28" s="1564"/>
      <c r="E28" s="1565"/>
      <c r="F28" s="1565"/>
      <c r="G28" s="1565"/>
      <c r="H28" s="1565"/>
      <c r="I28" s="1565"/>
      <c r="J28" s="1565"/>
      <c r="K28" s="1564"/>
      <c r="L28" s="1565"/>
      <c r="M28" s="1565"/>
      <c r="N28" s="1565"/>
      <c r="O28" s="1565"/>
      <c r="P28" s="1565"/>
      <c r="Q28" s="1565"/>
      <c r="R28" s="1565"/>
      <c r="S28" s="1565"/>
      <c r="T28" s="1567"/>
    </row>
    <row r="29" spans="1:24" s="497" customFormat="1" ht="15" customHeight="1">
      <c r="A29" s="1541" t="s">
        <v>911</v>
      </c>
      <c r="B29" s="1542"/>
      <c r="C29" s="1543"/>
      <c r="D29" s="1513" t="str">
        <f>DBCS(【マスター】!J42&amp;"円/時間
（サービス提供時間前後の
利用にかかる
合計時間が６０分以上で発生）")</f>
        <v>３００円／時間
（サービス提供時間前後の
利用にかかる
合計時間が６０分以上で発生）</v>
      </c>
      <c r="E29" s="1514"/>
      <c r="F29" s="1514"/>
      <c r="G29" s="1514"/>
      <c r="H29" s="1514"/>
      <c r="I29" s="1514"/>
      <c r="J29" s="1557"/>
      <c r="K29" s="1519" t="str">
        <f>DBCS("保険外通所介護サービス提供時間（"&amp;【マスター】!I12&amp;【マスター】!J12&amp;【マスター】!K12&amp;"）前後の時間帯、及び、通所介護契約書に基づく通所介護サービス提供時間（"&amp;【マスター】!I12&amp;【マスター】!J12&amp;【マスター】!K12&amp;"）前後の時間帯にサービスを提供させていただきます。")</f>
        <v>保険外通所介護サービス提供時間（９：３０～１６：４０）前後の時間帯、及び、通所介護契約書に基づく通所介護サービス提供時間（９：３０～１６：４０）前後の時間帯にサービスを提供させていただきます。</v>
      </c>
      <c r="L29" s="1520"/>
      <c r="M29" s="1520"/>
      <c r="N29" s="1520"/>
      <c r="O29" s="1520"/>
      <c r="P29" s="1520"/>
      <c r="Q29" s="1520"/>
      <c r="R29" s="1520"/>
      <c r="S29" s="1520"/>
      <c r="T29" s="1521"/>
      <c r="V29" s="497" t="s">
        <v>912</v>
      </c>
    </row>
    <row r="30" spans="1:24" s="497" customFormat="1" ht="15" customHeight="1">
      <c r="A30" s="1544"/>
      <c r="B30" s="1529"/>
      <c r="C30" s="1545"/>
      <c r="D30" s="1515"/>
      <c r="E30" s="1516"/>
      <c r="F30" s="1516"/>
      <c r="G30" s="1516"/>
      <c r="H30" s="1516"/>
      <c r="I30" s="1516"/>
      <c r="J30" s="1558"/>
      <c r="K30" s="1522"/>
      <c r="L30" s="1523"/>
      <c r="M30" s="1523"/>
      <c r="N30" s="1523"/>
      <c r="O30" s="1523"/>
      <c r="P30" s="1523"/>
      <c r="Q30" s="1523"/>
      <c r="R30" s="1523"/>
      <c r="S30" s="1523"/>
      <c r="T30" s="1524"/>
      <c r="V30" s="497" t="s">
        <v>913</v>
      </c>
    </row>
    <row r="31" spans="1:24" s="497" customFormat="1" ht="15" customHeight="1">
      <c r="A31" s="1544"/>
      <c r="B31" s="1529"/>
      <c r="C31" s="1545"/>
      <c r="D31" s="1515"/>
      <c r="E31" s="1516"/>
      <c r="F31" s="1516"/>
      <c r="G31" s="1516"/>
      <c r="H31" s="1516"/>
      <c r="I31" s="1516"/>
      <c r="J31" s="1558"/>
      <c r="K31" s="1522"/>
      <c r="L31" s="1523"/>
      <c r="M31" s="1523"/>
      <c r="N31" s="1523"/>
      <c r="O31" s="1523"/>
      <c r="P31" s="1523"/>
      <c r="Q31" s="1523"/>
      <c r="R31" s="1523"/>
      <c r="S31" s="1523"/>
      <c r="T31" s="1524"/>
      <c r="X31" s="946" t="s">
        <v>2072</v>
      </c>
    </row>
    <row r="32" spans="1:24" s="497" customFormat="1" ht="15" customHeight="1">
      <c r="A32" s="1544"/>
      <c r="B32" s="1529"/>
      <c r="C32" s="1545"/>
      <c r="D32" s="1515"/>
      <c r="E32" s="1516"/>
      <c r="F32" s="1516"/>
      <c r="G32" s="1516"/>
      <c r="H32" s="1516"/>
      <c r="I32" s="1516"/>
      <c r="J32" s="1558"/>
      <c r="K32" s="1522"/>
      <c r="L32" s="1523"/>
      <c r="M32" s="1523"/>
      <c r="N32" s="1523"/>
      <c r="O32" s="1523"/>
      <c r="P32" s="1523"/>
      <c r="Q32" s="1523"/>
      <c r="R32" s="1523"/>
      <c r="S32" s="1523"/>
      <c r="T32" s="1524"/>
    </row>
    <row r="33" spans="1:38" s="497" customFormat="1" ht="15" customHeight="1">
      <c r="A33" s="1546"/>
      <c r="B33" s="1547"/>
      <c r="C33" s="1548"/>
      <c r="D33" s="1517"/>
      <c r="E33" s="1518"/>
      <c r="F33" s="1518"/>
      <c r="G33" s="1518"/>
      <c r="H33" s="1518"/>
      <c r="I33" s="1518"/>
      <c r="J33" s="1559"/>
      <c r="K33" s="1525"/>
      <c r="L33" s="1526"/>
      <c r="M33" s="1526"/>
      <c r="N33" s="1526"/>
      <c r="O33" s="1526"/>
      <c r="P33" s="1526"/>
      <c r="Q33" s="1526"/>
      <c r="R33" s="1526"/>
      <c r="S33" s="1526"/>
      <c r="T33" s="1527"/>
    </row>
    <row r="34" spans="1:38" s="497" customFormat="1" ht="15" hidden="1" customHeight="1">
      <c r="A34" s="1541" t="s">
        <v>914</v>
      </c>
      <c r="B34" s="1542"/>
      <c r="C34" s="1543"/>
      <c r="D34" s="1513" t="str">
        <f>DBCS(【マスター】!J43&amp;"円／食")</f>
        <v>円／食</v>
      </c>
      <c r="E34" s="1514"/>
      <c r="F34" s="1514"/>
      <c r="G34" s="1514"/>
      <c r="H34" s="1514"/>
      <c r="I34" s="1514"/>
      <c r="J34" s="1557"/>
      <c r="K34" s="1519" t="s">
        <v>915</v>
      </c>
      <c r="L34" s="1520"/>
      <c r="M34" s="1520"/>
      <c r="N34" s="1520"/>
      <c r="O34" s="1520"/>
      <c r="P34" s="1520"/>
      <c r="Q34" s="1520"/>
      <c r="R34" s="1520"/>
      <c r="S34" s="1520"/>
      <c r="T34" s="1521"/>
      <c r="V34" s="497" t="s">
        <v>916</v>
      </c>
      <c r="W34" s="514"/>
    </row>
    <row r="35" spans="1:38" s="497" customFormat="1" ht="15" hidden="1" customHeight="1">
      <c r="A35" s="1544"/>
      <c r="B35" s="1529"/>
      <c r="C35" s="1545"/>
      <c r="D35" s="1515"/>
      <c r="E35" s="1516"/>
      <c r="F35" s="1516"/>
      <c r="G35" s="1516"/>
      <c r="H35" s="1516"/>
      <c r="I35" s="1516"/>
      <c r="J35" s="1558"/>
      <c r="K35" s="1522"/>
      <c r="L35" s="1523"/>
      <c r="M35" s="1523"/>
      <c r="N35" s="1523"/>
      <c r="O35" s="1523"/>
      <c r="P35" s="1523"/>
      <c r="Q35" s="1523"/>
      <c r="R35" s="1523"/>
      <c r="S35" s="1523"/>
      <c r="T35" s="1524"/>
      <c r="U35" s="803"/>
      <c r="W35" s="514"/>
      <c r="X35" s="946" t="s">
        <v>2072</v>
      </c>
    </row>
    <row r="36" spans="1:38" s="497" customFormat="1" ht="15" hidden="1" customHeight="1">
      <c r="A36" s="1546"/>
      <c r="B36" s="1547"/>
      <c r="C36" s="1548"/>
      <c r="D36" s="1517"/>
      <c r="E36" s="1518"/>
      <c r="F36" s="1518"/>
      <c r="G36" s="1518"/>
      <c r="H36" s="1518"/>
      <c r="I36" s="1518"/>
      <c r="J36" s="1559"/>
      <c r="K36" s="1525"/>
      <c r="L36" s="1526"/>
      <c r="M36" s="1526"/>
      <c r="N36" s="1526"/>
      <c r="O36" s="1526"/>
      <c r="P36" s="1526"/>
      <c r="Q36" s="1526"/>
      <c r="R36" s="1526"/>
      <c r="S36" s="1526"/>
      <c r="T36" s="1527"/>
      <c r="W36" s="514"/>
    </row>
    <row r="37" spans="1:38" s="497" customFormat="1" ht="15" customHeight="1">
      <c r="A37" s="1541" t="s">
        <v>917</v>
      </c>
      <c r="B37" s="1542"/>
      <c r="C37" s="1543"/>
      <c r="D37" s="1513" t="str">
        <f>DBCS(【マスター】!J45&amp;"円／食")</f>
        <v>６３０円／食</v>
      </c>
      <c r="E37" s="1514"/>
      <c r="F37" s="1514"/>
      <c r="G37" s="1514"/>
      <c r="H37" s="1514"/>
      <c r="I37" s="1514"/>
      <c r="J37" s="1557"/>
      <c r="K37" s="1520" t="s">
        <v>918</v>
      </c>
      <c r="L37" s="1520"/>
      <c r="M37" s="1520"/>
      <c r="N37" s="1520"/>
      <c r="O37" s="1520"/>
      <c r="P37" s="1520"/>
      <c r="Q37" s="1520"/>
      <c r="R37" s="1520"/>
      <c r="S37" s="1520"/>
      <c r="T37" s="1521"/>
      <c r="V37" s="497" t="s">
        <v>916</v>
      </c>
      <c r="W37" s="514"/>
    </row>
    <row r="38" spans="1:38" s="497" customFormat="1" ht="15" customHeight="1">
      <c r="A38" s="1551"/>
      <c r="B38" s="1529"/>
      <c r="C38" s="1545"/>
      <c r="D38" s="1515"/>
      <c r="E38" s="1516"/>
      <c r="F38" s="1516"/>
      <c r="G38" s="1516"/>
      <c r="H38" s="1516"/>
      <c r="I38" s="1516"/>
      <c r="J38" s="1558"/>
      <c r="K38" s="1523"/>
      <c r="L38" s="1523"/>
      <c r="M38" s="1523"/>
      <c r="N38" s="1523"/>
      <c r="O38" s="1523"/>
      <c r="P38" s="1523"/>
      <c r="Q38" s="1523"/>
      <c r="R38" s="1523"/>
      <c r="S38" s="1523"/>
      <c r="T38" s="1524"/>
      <c r="W38" s="514"/>
      <c r="X38" s="946" t="s">
        <v>2072</v>
      </c>
      <c r="Y38" s="803"/>
      <c r="Z38" s="803"/>
      <c r="AA38" s="803"/>
      <c r="AB38" s="803"/>
    </row>
    <row r="39" spans="1:38" s="497" customFormat="1" ht="15" customHeight="1">
      <c r="A39" s="1546"/>
      <c r="B39" s="1547"/>
      <c r="C39" s="1548"/>
      <c r="D39" s="1517"/>
      <c r="E39" s="1518"/>
      <c r="F39" s="1518"/>
      <c r="G39" s="1518"/>
      <c r="H39" s="1518"/>
      <c r="I39" s="1518"/>
      <c r="J39" s="1559"/>
      <c r="K39" s="1526"/>
      <c r="L39" s="1526"/>
      <c r="M39" s="1526"/>
      <c r="N39" s="1526"/>
      <c r="O39" s="1526"/>
      <c r="P39" s="1526"/>
      <c r="Q39" s="1526"/>
      <c r="R39" s="1526"/>
      <c r="S39" s="1526"/>
      <c r="T39" s="1527"/>
      <c r="Y39" s="803"/>
      <c r="Z39" s="803"/>
      <c r="AA39" s="803"/>
      <c r="AB39" s="803"/>
      <c r="AL39" s="5"/>
    </row>
    <row r="40" spans="1:38" s="497" customFormat="1" ht="15" customHeight="1">
      <c r="A40" s="1541" t="s">
        <v>919</v>
      </c>
      <c r="B40" s="1542"/>
      <c r="C40" s="1543"/>
      <c r="D40" s="819"/>
      <c r="E40" s="825" t="s">
        <v>265</v>
      </c>
      <c r="F40" s="826"/>
      <c r="G40" s="827"/>
      <c r="H40" s="826"/>
      <c r="I40" s="826"/>
      <c r="J40" s="826"/>
      <c r="K40" s="1560" t="str">
        <f>DBCS(IF(【マスター】!C71="有","通所介護契約書に基づく通所介護サービス利用時（"&amp;【マスター】!I12&amp;【マスター】!J12&amp;"延長加算算定時間終了）前後の時間帯に事業所のおむつを使用した場合に算定されます。","通所介護契約書に基づく通所介護サービス利用時（"&amp;【マスター】!I12&amp;【マスター】!J12&amp;【マスター】!K12&amp;"）前後の時間帯に事業所のおむつを使用した場合に算定されます。"))</f>
        <v>通所介護契約書に基づく通所介護サービス利用時（９：３０～延長加算算定時間終了）前後の時間帯に事業所のおむつを使用した場合に算定されます。</v>
      </c>
      <c r="L40" s="1560"/>
      <c r="M40" s="1560"/>
      <c r="N40" s="1560"/>
      <c r="O40" s="1560"/>
      <c r="P40" s="1560"/>
      <c r="Q40" s="1560"/>
      <c r="R40" s="1560"/>
      <c r="S40" s="1560"/>
      <c r="T40" s="1560"/>
      <c r="V40" s="497" t="s">
        <v>913</v>
      </c>
    </row>
    <row r="41" spans="1:38" s="497" customFormat="1" ht="15" customHeight="1">
      <c r="A41" s="1544"/>
      <c r="B41" s="1529"/>
      <c r="C41" s="1545"/>
      <c r="D41" s="821"/>
      <c r="E41" s="828" t="s">
        <v>920</v>
      </c>
      <c r="G41" s="803"/>
      <c r="K41" s="1560"/>
      <c r="L41" s="1560"/>
      <c r="M41" s="1560"/>
      <c r="N41" s="1560"/>
      <c r="O41" s="1560"/>
      <c r="P41" s="1560"/>
      <c r="Q41" s="1560"/>
      <c r="R41" s="1560"/>
      <c r="S41" s="1560"/>
      <c r="T41" s="1560"/>
      <c r="X41" s="514"/>
    </row>
    <row r="42" spans="1:38" s="497" customFormat="1" ht="15" customHeight="1">
      <c r="A42" s="1544"/>
      <c r="B42" s="1529"/>
      <c r="C42" s="1545"/>
      <c r="D42" s="821"/>
      <c r="E42" s="828"/>
      <c r="G42" s="1555" t="str">
        <f>DBCS(【マスター】!J46&amp;"円／枚")</f>
        <v>１００円／枚</v>
      </c>
      <c r="H42" s="1555"/>
      <c r="I42" s="1555"/>
      <c r="J42" s="1555"/>
      <c r="K42" s="1560"/>
      <c r="L42" s="1560"/>
      <c r="M42" s="1560"/>
      <c r="N42" s="1560"/>
      <c r="O42" s="1560"/>
      <c r="P42" s="1560"/>
      <c r="Q42" s="1560"/>
      <c r="R42" s="1560"/>
      <c r="S42" s="1560"/>
      <c r="T42" s="1560"/>
      <c r="X42" s="946" t="s">
        <v>2072</v>
      </c>
    </row>
    <row r="43" spans="1:38" s="497" customFormat="1" ht="15" customHeight="1">
      <c r="A43" s="1544"/>
      <c r="B43" s="1529"/>
      <c r="C43" s="1545"/>
      <c r="D43" s="821"/>
      <c r="E43" s="828"/>
      <c r="G43" s="1555"/>
      <c r="H43" s="1555"/>
      <c r="I43" s="1555"/>
      <c r="J43" s="1555"/>
      <c r="K43" s="1560"/>
      <c r="L43" s="1560"/>
      <c r="M43" s="1560"/>
      <c r="N43" s="1560"/>
      <c r="O43" s="1560"/>
      <c r="P43" s="1560"/>
      <c r="Q43" s="1560"/>
      <c r="R43" s="1560"/>
      <c r="S43" s="1560"/>
      <c r="T43" s="1560"/>
    </row>
    <row r="44" spans="1:38" s="497" customFormat="1" ht="15" customHeight="1">
      <c r="A44" s="1544"/>
      <c r="B44" s="1529"/>
      <c r="C44" s="1545"/>
      <c r="D44" s="821"/>
      <c r="E44" s="828" t="s">
        <v>921</v>
      </c>
      <c r="G44" s="803"/>
      <c r="I44" s="499"/>
      <c r="J44" s="499"/>
      <c r="K44" s="1560"/>
      <c r="L44" s="1560"/>
      <c r="M44" s="1560"/>
      <c r="N44" s="1560"/>
      <c r="O44" s="1560"/>
      <c r="P44" s="1560"/>
      <c r="Q44" s="1560"/>
      <c r="R44" s="1560"/>
      <c r="S44" s="1560"/>
      <c r="T44" s="1560"/>
    </row>
    <row r="45" spans="1:38" s="497" customFormat="1" ht="15" customHeight="1">
      <c r="A45" s="1544"/>
      <c r="B45" s="1529"/>
      <c r="C45" s="1545"/>
      <c r="D45" s="821"/>
      <c r="E45" s="829"/>
      <c r="F45" s="803"/>
      <c r="G45" s="1555" t="str">
        <f>DBCS(【マスター】!J47&amp;"円／枚")</f>
        <v>５０円／枚</v>
      </c>
      <c r="H45" s="1555"/>
      <c r="I45" s="1555"/>
      <c r="J45" s="1555"/>
      <c r="K45" s="1560"/>
      <c r="L45" s="1560"/>
      <c r="M45" s="1560"/>
      <c r="N45" s="1560"/>
      <c r="O45" s="1560"/>
      <c r="P45" s="1560"/>
      <c r="Q45" s="1560"/>
      <c r="R45" s="1560"/>
      <c r="S45" s="1560"/>
      <c r="T45" s="1560"/>
      <c r="X45" s="946" t="s">
        <v>2072</v>
      </c>
    </row>
    <row r="46" spans="1:38" s="497" customFormat="1" ht="15" customHeight="1">
      <c r="A46" s="1546"/>
      <c r="B46" s="1547"/>
      <c r="C46" s="1548"/>
      <c r="D46" s="823"/>
      <c r="E46" s="830"/>
      <c r="F46" s="831"/>
      <c r="G46" s="1556"/>
      <c r="H46" s="1556"/>
      <c r="I46" s="1556"/>
      <c r="J46" s="1556"/>
      <c r="K46" s="1560"/>
      <c r="L46" s="1560"/>
      <c r="M46" s="1560"/>
      <c r="N46" s="1560"/>
      <c r="O46" s="1560"/>
      <c r="P46" s="1560"/>
      <c r="Q46" s="1560"/>
      <c r="R46" s="1560"/>
      <c r="S46" s="1560"/>
      <c r="T46" s="1560"/>
    </row>
    <row r="47" spans="1:38" s="497" customFormat="1" ht="15" hidden="1" customHeight="1">
      <c r="A47" s="1541" t="s">
        <v>922</v>
      </c>
      <c r="B47" s="1542"/>
      <c r="C47" s="1543"/>
      <c r="D47" s="1513" t="str">
        <f>DBCS(TEXT(【マスター】!J41,"＃＃＃＃、＃＃０")&amp;"円／回")</f>
        <v>０円／回</v>
      </c>
      <c r="E47" s="1514"/>
      <c r="F47" s="1514"/>
      <c r="G47" s="1514"/>
      <c r="H47" s="1514"/>
      <c r="I47" s="1514"/>
      <c r="J47" s="1557"/>
      <c r="K47" s="1560" t="str">
        <f>DBCS("お泊まりを利用される方の"&amp;【マスター】!I13&amp;【マスター】!J13&amp;【マスター】!K13&amp;"までの夜間介護サービスを提供させていただきます。また原則、日中の通所介護サービスを利用した方のみ夜間サポートサービスは利用可能です。")</f>
        <v>お泊まりを利用される方の～までの夜間介護サービスを提供させていただきます。また原則、日中の通所介護サービスを利用した方のみ夜間サポートサービスは利用可能です。</v>
      </c>
      <c r="L47" s="1560"/>
      <c r="M47" s="1560"/>
      <c r="N47" s="1560"/>
      <c r="O47" s="1560"/>
      <c r="P47" s="1560"/>
      <c r="Q47" s="1560"/>
      <c r="R47" s="1560"/>
      <c r="S47" s="1560"/>
      <c r="T47" s="1560"/>
      <c r="V47" s="497" t="s">
        <v>923</v>
      </c>
      <c r="X47" s="811"/>
    </row>
    <row r="48" spans="1:38" s="497" customFormat="1" ht="15" hidden="1" customHeight="1">
      <c r="A48" s="1544"/>
      <c r="B48" s="1529"/>
      <c r="C48" s="1545"/>
      <c r="D48" s="1515"/>
      <c r="E48" s="1516"/>
      <c r="F48" s="1516"/>
      <c r="G48" s="1516"/>
      <c r="H48" s="1516"/>
      <c r="I48" s="1516"/>
      <c r="J48" s="1558"/>
      <c r="K48" s="1560"/>
      <c r="L48" s="1560"/>
      <c r="M48" s="1560"/>
      <c r="N48" s="1560"/>
      <c r="O48" s="1560"/>
      <c r="P48" s="1560"/>
      <c r="Q48" s="1560"/>
      <c r="R48" s="1560"/>
      <c r="S48" s="1560"/>
      <c r="T48" s="1560"/>
      <c r="V48" s="497" t="s">
        <v>924</v>
      </c>
    </row>
    <row r="49" spans="1:24" s="497" customFormat="1" ht="15" hidden="1" customHeight="1">
      <c r="A49" s="1544"/>
      <c r="B49" s="1529"/>
      <c r="C49" s="1545"/>
      <c r="D49" s="1515"/>
      <c r="E49" s="1516"/>
      <c r="F49" s="1516"/>
      <c r="G49" s="1516"/>
      <c r="H49" s="1516"/>
      <c r="I49" s="1516"/>
      <c r="J49" s="1558"/>
      <c r="K49" s="1560"/>
      <c r="L49" s="1560"/>
      <c r="M49" s="1560"/>
      <c r="N49" s="1560"/>
      <c r="O49" s="1560"/>
      <c r="P49" s="1560"/>
      <c r="Q49" s="1560"/>
      <c r="R49" s="1560"/>
      <c r="S49" s="1560"/>
      <c r="T49" s="1560"/>
      <c r="X49" s="946" t="s">
        <v>2072</v>
      </c>
    </row>
    <row r="50" spans="1:24" s="497" customFormat="1" ht="15" hidden="1" customHeight="1">
      <c r="A50" s="1544"/>
      <c r="B50" s="1529"/>
      <c r="C50" s="1545"/>
      <c r="D50" s="1515"/>
      <c r="E50" s="1516"/>
      <c r="F50" s="1516"/>
      <c r="G50" s="1516"/>
      <c r="H50" s="1516"/>
      <c r="I50" s="1516"/>
      <c r="J50" s="1558"/>
      <c r="K50" s="1560"/>
      <c r="L50" s="1560"/>
      <c r="M50" s="1560"/>
      <c r="N50" s="1560"/>
      <c r="O50" s="1560"/>
      <c r="P50" s="1560"/>
      <c r="Q50" s="1560"/>
      <c r="R50" s="1560"/>
      <c r="S50" s="1560"/>
      <c r="T50" s="1560"/>
    </row>
    <row r="51" spans="1:24" s="497" customFormat="1" ht="15" hidden="1" customHeight="1">
      <c r="A51" s="1544"/>
      <c r="B51" s="1529"/>
      <c r="C51" s="1545"/>
      <c r="D51" s="1517"/>
      <c r="E51" s="1518"/>
      <c r="F51" s="1518"/>
      <c r="G51" s="1518"/>
      <c r="H51" s="1518"/>
      <c r="I51" s="1518"/>
      <c r="J51" s="1559"/>
      <c r="K51" s="1560"/>
      <c r="L51" s="1560"/>
      <c r="M51" s="1560"/>
      <c r="N51" s="1560"/>
      <c r="O51" s="1560"/>
      <c r="P51" s="1560"/>
      <c r="Q51" s="1560"/>
      <c r="R51" s="1560"/>
      <c r="S51" s="1560"/>
      <c r="T51" s="1560"/>
    </row>
    <row r="52" spans="1:24" s="497" customFormat="1" ht="15" customHeight="1">
      <c r="A52" s="1541" t="s">
        <v>925</v>
      </c>
      <c r="B52" s="1542"/>
      <c r="C52" s="1543"/>
      <c r="D52" s="1513" t="str">
        <f>DBCS(TEXT(【マスター】!J48,"＃＃＃＃、＃＃０")&amp;"円／時間")</f>
        <v>２，０００円／時間</v>
      </c>
      <c r="E52" s="1514"/>
      <c r="F52" s="1514"/>
      <c r="G52" s="1514"/>
      <c r="H52" s="1514"/>
      <c r="I52" s="1514"/>
      <c r="J52" s="1514"/>
      <c r="K52" s="1519" t="s">
        <v>926</v>
      </c>
      <c r="L52" s="1520"/>
      <c r="M52" s="1520"/>
      <c r="N52" s="1520"/>
      <c r="O52" s="1520"/>
      <c r="P52" s="1520"/>
      <c r="Q52" s="1520"/>
      <c r="R52" s="1520"/>
      <c r="S52" s="1520"/>
      <c r="T52" s="1521"/>
      <c r="V52" s="497" t="s">
        <v>923</v>
      </c>
    </row>
    <row r="53" spans="1:24" s="497" customFormat="1" ht="15" customHeight="1">
      <c r="A53" s="1544"/>
      <c r="B53" s="1529"/>
      <c r="C53" s="1545"/>
      <c r="D53" s="1515"/>
      <c r="E53" s="1516"/>
      <c r="F53" s="1516"/>
      <c r="G53" s="1516"/>
      <c r="H53" s="1516"/>
      <c r="I53" s="1516"/>
      <c r="J53" s="1516"/>
      <c r="K53" s="1522"/>
      <c r="L53" s="1523"/>
      <c r="M53" s="1523"/>
      <c r="N53" s="1523"/>
      <c r="O53" s="1523"/>
      <c r="P53" s="1523"/>
      <c r="Q53" s="1523"/>
      <c r="R53" s="1523"/>
      <c r="S53" s="1523"/>
      <c r="T53" s="1524"/>
    </row>
    <row r="54" spans="1:24" s="497" customFormat="1" ht="15" customHeight="1">
      <c r="A54" s="1544"/>
      <c r="B54" s="1529"/>
      <c r="C54" s="1545"/>
      <c r="D54" s="1515"/>
      <c r="E54" s="1516"/>
      <c r="F54" s="1516"/>
      <c r="G54" s="1516"/>
      <c r="H54" s="1516"/>
      <c r="I54" s="1516"/>
      <c r="J54" s="1516"/>
      <c r="K54" s="1522"/>
      <c r="L54" s="1523"/>
      <c r="M54" s="1523"/>
      <c r="N54" s="1523"/>
      <c r="O54" s="1523"/>
      <c r="P54" s="1523"/>
      <c r="Q54" s="1523"/>
      <c r="R54" s="1523"/>
      <c r="S54" s="1523"/>
      <c r="T54" s="1524"/>
      <c r="X54" s="946" t="s">
        <v>2072</v>
      </c>
    </row>
    <row r="55" spans="1:24" s="497" customFormat="1" ht="15" customHeight="1">
      <c r="A55" s="1544"/>
      <c r="B55" s="1529"/>
      <c r="C55" s="1545"/>
      <c r="D55" s="1515"/>
      <c r="E55" s="1516"/>
      <c r="F55" s="1516"/>
      <c r="G55" s="1516"/>
      <c r="H55" s="1516"/>
      <c r="I55" s="1516"/>
      <c r="J55" s="1516"/>
      <c r="K55" s="1522"/>
      <c r="L55" s="1523"/>
      <c r="M55" s="1523"/>
      <c r="N55" s="1523"/>
      <c r="O55" s="1523"/>
      <c r="P55" s="1523"/>
      <c r="Q55" s="1523"/>
      <c r="R55" s="1523"/>
      <c r="S55" s="1523"/>
      <c r="T55" s="1524"/>
    </row>
    <row r="56" spans="1:24" s="497" customFormat="1" ht="15" customHeight="1">
      <c r="A56" s="1546"/>
      <c r="B56" s="1547"/>
      <c r="C56" s="1548"/>
      <c r="D56" s="1517"/>
      <c r="E56" s="1518"/>
      <c r="F56" s="1518"/>
      <c r="G56" s="1518"/>
      <c r="H56" s="1518"/>
      <c r="I56" s="1518"/>
      <c r="J56" s="1518"/>
      <c r="K56" s="1525"/>
      <c r="L56" s="1526"/>
      <c r="M56" s="1526"/>
      <c r="N56" s="1526"/>
      <c r="O56" s="1526"/>
      <c r="P56" s="1526"/>
      <c r="Q56" s="1526"/>
      <c r="R56" s="1526"/>
      <c r="S56" s="1526"/>
      <c r="T56" s="1527"/>
    </row>
    <row r="57" spans="1:24" s="497" customFormat="1" ht="15" customHeight="1">
      <c r="A57" s="497" t="s">
        <v>372</v>
      </c>
      <c r="B57" s="496"/>
      <c r="C57" s="832"/>
      <c r="D57" s="832"/>
      <c r="E57" s="832"/>
      <c r="F57" s="832"/>
      <c r="G57" s="832"/>
      <c r="H57" s="832"/>
      <c r="I57" s="832"/>
      <c r="J57" s="832"/>
      <c r="K57" s="832"/>
      <c r="L57" s="832"/>
      <c r="M57" s="832"/>
      <c r="N57" s="832"/>
      <c r="O57" s="832"/>
      <c r="P57" s="832"/>
      <c r="Q57" s="832"/>
      <c r="R57" s="832"/>
      <c r="S57" s="832"/>
      <c r="T57" s="832"/>
    </row>
    <row r="58" spans="1:24" s="497" customFormat="1" ht="15" customHeight="1">
      <c r="B58" s="496" t="s">
        <v>373</v>
      </c>
      <c r="C58" s="496"/>
    </row>
    <row r="59" spans="1:24" s="497" customFormat="1" ht="15" customHeight="1">
      <c r="B59" s="496"/>
      <c r="C59" s="496"/>
      <c r="E59" s="1531" t="str">
        <f>【マスター】!C83</f>
        <v>口座振替・振込・現金支払</v>
      </c>
      <c r="F59" s="1531"/>
      <c r="G59" s="1531"/>
      <c r="H59" s="1531"/>
      <c r="I59" s="1531"/>
      <c r="J59" s="1531"/>
      <c r="K59" s="1531"/>
      <c r="L59" s="1531"/>
      <c r="M59" s="1531"/>
      <c r="N59" s="1531"/>
      <c r="O59" s="1531"/>
    </row>
    <row r="60" spans="1:24" s="497" customFormat="1" ht="15" customHeight="1">
      <c r="B60" s="496"/>
      <c r="C60" s="832"/>
      <c r="D60" s="832"/>
      <c r="E60" s="832"/>
      <c r="F60" s="832"/>
      <c r="G60" s="832"/>
      <c r="H60" s="832"/>
      <c r="I60" s="832"/>
      <c r="J60" s="832"/>
      <c r="K60" s="832"/>
      <c r="L60" s="832"/>
      <c r="M60" s="832"/>
      <c r="N60" s="832"/>
      <c r="O60" s="496" t="s">
        <v>374</v>
      </c>
      <c r="P60" s="832"/>
      <c r="Q60" s="832"/>
      <c r="R60" s="832"/>
      <c r="S60" s="832"/>
      <c r="T60" s="832"/>
    </row>
    <row r="61" spans="1:24" s="497" customFormat="1" ht="15" customHeight="1">
      <c r="B61" s="496" t="s">
        <v>375</v>
      </c>
      <c r="C61" s="832"/>
      <c r="D61" s="832"/>
      <c r="E61" s="832"/>
      <c r="F61" s="832"/>
      <c r="G61" s="832"/>
      <c r="H61" s="832"/>
      <c r="I61" s="832"/>
      <c r="J61" s="832"/>
      <c r="K61" s="832"/>
      <c r="L61" s="832"/>
      <c r="M61" s="832"/>
      <c r="N61" s="832"/>
      <c r="O61" s="832"/>
      <c r="P61" s="832"/>
      <c r="Q61" s="832"/>
      <c r="R61" s="832"/>
      <c r="S61" s="832"/>
      <c r="T61" s="832"/>
    </row>
    <row r="62" spans="1:24" s="497" customFormat="1" ht="15" customHeight="1">
      <c r="B62" s="496"/>
      <c r="C62" s="832"/>
      <c r="D62" s="832"/>
      <c r="E62" s="832"/>
      <c r="F62" s="832"/>
      <c r="G62" s="832"/>
      <c r="H62" s="832"/>
      <c r="I62" s="832"/>
      <c r="J62" s="832"/>
      <c r="K62" s="832"/>
      <c r="L62" s="832"/>
      <c r="M62" s="832"/>
      <c r="N62" s="832"/>
      <c r="O62" s="832"/>
      <c r="P62" s="832"/>
      <c r="Q62" s="832"/>
      <c r="R62" s="832"/>
      <c r="S62" s="832"/>
      <c r="T62" s="832"/>
    </row>
    <row r="63" spans="1:24" s="497" customFormat="1" ht="15" customHeight="1">
      <c r="A63" s="497" t="s">
        <v>927</v>
      </c>
      <c r="B63" s="496"/>
      <c r="C63" s="832"/>
      <c r="D63" s="832"/>
      <c r="E63" s="832"/>
      <c r="F63" s="832"/>
      <c r="G63" s="832"/>
      <c r="H63" s="832"/>
      <c r="I63" s="832"/>
      <c r="J63" s="832"/>
      <c r="K63" s="832"/>
      <c r="L63" s="832"/>
      <c r="M63" s="832"/>
      <c r="N63" s="832"/>
      <c r="O63" s="832"/>
      <c r="P63" s="832"/>
      <c r="Q63" s="832"/>
      <c r="R63" s="832"/>
      <c r="S63" s="832"/>
      <c r="T63" s="832"/>
    </row>
    <row r="64" spans="1:24" s="497" customFormat="1" ht="15" customHeight="1">
      <c r="A64" s="1532"/>
      <c r="B64" s="1520" t="s">
        <v>928</v>
      </c>
      <c r="C64" s="1520"/>
      <c r="D64" s="1520"/>
      <c r="E64" s="1521"/>
      <c r="F64" s="1535" t="s">
        <v>409</v>
      </c>
      <c r="G64" s="1535"/>
      <c r="H64" s="1535"/>
      <c r="I64" s="1535"/>
      <c r="J64" s="1535"/>
      <c r="K64" s="1536" t="str">
        <f>【マスター】!C20</f>
        <v>繁原　秀章</v>
      </c>
      <c r="L64" s="1536"/>
      <c r="M64" s="1536"/>
      <c r="N64" s="1536"/>
      <c r="O64" s="1536"/>
      <c r="P64" s="1536"/>
      <c r="Q64" s="1536"/>
      <c r="R64" s="1536"/>
      <c r="S64" s="1536"/>
      <c r="T64" s="1536"/>
    </row>
    <row r="65" spans="1:21" s="497" customFormat="1" ht="15" customHeight="1">
      <c r="A65" s="1533"/>
      <c r="B65" s="1523"/>
      <c r="C65" s="1523"/>
      <c r="D65" s="1523"/>
      <c r="E65" s="1524"/>
      <c r="F65" s="1537" t="s">
        <v>410</v>
      </c>
      <c r="G65" s="1537"/>
      <c r="H65" s="1537"/>
      <c r="I65" s="1537"/>
      <c r="J65" s="1537"/>
      <c r="K65" s="1538" t="str">
        <f>DBCS(【マスター】!I12&amp;【マスター】!J12&amp;【マスター】!K12)</f>
        <v>９：３０～１６：４０</v>
      </c>
      <c r="L65" s="1538"/>
      <c r="M65" s="1538"/>
      <c r="N65" s="1538"/>
      <c r="O65" s="1538"/>
      <c r="P65" s="1538"/>
      <c r="Q65" s="1538"/>
      <c r="R65" s="1538"/>
      <c r="S65" s="1538"/>
      <c r="T65" s="1538"/>
    </row>
    <row r="66" spans="1:21" s="497" customFormat="1" ht="15" customHeight="1">
      <c r="A66" s="1533"/>
      <c r="B66" s="1523"/>
      <c r="C66" s="1523"/>
      <c r="D66" s="1523"/>
      <c r="E66" s="1524"/>
      <c r="F66" s="1549" t="s">
        <v>411</v>
      </c>
      <c r="G66" s="1550"/>
      <c r="H66" s="1550"/>
      <c r="I66" s="1539" t="s">
        <v>269</v>
      </c>
      <c r="J66" s="1540"/>
      <c r="K66" s="1538" t="str">
        <f>DBCS(【マスター】!C9)</f>
        <v>０５３３－５６－７０８７</v>
      </c>
      <c r="L66" s="1538"/>
      <c r="M66" s="1538"/>
      <c r="N66" s="1538"/>
      <c r="O66" s="1538"/>
      <c r="P66" s="1538"/>
      <c r="Q66" s="1538"/>
      <c r="R66" s="1538"/>
      <c r="S66" s="1538"/>
      <c r="T66" s="1538"/>
    </row>
    <row r="67" spans="1:21" s="497" customFormat="1" ht="15" customHeight="1">
      <c r="A67" s="1533"/>
      <c r="B67" s="1523"/>
      <c r="C67" s="1523"/>
      <c r="D67" s="1523"/>
      <c r="E67" s="1524"/>
      <c r="F67" s="1551"/>
      <c r="G67" s="1529"/>
      <c r="H67" s="1529"/>
      <c r="I67" s="1539" t="s">
        <v>412</v>
      </c>
      <c r="J67" s="1540"/>
      <c r="K67" s="1538" t="s">
        <v>413</v>
      </c>
      <c r="L67" s="1538"/>
      <c r="M67" s="1538"/>
      <c r="N67" s="1538"/>
      <c r="O67" s="1538"/>
      <c r="P67" s="1538"/>
      <c r="Q67" s="1538"/>
      <c r="R67" s="1538"/>
      <c r="S67" s="1538"/>
      <c r="T67" s="1538"/>
    </row>
    <row r="68" spans="1:21" s="497" customFormat="1" ht="15" customHeight="1">
      <c r="A68" s="1534"/>
      <c r="B68" s="1526"/>
      <c r="C68" s="1526"/>
      <c r="D68" s="1526"/>
      <c r="E68" s="1527"/>
      <c r="F68" s="1546"/>
      <c r="G68" s="1547"/>
      <c r="H68" s="1547"/>
      <c r="I68" s="1552" t="s">
        <v>414</v>
      </c>
      <c r="J68" s="1553"/>
      <c r="K68" s="1554" t="str">
        <f>"（"&amp;【マスター】!C81&amp;"に設置）"</f>
        <v>（玄関に設置）</v>
      </c>
      <c r="L68" s="1554"/>
      <c r="M68" s="1554"/>
      <c r="N68" s="1554"/>
      <c r="O68" s="1554"/>
      <c r="P68" s="1554"/>
      <c r="Q68" s="1554"/>
      <c r="R68" s="1554"/>
      <c r="S68" s="1554"/>
      <c r="T68" s="1554"/>
      <c r="U68" s="497" t="s">
        <v>929</v>
      </c>
    </row>
    <row r="69" spans="1:21" s="497" customFormat="1" ht="15" customHeight="1">
      <c r="A69" s="812"/>
      <c r="B69" s="855"/>
      <c r="C69" s="855"/>
      <c r="D69" s="855"/>
      <c r="E69" s="855"/>
      <c r="F69" s="833"/>
      <c r="G69" s="833"/>
      <c r="H69" s="833"/>
      <c r="I69" s="834"/>
      <c r="J69" s="834"/>
      <c r="K69" s="835"/>
      <c r="L69" s="835"/>
      <c r="M69" s="835"/>
      <c r="N69" s="835"/>
      <c r="O69" s="835"/>
      <c r="P69" s="835"/>
      <c r="Q69" s="835"/>
      <c r="R69" s="835"/>
      <c r="S69" s="835"/>
      <c r="T69" s="835"/>
    </row>
    <row r="70" spans="1:21" s="497" customFormat="1" ht="15" customHeight="1">
      <c r="A70" s="497" t="s">
        <v>930</v>
      </c>
      <c r="B70" s="496"/>
      <c r="C70" s="496"/>
    </row>
    <row r="71" spans="1:21" s="497" customFormat="1" ht="60" customHeight="1">
      <c r="A71" s="1505" t="s">
        <v>931</v>
      </c>
      <c r="B71" s="1505"/>
      <c r="C71" s="1505"/>
      <c r="D71" s="1505"/>
      <c r="E71" s="1505"/>
      <c r="F71" s="1505"/>
      <c r="G71" s="1505"/>
      <c r="H71" s="1505"/>
      <c r="I71" s="1505"/>
      <c r="J71" s="1505"/>
      <c r="K71" s="1505"/>
      <c r="L71" s="1505"/>
      <c r="M71" s="1505"/>
      <c r="N71" s="1505"/>
      <c r="O71" s="1505"/>
      <c r="P71" s="1505"/>
      <c r="Q71" s="1505"/>
      <c r="R71" s="1505"/>
      <c r="S71" s="1505"/>
      <c r="T71" s="1505"/>
    </row>
    <row r="72" spans="1:21" s="497" customFormat="1" ht="45" customHeight="1">
      <c r="A72" s="1505" t="s">
        <v>423</v>
      </c>
      <c r="B72" s="1505"/>
      <c r="C72" s="1505"/>
      <c r="D72" s="1505"/>
      <c r="E72" s="1505"/>
      <c r="F72" s="1505"/>
      <c r="G72" s="1505"/>
      <c r="H72" s="1505"/>
      <c r="I72" s="1505"/>
      <c r="J72" s="1505"/>
      <c r="K72" s="1505"/>
      <c r="L72" s="1505"/>
      <c r="M72" s="1505"/>
      <c r="N72" s="1505"/>
      <c r="O72" s="1505"/>
      <c r="P72" s="1505"/>
      <c r="Q72" s="1505"/>
      <c r="R72" s="1505"/>
      <c r="S72" s="1505"/>
      <c r="T72" s="1505"/>
    </row>
    <row r="73" spans="1:21" s="497" customFormat="1" ht="15" customHeight="1">
      <c r="B73" s="1529" t="s">
        <v>424</v>
      </c>
      <c r="C73" s="1529"/>
      <c r="D73" s="1529"/>
      <c r="E73" s="1529"/>
      <c r="F73" s="1529"/>
      <c r="G73" s="1529"/>
      <c r="H73" s="1529"/>
      <c r="I73" s="1530" t="str">
        <f>IF(【マスター】!C104="","",【マスター】!C104)</f>
        <v>AIG損害保険</v>
      </c>
      <c r="J73" s="1530"/>
      <c r="K73" s="1530"/>
      <c r="L73" s="1530"/>
      <c r="M73" s="1530"/>
      <c r="N73" s="1530"/>
      <c r="O73" s="1530"/>
      <c r="P73" s="1530"/>
      <c r="Q73" s="1530"/>
      <c r="R73" s="1530"/>
      <c r="S73" s="1530"/>
      <c r="T73" s="1530"/>
    </row>
    <row r="74" spans="1:21" s="497" customFormat="1" ht="15" customHeight="1">
      <c r="B74" s="1529" t="s">
        <v>425</v>
      </c>
      <c r="C74" s="1529"/>
      <c r="D74" s="1529"/>
      <c r="E74" s="1529"/>
      <c r="F74" s="1529"/>
      <c r="G74" s="1529"/>
      <c r="H74" s="1529"/>
      <c r="I74" s="1530" t="str">
        <f>IF(【マスター】!C105="","",【マスター】!C105)</f>
        <v>介護保険・社規福祉事業者総合保険</v>
      </c>
      <c r="J74" s="1530"/>
      <c r="K74" s="1530"/>
      <c r="L74" s="1530"/>
      <c r="M74" s="1530"/>
      <c r="N74" s="1530"/>
      <c r="O74" s="1530"/>
      <c r="P74" s="1530"/>
      <c r="Q74" s="1530"/>
      <c r="R74" s="1530"/>
      <c r="S74" s="1530"/>
      <c r="T74" s="1530"/>
    </row>
    <row r="75" spans="1:21" s="497" customFormat="1" ht="15" customHeight="1">
      <c r="B75" s="496"/>
      <c r="C75" s="496"/>
    </row>
    <row r="76" spans="1:21" s="497" customFormat="1" ht="15" customHeight="1">
      <c r="A76" s="497" t="s">
        <v>932</v>
      </c>
      <c r="B76" s="496"/>
      <c r="C76" s="496"/>
    </row>
    <row r="77" spans="1:21" s="497" customFormat="1" ht="45" customHeight="1">
      <c r="A77" s="1505" t="s">
        <v>933</v>
      </c>
      <c r="B77" s="1505"/>
      <c r="C77" s="1505"/>
      <c r="D77" s="1505"/>
      <c r="E77" s="1505"/>
      <c r="F77" s="1505"/>
      <c r="G77" s="1505"/>
      <c r="H77" s="1505"/>
      <c r="I77" s="1505"/>
      <c r="J77" s="1505"/>
      <c r="K77" s="1505"/>
      <c r="L77" s="1505"/>
      <c r="M77" s="1505"/>
      <c r="N77" s="1505"/>
      <c r="O77" s="1505"/>
      <c r="P77" s="1505"/>
      <c r="Q77" s="1505"/>
      <c r="R77" s="1505"/>
      <c r="S77" s="1505"/>
      <c r="T77" s="1505"/>
    </row>
    <row r="78" spans="1:21" s="497" customFormat="1" ht="15" customHeight="1">
      <c r="A78" s="836"/>
      <c r="B78" s="836"/>
      <c r="C78" s="836"/>
      <c r="D78" s="836"/>
      <c r="E78" s="836"/>
      <c r="F78" s="812"/>
      <c r="G78" s="834"/>
      <c r="H78" s="834"/>
      <c r="I78" s="834"/>
      <c r="J78" s="833"/>
      <c r="K78" s="836"/>
      <c r="L78" s="836"/>
      <c r="M78" s="836"/>
      <c r="N78" s="836"/>
      <c r="O78" s="836"/>
      <c r="P78" s="836"/>
      <c r="Q78" s="836"/>
      <c r="R78" s="836"/>
      <c r="S78" s="836"/>
      <c r="T78" s="836"/>
    </row>
    <row r="79" spans="1:21" s="497" customFormat="1" ht="15" customHeight="1">
      <c r="A79" s="497" t="s">
        <v>934</v>
      </c>
      <c r="B79" s="837"/>
      <c r="C79" s="837"/>
      <c r="D79" s="837"/>
      <c r="E79" s="837"/>
      <c r="F79" s="812"/>
      <c r="G79" s="833"/>
      <c r="H79" s="833"/>
      <c r="I79" s="833"/>
      <c r="J79" s="833"/>
      <c r="K79" s="812"/>
      <c r="L79" s="812"/>
      <c r="M79" s="812"/>
      <c r="N79" s="812"/>
      <c r="O79" s="812"/>
      <c r="P79" s="812"/>
      <c r="Q79" s="812"/>
      <c r="R79" s="812"/>
      <c r="S79" s="812"/>
      <c r="T79" s="812"/>
    </row>
    <row r="80" spans="1:21" s="497" customFormat="1" ht="15" customHeight="1">
      <c r="A80" s="1506" t="s">
        <v>429</v>
      </c>
      <c r="B80" s="1506"/>
      <c r="C80" s="1506"/>
      <c r="D80" s="1506"/>
      <c r="E80" s="1506"/>
      <c r="F80" s="1506"/>
      <c r="G80" s="1507" t="s">
        <v>430</v>
      </c>
      <c r="H80" s="1507"/>
      <c r="I80" s="1507"/>
      <c r="J80" s="1507"/>
      <c r="K80" s="1507"/>
      <c r="L80" s="1507"/>
      <c r="M80" s="1507"/>
      <c r="N80" s="1507"/>
      <c r="O80" s="1507"/>
      <c r="P80" s="1507"/>
      <c r="Q80" s="1507"/>
      <c r="R80" s="1507"/>
      <c r="S80" s="1507"/>
      <c r="T80" s="1508"/>
    </row>
    <row r="81" spans="1:23" s="497" customFormat="1" ht="15" customHeight="1">
      <c r="A81" s="1509" t="s">
        <v>431</v>
      </c>
      <c r="B81" s="1509"/>
      <c r="C81" s="1509"/>
      <c r="D81" s="1509"/>
      <c r="E81" s="1509"/>
      <c r="F81" s="1509"/>
      <c r="G81" s="1510" t="s">
        <v>432</v>
      </c>
      <c r="H81" s="1510"/>
      <c r="I81" s="1510"/>
      <c r="J81" s="1510"/>
      <c r="K81" s="1510"/>
      <c r="L81" s="1510"/>
      <c r="M81" s="1510"/>
      <c r="N81" s="1510"/>
      <c r="O81" s="1510"/>
      <c r="P81" s="1510"/>
      <c r="Q81" s="1510"/>
      <c r="R81" s="1510"/>
      <c r="S81" s="1510"/>
      <c r="T81" s="1511"/>
    </row>
    <row r="82" spans="1:23" s="497" customFormat="1" ht="15" customHeight="1">
      <c r="A82" s="1509"/>
      <c r="B82" s="1509"/>
      <c r="C82" s="1509"/>
      <c r="D82" s="1509"/>
      <c r="E82" s="1509"/>
      <c r="F82" s="1509"/>
      <c r="G82" s="1512" t="s">
        <v>275</v>
      </c>
      <c r="H82" s="1502"/>
      <c r="I82" s="1502"/>
      <c r="J82" s="1502"/>
      <c r="K82" s="1502"/>
      <c r="L82" s="1502" t="s">
        <v>276</v>
      </c>
      <c r="M82" s="1502"/>
      <c r="N82" s="1502" t="s">
        <v>275</v>
      </c>
      <c r="O82" s="1502"/>
      <c r="P82" s="1502"/>
      <c r="Q82" s="1502"/>
      <c r="R82" s="1502"/>
      <c r="S82" s="1502" t="s">
        <v>276</v>
      </c>
      <c r="T82" s="1502"/>
    </row>
    <row r="83" spans="1:23" s="497" customFormat="1" ht="15" customHeight="1">
      <c r="A83" s="1509"/>
      <c r="B83" s="1509"/>
      <c r="C83" s="1509"/>
      <c r="D83" s="1509"/>
      <c r="E83" s="1509"/>
      <c r="F83" s="1509"/>
      <c r="G83" s="1512" t="s">
        <v>277</v>
      </c>
      <c r="H83" s="1502"/>
      <c r="I83" s="1502"/>
      <c r="J83" s="1502"/>
      <c r="K83" s="1502"/>
      <c r="L83" s="1502" t="str">
        <f>DBCS(【マスター】!B99)</f>
        <v/>
      </c>
      <c r="M83" s="1502"/>
      <c r="N83" s="1528" t="s">
        <v>433</v>
      </c>
      <c r="O83" s="1528"/>
      <c r="P83" s="1528"/>
      <c r="Q83" s="1528"/>
      <c r="R83" s="1528"/>
      <c r="S83" s="1502" t="str">
        <f>DBCS(【マスター】!E99)</f>
        <v/>
      </c>
      <c r="T83" s="1502"/>
    </row>
    <row r="84" spans="1:23" s="497" customFormat="1" ht="15" customHeight="1">
      <c r="A84" s="1509"/>
      <c r="B84" s="1509"/>
      <c r="C84" s="1509"/>
      <c r="D84" s="1509"/>
      <c r="E84" s="1509"/>
      <c r="F84" s="1509"/>
      <c r="G84" s="1512" t="s">
        <v>279</v>
      </c>
      <c r="H84" s="1502"/>
      <c r="I84" s="1502"/>
      <c r="J84" s="1502"/>
      <c r="K84" s="1502"/>
      <c r="L84" s="1502" t="str">
        <f>DBCS(【マスター】!B100)</f>
        <v/>
      </c>
      <c r="M84" s="1502"/>
      <c r="N84" s="1502" t="s">
        <v>280</v>
      </c>
      <c r="O84" s="1502"/>
      <c r="P84" s="1502"/>
      <c r="Q84" s="1502"/>
      <c r="R84" s="1502"/>
      <c r="S84" s="1502" t="str">
        <f>DBCS(【マスター】!E100)</f>
        <v/>
      </c>
      <c r="T84" s="1502"/>
    </row>
    <row r="85" spans="1:23" s="497" customFormat="1" ht="15" customHeight="1">
      <c r="A85" s="1509"/>
      <c r="B85" s="1509"/>
      <c r="C85" s="1509"/>
      <c r="D85" s="1509"/>
      <c r="E85" s="1509"/>
      <c r="F85" s="1509"/>
      <c r="G85" s="1512" t="s">
        <v>434</v>
      </c>
      <c r="H85" s="1502"/>
      <c r="I85" s="1502"/>
      <c r="J85" s="1502"/>
      <c r="K85" s="1502"/>
      <c r="L85" s="1502" t="str">
        <f>DBCS(【マスター】!B101)</f>
        <v/>
      </c>
      <c r="M85" s="1502"/>
      <c r="N85" s="1502" t="s">
        <v>282</v>
      </c>
      <c r="O85" s="1502"/>
      <c r="P85" s="1502"/>
      <c r="Q85" s="1502"/>
      <c r="R85" s="1502"/>
      <c r="S85" s="1502" t="str">
        <f>DBCS(【マスター】!E101)</f>
        <v/>
      </c>
      <c r="T85" s="1502"/>
    </row>
    <row r="86" spans="1:23" s="497" customFormat="1" ht="15" customHeight="1">
      <c r="A86" s="1509"/>
      <c r="B86" s="1509"/>
      <c r="C86" s="1509"/>
      <c r="D86" s="1509"/>
      <c r="E86" s="1509"/>
      <c r="F86" s="1509"/>
      <c r="G86" s="1512" t="s">
        <v>283</v>
      </c>
      <c r="H86" s="1502"/>
      <c r="I86" s="1502"/>
      <c r="J86" s="1502"/>
      <c r="K86" s="1502"/>
      <c r="L86" s="1502" t="str">
        <f>DBCS(【マスター】!B102)</f>
        <v/>
      </c>
      <c r="M86" s="1502"/>
      <c r="N86" s="1502"/>
      <c r="O86" s="1502"/>
      <c r="P86" s="1502"/>
      <c r="Q86" s="1502"/>
      <c r="R86" s="1502"/>
      <c r="S86" s="1502"/>
      <c r="T86" s="1502"/>
      <c r="U86" s="497" t="s">
        <v>935</v>
      </c>
    </row>
    <row r="87" spans="1:23" s="497" customFormat="1" ht="15" customHeight="1">
      <c r="A87" s="1509"/>
      <c r="B87" s="1509"/>
      <c r="C87" s="1509"/>
      <c r="D87" s="1509"/>
      <c r="E87" s="1509"/>
      <c r="F87" s="1509"/>
      <c r="G87" s="1503" t="s">
        <v>435</v>
      </c>
      <c r="H87" s="1503"/>
      <c r="I87" s="1503"/>
      <c r="J87" s="1503"/>
      <c r="K87" s="1503"/>
      <c r="L87" s="1503"/>
      <c r="M87" s="1503"/>
      <c r="N87" s="1503"/>
      <c r="O87" s="1503"/>
      <c r="P87" s="1503"/>
      <c r="Q87" s="1503"/>
      <c r="R87" s="1503"/>
      <c r="S87" s="1503"/>
      <c r="T87" s="1504"/>
    </row>
    <row r="88" spans="1:23" s="497" customFormat="1" ht="15" customHeight="1">
      <c r="A88" s="837"/>
      <c r="B88" s="837"/>
      <c r="C88" s="837"/>
      <c r="D88" s="837"/>
      <c r="E88" s="837"/>
      <c r="F88" s="812"/>
      <c r="G88" s="833"/>
      <c r="H88" s="833"/>
      <c r="I88" s="833"/>
      <c r="J88" s="833"/>
      <c r="K88" s="812"/>
      <c r="L88" s="812"/>
      <c r="M88" s="812"/>
      <c r="N88" s="812"/>
      <c r="O88" s="812"/>
      <c r="P88" s="812"/>
      <c r="Q88" s="812"/>
      <c r="R88" s="812"/>
      <c r="S88" s="812"/>
      <c r="T88" s="812"/>
    </row>
    <row r="89" spans="1:23" s="497" customFormat="1" ht="15" customHeight="1">
      <c r="A89" s="497" t="s">
        <v>936</v>
      </c>
      <c r="B89" s="837"/>
      <c r="C89" s="837"/>
      <c r="D89" s="837"/>
      <c r="E89" s="837"/>
      <c r="F89" s="812"/>
      <c r="G89" s="833"/>
      <c r="H89" s="833"/>
      <c r="I89" s="833"/>
      <c r="J89" s="833"/>
      <c r="K89" s="812"/>
      <c r="L89" s="812"/>
      <c r="M89" s="812"/>
      <c r="N89" s="812"/>
      <c r="O89" s="812"/>
      <c r="P89" s="812"/>
      <c r="Q89" s="812"/>
      <c r="R89" s="812"/>
      <c r="S89" s="812"/>
      <c r="T89" s="812"/>
    </row>
    <row r="90" spans="1:23" s="497" customFormat="1" ht="15" customHeight="1">
      <c r="A90" s="1505" t="s">
        <v>437</v>
      </c>
      <c r="B90" s="1505"/>
      <c r="C90" s="1505"/>
      <c r="D90" s="1505"/>
      <c r="E90" s="1505"/>
      <c r="F90" s="1505"/>
      <c r="G90" s="1505"/>
      <c r="H90" s="1505"/>
      <c r="I90" s="1505"/>
      <c r="J90" s="1505"/>
      <c r="K90" s="1505"/>
      <c r="L90" s="1505"/>
      <c r="M90" s="1505"/>
      <c r="N90" s="1505"/>
      <c r="O90" s="1505"/>
      <c r="P90" s="1505"/>
      <c r="Q90" s="1505"/>
      <c r="R90" s="1505"/>
      <c r="S90" s="1505"/>
      <c r="T90" s="1505"/>
    </row>
    <row r="91" spans="1:23" s="497" customFormat="1" ht="15" customHeight="1">
      <c r="A91" s="1505"/>
      <c r="B91" s="1505"/>
      <c r="C91" s="1505"/>
      <c r="D91" s="1505"/>
      <c r="E91" s="1505"/>
      <c r="F91" s="1505"/>
      <c r="G91" s="1505"/>
      <c r="H91" s="1505"/>
      <c r="I91" s="1505"/>
      <c r="J91" s="1505"/>
      <c r="K91" s="1505"/>
      <c r="L91" s="1505"/>
      <c r="M91" s="1505"/>
      <c r="N91" s="1505"/>
      <c r="O91" s="1505"/>
      <c r="P91" s="1505"/>
      <c r="Q91" s="1505"/>
      <c r="R91" s="1505"/>
      <c r="S91" s="1505"/>
      <c r="T91" s="1505"/>
    </row>
    <row r="92" spans="1:23" s="497" customFormat="1" ht="15" customHeight="1">
      <c r="A92" s="496" t="s">
        <v>438</v>
      </c>
      <c r="B92" s="496"/>
      <c r="C92" s="496" t="s">
        <v>937</v>
      </c>
    </row>
    <row r="93" spans="1:23" s="497" customFormat="1" ht="15" customHeight="1">
      <c r="A93" s="496" t="s">
        <v>439</v>
      </c>
      <c r="B93" s="496"/>
      <c r="C93" s="496" t="s">
        <v>938</v>
      </c>
    </row>
    <row r="94" spans="1:23" s="497" customFormat="1" ht="30" customHeight="1">
      <c r="A94" s="496" t="s">
        <v>392</v>
      </c>
      <c r="B94" s="803"/>
      <c r="C94" s="1486" t="s">
        <v>440</v>
      </c>
      <c r="D94" s="1486"/>
      <c r="E94" s="1486"/>
      <c r="F94" s="1486"/>
      <c r="G94" s="1486"/>
      <c r="H94" s="1486"/>
      <c r="I94" s="1486"/>
      <c r="J94" s="1486"/>
      <c r="K94" s="1486"/>
      <c r="L94" s="1486"/>
      <c r="M94" s="1486"/>
      <c r="N94" s="1486"/>
      <c r="O94" s="1486"/>
      <c r="P94" s="1486"/>
      <c r="Q94" s="1486"/>
      <c r="R94" s="1486"/>
      <c r="S94" s="1486"/>
      <c r="T94" s="1486"/>
    </row>
    <row r="95" spans="1:23" s="497" customFormat="1" ht="15" customHeight="1"/>
    <row r="96" spans="1:23" s="497" customFormat="1" ht="15" customHeight="1">
      <c r="A96" s="497" t="s">
        <v>939</v>
      </c>
      <c r="B96" s="496"/>
      <c r="C96" s="496"/>
      <c r="W96" s="514"/>
    </row>
    <row r="97" spans="1:41" s="497" customFormat="1" ht="45" customHeight="1">
      <c r="A97" s="496" t="s">
        <v>438</v>
      </c>
      <c r="B97" s="803"/>
      <c r="C97" s="1486" t="s">
        <v>441</v>
      </c>
      <c r="D97" s="1486"/>
      <c r="E97" s="1486"/>
      <c r="F97" s="1486"/>
      <c r="G97" s="1486"/>
      <c r="H97" s="1486"/>
      <c r="I97" s="1486"/>
      <c r="J97" s="1486"/>
      <c r="K97" s="1486"/>
      <c r="L97" s="1486"/>
      <c r="M97" s="1486"/>
      <c r="N97" s="1486"/>
      <c r="O97" s="1486"/>
      <c r="P97" s="1486"/>
      <c r="Q97" s="1486"/>
      <c r="R97" s="1486"/>
      <c r="S97" s="1486"/>
      <c r="T97" s="1486"/>
      <c r="W97" s="514"/>
    </row>
    <row r="98" spans="1:41" s="497" customFormat="1" ht="60" customHeight="1">
      <c r="A98" s="496" t="s">
        <v>439</v>
      </c>
      <c r="B98" s="803"/>
      <c r="C98" s="1486" t="s">
        <v>940</v>
      </c>
      <c r="D98" s="1486"/>
      <c r="E98" s="1486"/>
      <c r="F98" s="1486"/>
      <c r="G98" s="1486"/>
      <c r="H98" s="1486"/>
      <c r="I98" s="1486"/>
      <c r="J98" s="1486"/>
      <c r="K98" s="1486"/>
      <c r="L98" s="1486"/>
      <c r="M98" s="1486"/>
      <c r="N98" s="1486"/>
      <c r="O98" s="1486"/>
      <c r="P98" s="1486"/>
      <c r="Q98" s="1486"/>
      <c r="R98" s="1486"/>
      <c r="S98" s="1486"/>
      <c r="T98" s="1486"/>
    </row>
    <row r="99" spans="1:41" s="497" customFormat="1" ht="15" customHeight="1"/>
    <row r="100" spans="1:41" s="497" customFormat="1" ht="15" customHeight="1">
      <c r="A100" s="496" t="s">
        <v>1917</v>
      </c>
      <c r="B100" s="799"/>
      <c r="C100" s="799"/>
      <c r="D100" s="799"/>
      <c r="E100" s="799"/>
      <c r="F100" s="800"/>
      <c r="G100" s="800"/>
      <c r="H100" s="800"/>
      <c r="I100" s="800"/>
      <c r="J100" s="800"/>
      <c r="K100" s="800"/>
      <c r="L100" s="800"/>
      <c r="M100" s="800"/>
      <c r="N100" s="800"/>
      <c r="O100" s="800"/>
      <c r="P100" s="800"/>
      <c r="Q100" s="800"/>
      <c r="R100" s="800"/>
      <c r="S100" s="800"/>
      <c r="T100" s="498"/>
      <c r="U100" s="514" t="s">
        <v>1840</v>
      </c>
      <c r="W100" s="801" t="s">
        <v>1895</v>
      </c>
      <c r="X100" s="514"/>
      <c r="Y100" s="798"/>
      <c r="Z100" s="798"/>
      <c r="AM100" s="801"/>
    </row>
    <row r="101" spans="1:41" s="497" customFormat="1" ht="30" customHeight="1">
      <c r="A101" s="802"/>
      <c r="B101" s="1487" t="s">
        <v>1945</v>
      </c>
      <c r="C101" s="1487"/>
      <c r="D101" s="1487"/>
      <c r="E101" s="1487"/>
      <c r="F101" s="1487"/>
      <c r="G101" s="1487"/>
      <c r="H101" s="1487"/>
      <c r="I101" s="1487"/>
      <c r="J101" s="1487"/>
      <c r="K101" s="1487"/>
      <c r="L101" s="1487"/>
      <c r="M101" s="1487"/>
      <c r="N101" s="1487"/>
      <c r="O101" s="1487"/>
      <c r="P101" s="1487"/>
      <c r="Q101" s="1487"/>
      <c r="R101" s="1487"/>
      <c r="S101" s="1487"/>
      <c r="T101" s="1487"/>
      <c r="V101" s="514"/>
      <c r="W101" s="803"/>
      <c r="X101" s="803"/>
      <c r="Y101" s="803"/>
      <c r="Z101" s="803"/>
      <c r="AA101" s="803"/>
      <c r="AB101" s="803"/>
      <c r="AC101" s="803"/>
      <c r="AD101" s="803"/>
      <c r="AE101" s="803"/>
      <c r="AF101" s="803"/>
      <c r="AG101" s="803"/>
      <c r="AH101" s="803"/>
      <c r="AI101" s="803"/>
      <c r="AJ101" s="803"/>
      <c r="AK101" s="803"/>
      <c r="AL101" s="803"/>
      <c r="AM101" s="803"/>
      <c r="AN101" s="803"/>
      <c r="AO101" s="803"/>
    </row>
    <row r="102" spans="1:41" s="497" customFormat="1" ht="15" customHeight="1">
      <c r="A102" s="1580" t="s">
        <v>438</v>
      </c>
      <c r="B102" s="1580"/>
      <c r="C102" s="1487" t="s">
        <v>1946</v>
      </c>
      <c r="D102" s="1487"/>
      <c r="E102" s="1487"/>
      <c r="F102" s="1487"/>
      <c r="G102" s="1487"/>
      <c r="H102" s="1487"/>
      <c r="I102" s="1487"/>
      <c r="J102" s="1487"/>
      <c r="K102" s="1487"/>
      <c r="L102" s="1487"/>
      <c r="M102" s="1487"/>
      <c r="N102" s="1487"/>
      <c r="O102" s="1487"/>
      <c r="P102" s="1487"/>
      <c r="Q102" s="1487"/>
      <c r="R102" s="1487"/>
      <c r="S102" s="1487"/>
      <c r="T102" s="1487"/>
      <c r="V102" s="514"/>
      <c r="W102" s="803"/>
      <c r="X102" s="803"/>
      <c r="Y102" s="803"/>
      <c r="Z102" s="803"/>
      <c r="AA102" s="803"/>
      <c r="AB102" s="803"/>
      <c r="AC102" s="803"/>
      <c r="AD102" s="803"/>
      <c r="AE102" s="803"/>
      <c r="AF102" s="803"/>
      <c r="AG102" s="803"/>
      <c r="AH102" s="803"/>
      <c r="AI102" s="803"/>
      <c r="AJ102" s="803"/>
      <c r="AK102" s="803"/>
      <c r="AL102" s="803"/>
      <c r="AM102" s="803"/>
      <c r="AN102" s="803"/>
      <c r="AO102" s="803"/>
    </row>
    <row r="103" spans="1:41" s="497" customFormat="1" ht="15" customHeight="1">
      <c r="A103" s="1580"/>
      <c r="B103" s="1580"/>
      <c r="C103" s="1487"/>
      <c r="D103" s="1487"/>
      <c r="E103" s="1487"/>
      <c r="F103" s="1487"/>
      <c r="G103" s="1487"/>
      <c r="H103" s="1487"/>
      <c r="I103" s="1487"/>
      <c r="J103" s="1487"/>
      <c r="K103" s="1487"/>
      <c r="L103" s="1487"/>
      <c r="M103" s="1487"/>
      <c r="N103" s="1487"/>
      <c r="O103" s="1487"/>
      <c r="P103" s="1487"/>
      <c r="Q103" s="1487"/>
      <c r="R103" s="1487"/>
      <c r="S103" s="1487"/>
      <c r="T103" s="1487"/>
      <c r="V103" s="514"/>
      <c r="W103" s="803"/>
      <c r="X103" s="803"/>
      <c r="Y103" s="803"/>
      <c r="Z103" s="803"/>
      <c r="AA103" s="803"/>
      <c r="AB103" s="803"/>
      <c r="AC103" s="803"/>
      <c r="AD103" s="803"/>
      <c r="AE103" s="803"/>
      <c r="AF103" s="803"/>
      <c r="AG103" s="803"/>
      <c r="AH103" s="803"/>
      <c r="AI103" s="803"/>
      <c r="AJ103" s="803"/>
      <c r="AK103" s="803"/>
      <c r="AL103" s="803"/>
      <c r="AM103" s="803"/>
      <c r="AN103" s="803"/>
      <c r="AO103" s="803"/>
    </row>
    <row r="104" spans="1:41" s="497" customFormat="1" ht="15" customHeight="1">
      <c r="A104" s="802"/>
      <c r="C104" s="805" t="s">
        <v>2048</v>
      </c>
      <c r="D104" s="805"/>
      <c r="E104" s="805"/>
      <c r="F104" s="805"/>
      <c r="G104" s="805"/>
      <c r="H104" s="805"/>
      <c r="I104" s="805"/>
      <c r="J104" s="805"/>
      <c r="K104" s="805"/>
      <c r="L104" s="805"/>
      <c r="M104" s="805"/>
      <c r="N104" s="805"/>
      <c r="O104" s="805"/>
      <c r="P104" s="805"/>
      <c r="Q104" s="805"/>
      <c r="R104" s="805"/>
      <c r="S104" s="805"/>
      <c r="T104" s="806"/>
      <c r="V104" s="514"/>
      <c r="W104" s="803"/>
      <c r="X104" s="803"/>
      <c r="Y104" s="803"/>
      <c r="Z104" s="803"/>
      <c r="AA104" s="803"/>
      <c r="AB104" s="803"/>
      <c r="AC104" s="803"/>
      <c r="AD104" s="803"/>
      <c r="AE104" s="803"/>
      <c r="AF104" s="803"/>
      <c r="AG104" s="803"/>
      <c r="AH104" s="803"/>
      <c r="AI104" s="803"/>
      <c r="AJ104" s="803"/>
      <c r="AK104" s="803"/>
      <c r="AL104" s="803"/>
      <c r="AM104" s="803"/>
      <c r="AN104" s="803"/>
      <c r="AO104" s="803"/>
    </row>
    <row r="105" spans="1:41" s="497" customFormat="1" ht="15" customHeight="1">
      <c r="A105" s="802"/>
      <c r="B105" s="807"/>
      <c r="C105" s="1487" t="s">
        <v>2049</v>
      </c>
      <c r="D105" s="1487"/>
      <c r="E105" s="1487"/>
      <c r="F105" s="1487"/>
      <c r="G105" s="1487"/>
      <c r="H105" s="1487"/>
      <c r="I105" s="1487"/>
      <c r="J105" s="1487"/>
      <c r="K105" s="1487"/>
      <c r="L105" s="1487"/>
      <c r="M105" s="1487"/>
      <c r="N105" s="1487"/>
      <c r="O105" s="1487"/>
      <c r="P105" s="1487"/>
      <c r="Q105" s="1487"/>
      <c r="R105" s="1487"/>
      <c r="S105" s="1487"/>
      <c r="T105" s="1487"/>
      <c r="V105" s="514"/>
      <c r="W105" s="803"/>
      <c r="X105" s="803"/>
      <c r="Y105" s="803"/>
      <c r="Z105" s="803"/>
      <c r="AA105" s="803"/>
      <c r="AB105" s="803"/>
      <c r="AC105" s="803"/>
      <c r="AD105" s="803"/>
      <c r="AE105" s="803"/>
      <c r="AF105" s="803"/>
      <c r="AG105" s="803"/>
      <c r="AH105" s="803"/>
      <c r="AI105" s="803"/>
      <c r="AJ105" s="803"/>
      <c r="AK105" s="803"/>
      <c r="AL105" s="803"/>
      <c r="AM105" s="803"/>
      <c r="AN105" s="803"/>
      <c r="AO105" s="803"/>
    </row>
    <row r="106" spans="1:41" s="497" customFormat="1" ht="15" customHeight="1">
      <c r="A106" s="802"/>
      <c r="B106" s="807"/>
      <c r="C106" s="1487"/>
      <c r="D106" s="1487"/>
      <c r="E106" s="1487"/>
      <c r="F106" s="1487"/>
      <c r="G106" s="1487"/>
      <c r="H106" s="1487"/>
      <c r="I106" s="1487"/>
      <c r="J106" s="1487"/>
      <c r="K106" s="1487"/>
      <c r="L106" s="1487"/>
      <c r="M106" s="1487"/>
      <c r="N106" s="1487"/>
      <c r="O106" s="1487"/>
      <c r="P106" s="1487"/>
      <c r="Q106" s="1487"/>
      <c r="R106" s="1487"/>
      <c r="S106" s="1487"/>
      <c r="T106" s="1487"/>
      <c r="V106" s="514"/>
      <c r="W106" s="803"/>
      <c r="X106" s="803"/>
      <c r="Y106" s="803"/>
      <c r="Z106" s="803"/>
      <c r="AA106" s="803"/>
      <c r="AB106" s="803"/>
      <c r="AC106" s="803"/>
      <c r="AD106" s="803"/>
      <c r="AE106" s="803"/>
      <c r="AF106" s="803"/>
      <c r="AG106" s="803"/>
      <c r="AH106" s="803"/>
      <c r="AI106" s="803"/>
      <c r="AJ106" s="803"/>
      <c r="AK106" s="803"/>
      <c r="AL106" s="803"/>
      <c r="AM106" s="803"/>
      <c r="AN106" s="803"/>
      <c r="AO106" s="803"/>
    </row>
    <row r="107" spans="1:41" s="497" customFormat="1" ht="15" customHeight="1">
      <c r="A107" s="802"/>
      <c r="B107" s="807"/>
      <c r="C107" s="1487" t="s">
        <v>2050</v>
      </c>
      <c r="D107" s="1488"/>
      <c r="E107" s="1488"/>
      <c r="F107" s="1488"/>
      <c r="G107" s="1488"/>
      <c r="H107" s="1488"/>
      <c r="I107" s="1488"/>
      <c r="J107" s="1488"/>
      <c r="K107" s="1488"/>
      <c r="L107" s="1488"/>
      <c r="M107" s="1488"/>
      <c r="N107" s="1488"/>
      <c r="O107" s="1488"/>
      <c r="P107" s="1488"/>
      <c r="Q107" s="1488"/>
      <c r="R107" s="1488"/>
      <c r="S107" s="1488"/>
      <c r="T107" s="1488"/>
      <c r="V107" s="514"/>
      <c r="W107" s="803"/>
      <c r="X107" s="803"/>
      <c r="Y107" s="803"/>
      <c r="Z107" s="803"/>
      <c r="AA107" s="803"/>
      <c r="AB107" s="803"/>
      <c r="AC107" s="803"/>
      <c r="AD107" s="803"/>
      <c r="AE107" s="803"/>
      <c r="AF107" s="803"/>
      <c r="AG107" s="803"/>
      <c r="AH107" s="803"/>
      <c r="AI107" s="803"/>
      <c r="AJ107" s="803"/>
      <c r="AK107" s="803"/>
      <c r="AL107" s="803"/>
      <c r="AM107" s="803"/>
      <c r="AN107" s="803"/>
      <c r="AO107" s="803"/>
    </row>
    <row r="108" spans="1:41" s="497" customFormat="1" ht="15" customHeight="1">
      <c r="A108" s="802"/>
      <c r="B108" s="807"/>
      <c r="C108" s="1488"/>
      <c r="D108" s="1488"/>
      <c r="E108" s="1488"/>
      <c r="F108" s="1488"/>
      <c r="G108" s="1488"/>
      <c r="H108" s="1488"/>
      <c r="I108" s="1488"/>
      <c r="J108" s="1488"/>
      <c r="K108" s="1488"/>
      <c r="L108" s="1488"/>
      <c r="M108" s="1488"/>
      <c r="N108" s="1488"/>
      <c r="O108" s="1488"/>
      <c r="P108" s="1488"/>
      <c r="Q108" s="1488"/>
      <c r="R108" s="1488"/>
      <c r="S108" s="1488"/>
      <c r="T108" s="1488"/>
      <c r="V108" s="514"/>
      <c r="W108" s="803"/>
      <c r="X108" s="803"/>
      <c r="Y108" s="803"/>
      <c r="Z108" s="803"/>
      <c r="AA108" s="803"/>
      <c r="AB108" s="803"/>
      <c r="AC108" s="803"/>
      <c r="AD108" s="803"/>
      <c r="AE108" s="803"/>
      <c r="AF108" s="803"/>
      <c r="AG108" s="803"/>
      <c r="AH108" s="803"/>
      <c r="AI108" s="803"/>
      <c r="AJ108" s="803"/>
      <c r="AK108" s="803"/>
      <c r="AL108" s="803"/>
      <c r="AM108" s="803"/>
      <c r="AN108" s="803"/>
      <c r="AO108" s="803"/>
    </row>
    <row r="109" spans="1:41" s="497" customFormat="1" ht="15" customHeight="1">
      <c r="A109" s="808"/>
      <c r="B109" s="805"/>
      <c r="C109" s="1487" t="s">
        <v>1899</v>
      </c>
      <c r="D109" s="1487"/>
      <c r="E109" s="1487"/>
      <c r="F109" s="1487"/>
      <c r="G109" s="1487"/>
      <c r="H109" s="1487"/>
      <c r="I109" s="1487"/>
      <c r="J109" s="1487"/>
      <c r="K109" s="1487"/>
      <c r="L109" s="1487"/>
      <c r="M109" s="1487"/>
      <c r="N109" s="1487"/>
      <c r="O109" s="1487"/>
      <c r="P109" s="1487"/>
      <c r="Q109" s="1487"/>
      <c r="R109" s="1487"/>
      <c r="S109" s="1487"/>
      <c r="T109" s="1487"/>
      <c r="V109" s="514"/>
      <c r="W109" s="803"/>
      <c r="X109" s="803"/>
      <c r="Y109" s="803"/>
      <c r="Z109" s="803"/>
      <c r="AA109" s="803"/>
      <c r="AB109" s="803"/>
      <c r="AC109" s="803"/>
      <c r="AD109" s="803"/>
      <c r="AE109" s="803"/>
      <c r="AF109" s="803"/>
      <c r="AG109" s="803"/>
      <c r="AH109" s="803"/>
      <c r="AI109" s="803"/>
      <c r="AJ109" s="803"/>
      <c r="AK109" s="803"/>
      <c r="AL109" s="803"/>
      <c r="AM109" s="803"/>
      <c r="AN109" s="803"/>
      <c r="AO109" s="803"/>
    </row>
    <row r="110" spans="1:41" s="497" customFormat="1" ht="15" customHeight="1">
      <c r="A110" s="808"/>
      <c r="B110" s="805"/>
      <c r="C110" s="1487"/>
      <c r="D110" s="1487"/>
      <c r="E110" s="1487"/>
      <c r="F110" s="1487"/>
      <c r="G110" s="1487"/>
      <c r="H110" s="1487"/>
      <c r="I110" s="1487"/>
      <c r="J110" s="1487"/>
      <c r="K110" s="1487"/>
      <c r="L110" s="1487"/>
      <c r="M110" s="1487"/>
      <c r="N110" s="1487"/>
      <c r="O110" s="1487"/>
      <c r="P110" s="1487"/>
      <c r="Q110" s="1487"/>
      <c r="R110" s="1487"/>
      <c r="S110" s="1487"/>
      <c r="T110" s="1487"/>
      <c r="V110" s="514"/>
      <c r="W110" s="803"/>
      <c r="X110" s="803"/>
      <c r="Y110" s="803"/>
      <c r="Z110" s="803"/>
      <c r="AA110" s="803"/>
      <c r="AB110" s="803"/>
      <c r="AC110" s="803"/>
      <c r="AD110" s="803"/>
      <c r="AE110" s="803"/>
      <c r="AF110" s="803"/>
      <c r="AG110" s="803"/>
      <c r="AH110" s="803"/>
      <c r="AI110" s="803"/>
      <c r="AJ110" s="803"/>
      <c r="AK110" s="803"/>
      <c r="AL110" s="803"/>
      <c r="AM110" s="803"/>
      <c r="AN110" s="803"/>
      <c r="AO110" s="803"/>
    </row>
    <row r="111" spans="1:41" s="497" customFormat="1" ht="15" customHeight="1">
      <c r="A111" s="1580" t="s">
        <v>439</v>
      </c>
      <c r="B111" s="1580"/>
      <c r="C111" s="1494" t="s">
        <v>1948</v>
      </c>
      <c r="D111" s="1494"/>
      <c r="E111" s="1494"/>
      <c r="F111" s="1494"/>
      <c r="G111" s="1494"/>
      <c r="H111" s="1494"/>
      <c r="I111" s="1494"/>
      <c r="J111" s="1494"/>
      <c r="K111" s="1494"/>
      <c r="L111" s="1494"/>
      <c r="M111" s="1494"/>
      <c r="N111" s="1494"/>
      <c r="O111" s="1494"/>
      <c r="P111" s="1494"/>
      <c r="Q111" s="1494"/>
      <c r="R111" s="1494"/>
      <c r="S111" s="1494"/>
      <c r="T111" s="1494"/>
      <c r="W111" s="514"/>
      <c r="X111" s="514"/>
      <c r="Y111" s="798"/>
      <c r="Z111" s="798"/>
    </row>
    <row r="112" spans="1:41" s="497" customFormat="1" ht="15" customHeight="1">
      <c r="A112" s="1580"/>
      <c r="B112" s="1580"/>
      <c r="C112" s="1494"/>
      <c r="D112" s="1494"/>
      <c r="E112" s="1494"/>
      <c r="F112" s="1494"/>
      <c r="G112" s="1494"/>
      <c r="H112" s="1494"/>
      <c r="I112" s="1494"/>
      <c r="J112" s="1494"/>
      <c r="K112" s="1494"/>
      <c r="L112" s="1494"/>
      <c r="M112" s="1494"/>
      <c r="N112" s="1494"/>
      <c r="O112" s="1494"/>
      <c r="P112" s="1494"/>
      <c r="Q112" s="1494"/>
      <c r="R112" s="1494"/>
      <c r="S112" s="1494"/>
      <c r="T112" s="1494"/>
      <c r="W112" s="514"/>
      <c r="X112" s="514"/>
      <c r="Y112" s="798"/>
      <c r="Z112" s="798"/>
    </row>
    <row r="113" spans="1:41" s="497" customFormat="1" ht="15" customHeight="1">
      <c r="A113" s="1580" t="s">
        <v>392</v>
      </c>
      <c r="B113" s="1580"/>
      <c r="C113" s="1494" t="s">
        <v>1900</v>
      </c>
      <c r="D113" s="1494"/>
      <c r="E113" s="1494"/>
      <c r="F113" s="1494"/>
      <c r="G113" s="1494"/>
      <c r="H113" s="1494"/>
      <c r="I113" s="1494"/>
      <c r="J113" s="1494"/>
      <c r="K113" s="1494"/>
      <c r="L113" s="1494"/>
      <c r="M113" s="1494"/>
      <c r="N113" s="1494"/>
      <c r="O113" s="1494"/>
      <c r="P113" s="1494"/>
      <c r="Q113" s="1494"/>
      <c r="R113" s="1494"/>
      <c r="S113" s="1494"/>
      <c r="T113" s="1494"/>
      <c r="W113" s="514"/>
      <c r="X113" s="514"/>
      <c r="Y113" s="798"/>
      <c r="Z113" s="798"/>
    </row>
    <row r="114" spans="1:41" s="497" customFormat="1" ht="15" customHeight="1">
      <c r="A114" s="1580"/>
      <c r="B114" s="1580"/>
      <c r="C114" s="1494"/>
      <c r="D114" s="1494"/>
      <c r="E114" s="1494"/>
      <c r="F114" s="1494"/>
      <c r="G114" s="1494"/>
      <c r="H114" s="1494"/>
      <c r="I114" s="1494"/>
      <c r="J114" s="1494"/>
      <c r="K114" s="1494"/>
      <c r="L114" s="1494"/>
      <c r="M114" s="1494"/>
      <c r="N114" s="1494"/>
      <c r="O114" s="1494"/>
      <c r="P114" s="1494"/>
      <c r="Q114" s="1494"/>
      <c r="R114" s="1494"/>
      <c r="S114" s="1494"/>
      <c r="T114" s="1494"/>
      <c r="W114" s="514"/>
      <c r="X114" s="514"/>
      <c r="Y114" s="798"/>
      <c r="Z114" s="798"/>
    </row>
    <row r="115" spans="1:41" s="497" customFormat="1" ht="15" customHeight="1">
      <c r="A115" s="496"/>
      <c r="B115" s="809"/>
      <c r="C115" s="1494"/>
      <c r="D115" s="1494"/>
      <c r="E115" s="1494"/>
      <c r="F115" s="1494"/>
      <c r="G115" s="1494"/>
      <c r="H115" s="1494"/>
      <c r="I115" s="1494"/>
      <c r="J115" s="1494"/>
      <c r="K115" s="1494"/>
      <c r="L115" s="1494"/>
      <c r="M115" s="1494"/>
      <c r="N115" s="1494"/>
      <c r="O115" s="1494"/>
      <c r="P115" s="1494"/>
      <c r="Q115" s="1494"/>
      <c r="R115" s="1494"/>
      <c r="S115" s="1494"/>
      <c r="T115" s="1494"/>
      <c r="W115" s="514"/>
      <c r="X115" s="514"/>
      <c r="Y115" s="798"/>
      <c r="Z115" s="798"/>
    </row>
    <row r="116" spans="1:41" s="497" customFormat="1" ht="15" customHeight="1">
      <c r="A116" s="1580" t="s">
        <v>462</v>
      </c>
      <c r="B116" s="1580"/>
      <c r="C116" s="1487" t="s">
        <v>1901</v>
      </c>
      <c r="D116" s="1487"/>
      <c r="E116" s="1487"/>
      <c r="F116" s="1487"/>
      <c r="G116" s="1487"/>
      <c r="H116" s="1487"/>
      <c r="I116" s="1487"/>
      <c r="J116" s="1487"/>
      <c r="K116" s="1487"/>
      <c r="L116" s="1487"/>
      <c r="M116" s="1487"/>
      <c r="N116" s="1487"/>
      <c r="O116" s="1487"/>
      <c r="P116" s="1487"/>
      <c r="Q116" s="1487"/>
      <c r="R116" s="1487"/>
      <c r="S116" s="1487"/>
      <c r="T116" s="1487"/>
      <c r="V116" s="514"/>
      <c r="W116" s="803"/>
      <c r="X116" s="803"/>
      <c r="Y116" s="803"/>
      <c r="Z116" s="803"/>
      <c r="AA116" s="803"/>
      <c r="AB116" s="803"/>
      <c r="AC116" s="803"/>
      <c r="AD116" s="803"/>
      <c r="AE116" s="803"/>
      <c r="AF116" s="803"/>
      <c r="AG116" s="803"/>
      <c r="AH116" s="803"/>
      <c r="AI116" s="803"/>
      <c r="AJ116" s="803"/>
      <c r="AK116" s="803"/>
      <c r="AL116" s="803"/>
      <c r="AM116" s="803"/>
      <c r="AN116" s="803"/>
      <c r="AO116" s="803"/>
    </row>
    <row r="117" spans="1:41" s="497" customFormat="1" ht="15" customHeight="1">
      <c r="A117" s="1580"/>
      <c r="B117" s="1580"/>
      <c r="C117" s="1487"/>
      <c r="D117" s="1487"/>
      <c r="E117" s="1487"/>
      <c r="F117" s="1487"/>
      <c r="G117" s="1487"/>
      <c r="H117" s="1487"/>
      <c r="I117" s="1487"/>
      <c r="J117" s="1487"/>
      <c r="K117" s="1487"/>
      <c r="L117" s="1487"/>
      <c r="M117" s="1487"/>
      <c r="N117" s="1487"/>
      <c r="O117" s="1487"/>
      <c r="P117" s="1487"/>
      <c r="Q117" s="1487"/>
      <c r="R117" s="1487"/>
      <c r="S117" s="1487"/>
      <c r="T117" s="1487"/>
      <c r="V117" s="514"/>
      <c r="W117" s="803"/>
      <c r="X117" s="803"/>
      <c r="Y117" s="803"/>
      <c r="Z117" s="803"/>
      <c r="AA117" s="803"/>
      <c r="AB117" s="803"/>
      <c r="AC117" s="803"/>
      <c r="AD117" s="803"/>
      <c r="AE117" s="803"/>
      <c r="AF117" s="803"/>
      <c r="AG117" s="803"/>
      <c r="AH117" s="803"/>
      <c r="AI117" s="803"/>
      <c r="AJ117" s="803"/>
      <c r="AK117" s="803"/>
      <c r="AL117" s="803"/>
      <c r="AM117" s="803"/>
      <c r="AN117" s="803"/>
      <c r="AO117" s="803"/>
    </row>
    <row r="118" spans="1:41" s="497" customFormat="1" ht="15" customHeight="1">
      <c r="A118" s="808"/>
      <c r="B118" s="805"/>
      <c r="C118" s="805"/>
      <c r="D118" s="805"/>
      <c r="E118" s="805"/>
      <c r="F118" s="805"/>
      <c r="G118" s="805"/>
      <c r="H118" s="805"/>
      <c r="I118" s="805"/>
      <c r="J118" s="805"/>
      <c r="K118" s="805"/>
      <c r="L118" s="805"/>
      <c r="M118" s="805"/>
      <c r="N118" s="805"/>
      <c r="O118" s="805"/>
      <c r="P118" s="805"/>
      <c r="Q118" s="805"/>
      <c r="R118" s="805"/>
      <c r="S118" s="805"/>
      <c r="T118" s="806"/>
      <c r="V118" s="514"/>
      <c r="W118" s="803"/>
      <c r="X118" s="803"/>
      <c r="Y118" s="803"/>
      <c r="Z118" s="803"/>
      <c r="AA118" s="803"/>
      <c r="AB118" s="803"/>
      <c r="AC118" s="803"/>
      <c r="AD118" s="803"/>
      <c r="AE118" s="803"/>
      <c r="AF118" s="803"/>
      <c r="AG118" s="803"/>
      <c r="AH118" s="803"/>
      <c r="AI118" s="803"/>
      <c r="AJ118" s="803"/>
      <c r="AK118" s="803"/>
      <c r="AL118" s="803"/>
      <c r="AM118" s="803"/>
      <c r="AN118" s="803"/>
      <c r="AO118" s="803"/>
    </row>
    <row r="119" spans="1:41" s="497" customFormat="1" ht="15" customHeight="1">
      <c r="A119" s="497" t="s">
        <v>442</v>
      </c>
      <c r="B119" s="496"/>
      <c r="C119" s="496"/>
    </row>
    <row r="120" spans="1:41" s="497" customFormat="1" ht="15" customHeight="1">
      <c r="B120" s="513" t="s">
        <v>75</v>
      </c>
      <c r="C120" s="496" t="s">
        <v>443</v>
      </c>
    </row>
    <row r="121" spans="1:41" s="497" customFormat="1" ht="15" customHeight="1">
      <c r="B121" s="513" t="s">
        <v>75</v>
      </c>
      <c r="C121" s="1489" t="s">
        <v>444</v>
      </c>
      <c r="D121" s="1489"/>
      <c r="E121" s="1489"/>
      <c r="F121" s="1489"/>
      <c r="G121" s="1489"/>
      <c r="H121" s="1489"/>
      <c r="I121" s="1489"/>
      <c r="J121" s="1489"/>
      <c r="K121" s="1489"/>
      <c r="L121" s="1489"/>
      <c r="M121" s="1489"/>
      <c r="N121" s="1489"/>
      <c r="O121" s="1489"/>
      <c r="P121" s="1489"/>
      <c r="Q121" s="1489"/>
      <c r="R121" s="1489"/>
      <c r="S121" s="1489"/>
      <c r="T121" s="1489"/>
    </row>
    <row r="122" spans="1:41" s="497" customFormat="1" ht="15" customHeight="1">
      <c r="B122" s="496"/>
      <c r="C122" s="1489"/>
      <c r="D122" s="1489"/>
      <c r="E122" s="1489"/>
      <c r="F122" s="1489"/>
      <c r="G122" s="1489"/>
      <c r="H122" s="1489"/>
      <c r="I122" s="1489"/>
      <c r="J122" s="1489"/>
      <c r="K122" s="1489"/>
      <c r="L122" s="1489"/>
      <c r="M122" s="1489"/>
      <c r="N122" s="1489"/>
      <c r="O122" s="1489"/>
      <c r="P122" s="1489"/>
      <c r="Q122" s="1489"/>
      <c r="R122" s="1489"/>
      <c r="S122" s="1489"/>
      <c r="T122" s="1489"/>
    </row>
    <row r="123" spans="1:41" s="497" customFormat="1" ht="15" customHeight="1">
      <c r="B123" s="513" t="s">
        <v>75</v>
      </c>
      <c r="C123" s="496" t="s">
        <v>445</v>
      </c>
    </row>
    <row r="124" spans="1:41" s="497" customFormat="1" ht="15" customHeight="1">
      <c r="B124" s="513" t="s">
        <v>75</v>
      </c>
      <c r="C124" s="496" t="s">
        <v>446</v>
      </c>
    </row>
    <row r="125" spans="1:41" s="497" customFormat="1" ht="15" customHeight="1">
      <c r="B125" s="513" t="s">
        <v>75</v>
      </c>
      <c r="C125" s="496" t="s">
        <v>448</v>
      </c>
    </row>
    <row r="126" spans="1:41" s="497" customFormat="1" ht="15" customHeight="1">
      <c r="B126" s="513" t="s">
        <v>75</v>
      </c>
      <c r="C126" s="1489" t="s">
        <v>449</v>
      </c>
      <c r="D126" s="1489"/>
      <c r="E126" s="1489"/>
      <c r="F126" s="1489"/>
      <c r="G126" s="1489"/>
      <c r="H126" s="1489"/>
      <c r="I126" s="1489"/>
      <c r="J126" s="1489"/>
      <c r="K126" s="1489"/>
      <c r="L126" s="1489"/>
      <c r="M126" s="1489"/>
      <c r="N126" s="1489"/>
      <c r="O126" s="1489"/>
      <c r="P126" s="1489"/>
      <c r="Q126" s="1489"/>
      <c r="R126" s="1489"/>
      <c r="S126" s="1489"/>
      <c r="T126" s="1489"/>
    </row>
    <row r="127" spans="1:41" s="497" customFormat="1" ht="30" customHeight="1">
      <c r="B127" s="513" t="s">
        <v>75</v>
      </c>
      <c r="C127" s="1489" t="s">
        <v>450</v>
      </c>
      <c r="D127" s="1489"/>
      <c r="E127" s="1489"/>
      <c r="F127" s="1489"/>
      <c r="G127" s="1489"/>
      <c r="H127" s="1489"/>
      <c r="I127" s="1489"/>
      <c r="J127" s="1489"/>
      <c r="K127" s="1489"/>
      <c r="L127" s="1489"/>
      <c r="M127" s="1489"/>
      <c r="N127" s="1489"/>
      <c r="O127" s="1489"/>
      <c r="P127" s="1489"/>
      <c r="Q127" s="1489"/>
      <c r="R127" s="1489"/>
      <c r="S127" s="1489"/>
      <c r="T127" s="1489"/>
      <c r="W127" s="514"/>
      <c r="X127" s="514"/>
    </row>
    <row r="128" spans="1:41" s="497" customFormat="1" ht="15" customHeight="1"/>
    <row r="129" spans="1:20" s="497" customFormat="1" ht="15" customHeight="1">
      <c r="A129" s="497" t="s">
        <v>451</v>
      </c>
      <c r="B129" s="496"/>
      <c r="C129" s="496"/>
    </row>
    <row r="130" spans="1:20" s="497" customFormat="1" ht="15" customHeight="1">
      <c r="A130" s="496" t="s">
        <v>438</v>
      </c>
      <c r="B130" s="496"/>
      <c r="C130" s="496" t="s">
        <v>452</v>
      </c>
      <c r="D130" s="832"/>
      <c r="E130" s="832"/>
      <c r="F130" s="832"/>
      <c r="G130" s="832"/>
      <c r="H130" s="832"/>
      <c r="I130" s="832"/>
      <c r="J130" s="832"/>
      <c r="K130" s="832"/>
      <c r="L130" s="832"/>
      <c r="M130" s="832"/>
      <c r="N130" s="832"/>
      <c r="O130" s="832"/>
      <c r="P130" s="832"/>
      <c r="Q130" s="832"/>
      <c r="R130" s="832"/>
      <c r="S130" s="832"/>
      <c r="T130" s="832"/>
    </row>
    <row r="131" spans="1:20" s="497" customFormat="1" ht="30" customHeight="1">
      <c r="B131" s="838" t="s">
        <v>380</v>
      </c>
      <c r="C131" s="1486" t="s">
        <v>453</v>
      </c>
      <c r="D131" s="1486"/>
      <c r="E131" s="1486"/>
      <c r="F131" s="1486"/>
      <c r="G131" s="1486"/>
      <c r="H131" s="1486"/>
      <c r="I131" s="1486"/>
      <c r="J131" s="1486"/>
      <c r="K131" s="1486"/>
      <c r="L131" s="1486"/>
      <c r="M131" s="1486"/>
      <c r="N131" s="1486"/>
      <c r="O131" s="1486"/>
      <c r="P131" s="1486"/>
      <c r="Q131" s="1486"/>
      <c r="R131" s="1486"/>
      <c r="S131" s="1486"/>
      <c r="T131" s="1486"/>
    </row>
    <row r="132" spans="1:20" s="497" customFormat="1" ht="30" customHeight="1">
      <c r="B132" s="815" t="s">
        <v>382</v>
      </c>
      <c r="C132" s="1486" t="s">
        <v>454</v>
      </c>
      <c r="D132" s="1486"/>
      <c r="E132" s="1486"/>
      <c r="F132" s="1486"/>
      <c r="G132" s="1486"/>
      <c r="H132" s="1486"/>
      <c r="I132" s="1486"/>
      <c r="J132" s="1486"/>
      <c r="K132" s="1486"/>
      <c r="L132" s="1486"/>
      <c r="M132" s="1486"/>
      <c r="N132" s="1486"/>
      <c r="O132" s="1486"/>
      <c r="P132" s="1486"/>
      <c r="Q132" s="1486"/>
      <c r="R132" s="1486"/>
      <c r="S132" s="1486"/>
      <c r="T132" s="1486"/>
    </row>
    <row r="133" spans="1:20" s="497" customFormat="1" ht="15" customHeight="1">
      <c r="B133" s="815" t="s">
        <v>384</v>
      </c>
      <c r="C133" s="1486" t="s">
        <v>455</v>
      </c>
      <c r="D133" s="1486"/>
      <c r="E133" s="1486"/>
      <c r="F133" s="1486"/>
      <c r="G133" s="1486"/>
      <c r="H133" s="1486"/>
      <c r="I133" s="1486"/>
      <c r="J133" s="1486"/>
      <c r="K133" s="1486"/>
      <c r="L133" s="1486"/>
      <c r="M133" s="1486"/>
      <c r="N133" s="1486"/>
      <c r="O133" s="1486"/>
      <c r="P133" s="1486"/>
      <c r="Q133" s="1486"/>
      <c r="R133" s="1486"/>
      <c r="S133" s="1486"/>
      <c r="T133" s="1486"/>
    </row>
    <row r="134" spans="1:20" s="497" customFormat="1" ht="15" customHeight="1">
      <c r="A134" s="803"/>
      <c r="B134" s="803"/>
      <c r="C134" s="1486"/>
      <c r="D134" s="1486"/>
      <c r="E134" s="1486"/>
      <c r="F134" s="1486"/>
      <c r="G134" s="1486"/>
      <c r="H134" s="1486"/>
      <c r="I134" s="1486"/>
      <c r="J134" s="1486"/>
      <c r="K134" s="1486"/>
      <c r="L134" s="1486"/>
      <c r="M134" s="1486"/>
      <c r="N134" s="1486"/>
      <c r="O134" s="1486"/>
      <c r="P134" s="1486"/>
      <c r="Q134" s="1486"/>
      <c r="R134" s="1486"/>
      <c r="S134" s="1486"/>
      <c r="T134" s="1486"/>
    </row>
    <row r="135" spans="1:20" s="497" customFormat="1" ht="15" customHeight="1">
      <c r="A135" s="803"/>
      <c r="B135" s="803"/>
      <c r="C135" s="1486"/>
      <c r="D135" s="1486"/>
      <c r="E135" s="1486"/>
      <c r="F135" s="1486"/>
      <c r="G135" s="1486"/>
      <c r="H135" s="1486"/>
      <c r="I135" s="1486"/>
      <c r="J135" s="1486"/>
      <c r="K135" s="1486"/>
      <c r="L135" s="1486"/>
      <c r="M135" s="1486"/>
      <c r="N135" s="1486"/>
      <c r="O135" s="1486"/>
      <c r="P135" s="1486"/>
      <c r="Q135" s="1486"/>
      <c r="R135" s="1486"/>
      <c r="S135" s="1486"/>
      <c r="T135" s="1486"/>
    </row>
    <row r="136" spans="1:20" s="497" customFormat="1" ht="15" customHeight="1">
      <c r="A136" s="496" t="s">
        <v>439</v>
      </c>
      <c r="B136" s="496"/>
      <c r="C136" s="496" t="s">
        <v>456</v>
      </c>
    </row>
    <row r="137" spans="1:20" s="497" customFormat="1" ht="60" customHeight="1">
      <c r="B137" s="1486" t="s">
        <v>457</v>
      </c>
      <c r="C137" s="1486"/>
      <c r="D137" s="1486"/>
      <c r="E137" s="1486"/>
      <c r="F137" s="1486"/>
      <c r="G137" s="1486"/>
      <c r="H137" s="1486"/>
      <c r="I137" s="1486"/>
      <c r="J137" s="1486"/>
      <c r="K137" s="1486"/>
      <c r="L137" s="1486"/>
      <c r="M137" s="1486"/>
      <c r="N137" s="1486"/>
      <c r="O137" s="1486"/>
      <c r="P137" s="1486"/>
      <c r="Q137" s="1486"/>
      <c r="R137" s="1486"/>
      <c r="S137" s="1486"/>
      <c r="T137" s="1486"/>
    </row>
    <row r="138" spans="1:20" s="497" customFormat="1" ht="15" customHeight="1">
      <c r="A138" s="496" t="s">
        <v>392</v>
      </c>
      <c r="B138" s="496"/>
      <c r="C138" s="496" t="s">
        <v>458</v>
      </c>
    </row>
    <row r="139" spans="1:20" s="497" customFormat="1" ht="30" customHeight="1">
      <c r="B139" s="838" t="s">
        <v>380</v>
      </c>
      <c r="C139" s="1489" t="s">
        <v>459</v>
      </c>
      <c r="D139" s="1489"/>
      <c r="E139" s="1489"/>
      <c r="F139" s="1489"/>
      <c r="G139" s="1489"/>
      <c r="H139" s="1489"/>
      <c r="I139" s="1489"/>
      <c r="J139" s="1489"/>
      <c r="K139" s="1489"/>
      <c r="L139" s="1489"/>
      <c r="M139" s="1489"/>
      <c r="N139" s="1489"/>
      <c r="O139" s="1489"/>
      <c r="P139" s="1489"/>
      <c r="Q139" s="1489"/>
      <c r="R139" s="1489"/>
      <c r="S139" s="1489"/>
      <c r="T139" s="1489"/>
    </row>
    <row r="140" spans="1:20" s="497" customFormat="1" ht="15" customHeight="1">
      <c r="B140" s="815" t="s">
        <v>382</v>
      </c>
      <c r="C140" s="1489" t="s">
        <v>460</v>
      </c>
      <c r="D140" s="1489"/>
      <c r="E140" s="1489"/>
      <c r="F140" s="1489"/>
      <c r="G140" s="1489"/>
      <c r="H140" s="1489"/>
      <c r="I140" s="1489"/>
      <c r="J140" s="1489"/>
      <c r="K140" s="1489"/>
      <c r="L140" s="1489"/>
      <c r="M140" s="1489"/>
      <c r="N140" s="1489"/>
      <c r="O140" s="1489"/>
      <c r="P140" s="1489"/>
      <c r="Q140" s="1489"/>
      <c r="R140" s="1489"/>
      <c r="S140" s="1489"/>
      <c r="T140" s="1489"/>
    </row>
    <row r="141" spans="1:20" s="497" customFormat="1" ht="60" customHeight="1">
      <c r="B141" s="815" t="s">
        <v>384</v>
      </c>
      <c r="C141" s="1489" t="s">
        <v>461</v>
      </c>
      <c r="D141" s="1489"/>
      <c r="E141" s="1489"/>
      <c r="F141" s="1489"/>
      <c r="G141" s="1489"/>
      <c r="H141" s="1489"/>
      <c r="I141" s="1489"/>
      <c r="J141" s="1489"/>
      <c r="K141" s="1489"/>
      <c r="L141" s="1489"/>
      <c r="M141" s="1489"/>
      <c r="N141" s="1489"/>
      <c r="O141" s="1489"/>
      <c r="P141" s="1489"/>
      <c r="Q141" s="1489"/>
      <c r="R141" s="1489"/>
      <c r="S141" s="1489"/>
      <c r="T141" s="1489"/>
    </row>
    <row r="142" spans="1:20" s="497" customFormat="1" ht="15" customHeight="1">
      <c r="A142" s="496" t="s">
        <v>462</v>
      </c>
      <c r="B142" s="496"/>
      <c r="C142" s="496" t="s">
        <v>463</v>
      </c>
    </row>
    <row r="143" spans="1:20" s="497" customFormat="1" ht="30" customHeight="1">
      <c r="B143" s="838" t="s">
        <v>380</v>
      </c>
      <c r="C143" s="1489" t="s">
        <v>464</v>
      </c>
      <c r="D143" s="1489"/>
      <c r="E143" s="1489"/>
      <c r="F143" s="1489"/>
      <c r="G143" s="1489"/>
      <c r="H143" s="1489"/>
      <c r="I143" s="1489"/>
      <c r="J143" s="1489"/>
      <c r="K143" s="1489"/>
      <c r="L143" s="1489"/>
      <c r="M143" s="1489"/>
      <c r="N143" s="1489"/>
      <c r="O143" s="1489"/>
      <c r="P143" s="1489"/>
      <c r="Q143" s="1489"/>
      <c r="R143" s="1489"/>
      <c r="S143" s="1489"/>
      <c r="T143" s="1489"/>
    </row>
    <row r="144" spans="1:20" s="497" customFormat="1" ht="30" customHeight="1">
      <c r="B144" s="815" t="s">
        <v>382</v>
      </c>
      <c r="C144" s="1489" t="s">
        <v>465</v>
      </c>
      <c r="D144" s="1489"/>
      <c r="E144" s="1489"/>
      <c r="F144" s="1489"/>
      <c r="G144" s="1489"/>
      <c r="H144" s="1489"/>
      <c r="I144" s="1489"/>
      <c r="J144" s="1489"/>
      <c r="K144" s="1489"/>
      <c r="L144" s="1489"/>
      <c r="M144" s="1489"/>
      <c r="N144" s="1489"/>
      <c r="O144" s="1489"/>
      <c r="P144" s="1489"/>
      <c r="Q144" s="1489"/>
      <c r="R144" s="1489"/>
      <c r="S144" s="1489"/>
      <c r="T144" s="1489"/>
    </row>
    <row r="145" spans="1:20" s="497" customFormat="1" ht="15" customHeight="1">
      <c r="A145" s="496" t="s">
        <v>466</v>
      </c>
      <c r="B145" s="496"/>
      <c r="C145" s="496" t="s">
        <v>467</v>
      </c>
    </row>
    <row r="146" spans="1:20" s="497" customFormat="1" ht="30" customHeight="1">
      <c r="B146" s="1489" t="s">
        <v>468</v>
      </c>
      <c r="C146" s="1489"/>
      <c r="D146" s="1489"/>
      <c r="E146" s="1489"/>
      <c r="F146" s="1489"/>
      <c r="G146" s="1489"/>
      <c r="H146" s="1489"/>
      <c r="I146" s="1489"/>
      <c r="J146" s="1489"/>
      <c r="K146" s="1489"/>
      <c r="L146" s="1489"/>
      <c r="M146" s="1489"/>
      <c r="N146" s="1489"/>
      <c r="O146" s="1489"/>
      <c r="P146" s="1489"/>
      <c r="Q146" s="1489"/>
      <c r="R146" s="1489"/>
      <c r="S146" s="1489"/>
      <c r="T146" s="1489"/>
    </row>
    <row r="147" spans="1:20" s="497" customFormat="1" ht="15" customHeight="1">
      <c r="A147" s="496" t="s">
        <v>469</v>
      </c>
      <c r="B147" s="496"/>
      <c r="C147" s="496" t="s">
        <v>470</v>
      </c>
      <c r="L147" s="839"/>
      <c r="M147" s="839"/>
      <c r="N147" s="839"/>
      <c r="O147" s="839"/>
      <c r="P147" s="839"/>
      <c r="Q147" s="839"/>
      <c r="R147" s="839"/>
      <c r="S147" s="839"/>
    </row>
    <row r="148" spans="1:20" s="497" customFormat="1" ht="30" customHeight="1">
      <c r="B148" s="838"/>
      <c r="C148" s="1489" t="s">
        <v>471</v>
      </c>
      <c r="D148" s="1489"/>
      <c r="E148" s="1489"/>
      <c r="F148" s="1489"/>
      <c r="G148" s="1489"/>
      <c r="H148" s="1489"/>
      <c r="I148" s="1489"/>
      <c r="J148" s="1489"/>
      <c r="K148" s="1489"/>
      <c r="L148" s="1489"/>
      <c r="M148" s="1489"/>
      <c r="N148" s="1489"/>
      <c r="O148" s="1489"/>
      <c r="P148" s="1489"/>
      <c r="Q148" s="1489"/>
      <c r="R148" s="1489"/>
      <c r="S148" s="1489"/>
      <c r="T148" s="1489"/>
    </row>
    <row r="149" spans="1:20" s="497" customFormat="1" ht="15" customHeight="1">
      <c r="A149" s="496" t="s">
        <v>472</v>
      </c>
      <c r="B149" s="496"/>
      <c r="C149" s="496" t="s">
        <v>473</v>
      </c>
    </row>
    <row r="150" spans="1:20" s="497" customFormat="1" ht="15" customHeight="1">
      <c r="A150" s="497" t="s">
        <v>474</v>
      </c>
      <c r="B150" s="496"/>
      <c r="C150" s="496"/>
    </row>
    <row r="151" spans="1:20" s="497" customFormat="1" ht="30" customHeight="1">
      <c r="A151" s="840"/>
      <c r="B151" s="838" t="s">
        <v>380</v>
      </c>
      <c r="C151" s="1489" t="s">
        <v>941</v>
      </c>
      <c r="D151" s="1489"/>
      <c r="E151" s="1489"/>
      <c r="F151" s="1489"/>
      <c r="G151" s="1489"/>
      <c r="H151" s="1489"/>
      <c r="I151" s="1489"/>
      <c r="J151" s="1489"/>
      <c r="K151" s="1489"/>
      <c r="L151" s="1489"/>
      <c r="M151" s="1489"/>
      <c r="N151" s="1489"/>
      <c r="O151" s="1489"/>
      <c r="P151" s="1489"/>
      <c r="Q151" s="1489"/>
      <c r="R151" s="1489"/>
      <c r="S151" s="1489"/>
      <c r="T151" s="1489"/>
    </row>
    <row r="152" spans="1:20" s="497" customFormat="1" ht="30" customHeight="1">
      <c r="A152" s="803"/>
      <c r="B152" s="815" t="s">
        <v>382</v>
      </c>
      <c r="C152" s="1486" t="s">
        <v>476</v>
      </c>
      <c r="D152" s="1486"/>
      <c r="E152" s="1486"/>
      <c r="F152" s="1486"/>
      <c r="G152" s="1486"/>
      <c r="H152" s="1486"/>
      <c r="I152" s="1486"/>
      <c r="J152" s="1486"/>
      <c r="K152" s="1486"/>
      <c r="L152" s="1486"/>
      <c r="M152" s="1486"/>
      <c r="N152" s="1486"/>
      <c r="O152" s="1486"/>
      <c r="P152" s="1486"/>
      <c r="Q152" s="1486"/>
      <c r="R152" s="1486"/>
      <c r="S152" s="1486"/>
      <c r="T152" s="1486"/>
    </row>
    <row r="153" spans="1:20" s="497" customFormat="1" ht="15" customHeight="1">
      <c r="A153" s="840"/>
      <c r="B153" s="815" t="s">
        <v>384</v>
      </c>
      <c r="C153" s="841" t="s">
        <v>477</v>
      </c>
      <c r="D153" s="840"/>
      <c r="E153" s="840"/>
      <c r="F153" s="840"/>
      <c r="G153" s="840"/>
      <c r="H153" s="840"/>
      <c r="I153" s="840"/>
      <c r="J153" s="840"/>
      <c r="K153" s="840"/>
      <c r="L153" s="840"/>
      <c r="M153" s="840"/>
      <c r="N153" s="840"/>
      <c r="O153" s="840"/>
      <c r="P153" s="840"/>
      <c r="Q153" s="840"/>
      <c r="R153" s="840"/>
      <c r="S153" s="840"/>
      <c r="T153" s="840"/>
    </row>
    <row r="154" spans="1:20" s="497" customFormat="1" ht="15" customHeight="1">
      <c r="A154" s="840"/>
      <c r="B154" s="815" t="s">
        <v>386</v>
      </c>
      <c r="C154" s="841" t="s">
        <v>478</v>
      </c>
      <c r="D154" s="840"/>
      <c r="E154" s="840"/>
      <c r="F154" s="840"/>
      <c r="G154" s="840"/>
      <c r="H154" s="840"/>
      <c r="I154" s="840"/>
      <c r="J154" s="840"/>
      <c r="K154" s="840"/>
      <c r="L154" s="840"/>
      <c r="M154" s="840"/>
      <c r="N154" s="840"/>
      <c r="O154" s="840"/>
      <c r="P154" s="840"/>
      <c r="Q154" s="840"/>
      <c r="R154" s="840"/>
      <c r="S154" s="840"/>
      <c r="T154" s="840"/>
    </row>
    <row r="155" spans="1:20" s="497" customFormat="1" ht="15" customHeight="1">
      <c r="A155" s="840"/>
      <c r="B155" s="815" t="s">
        <v>388</v>
      </c>
      <c r="C155" s="496" t="s">
        <v>479</v>
      </c>
    </row>
    <row r="156" spans="1:20" s="497" customFormat="1" ht="15" customHeight="1">
      <c r="A156" s="840"/>
      <c r="B156" s="815" t="s">
        <v>390</v>
      </c>
      <c r="C156" s="496" t="s">
        <v>480</v>
      </c>
    </row>
    <row r="157" spans="1:20" s="497" customFormat="1" ht="15" customHeight="1">
      <c r="A157" s="840"/>
      <c r="B157" s="815" t="s">
        <v>481</v>
      </c>
      <c r="C157" s="841" t="s">
        <v>482</v>
      </c>
      <c r="D157" s="840"/>
      <c r="E157" s="840"/>
      <c r="F157" s="840"/>
      <c r="G157" s="840"/>
      <c r="H157" s="840"/>
      <c r="I157" s="840"/>
      <c r="J157" s="840"/>
      <c r="K157" s="840"/>
      <c r="L157" s="840"/>
      <c r="M157" s="840"/>
      <c r="N157" s="840"/>
      <c r="O157" s="840"/>
      <c r="P157" s="840"/>
      <c r="Q157" s="840"/>
      <c r="R157" s="840"/>
      <c r="S157" s="840"/>
      <c r="T157" s="840"/>
    </row>
    <row r="158" spans="1:20" s="497" customFormat="1" ht="15" customHeight="1">
      <c r="A158" s="840"/>
      <c r="B158" s="815" t="s">
        <v>483</v>
      </c>
      <c r="C158" s="496" t="s">
        <v>484</v>
      </c>
    </row>
    <row r="159" spans="1:20" s="497" customFormat="1" ht="15" customHeight="1">
      <c r="A159" s="840"/>
      <c r="B159" s="815"/>
      <c r="C159" s="496"/>
    </row>
    <row r="160" spans="1:20" s="497" customFormat="1" ht="15" customHeight="1">
      <c r="A160" s="1501" t="s">
        <v>487</v>
      </c>
      <c r="B160" s="1501"/>
      <c r="C160" s="1501"/>
      <c r="D160" s="1501"/>
      <c r="E160" s="1501"/>
      <c r="F160" s="1501"/>
      <c r="G160" s="1501"/>
      <c r="H160" s="1501"/>
      <c r="I160" s="1501"/>
      <c r="J160" s="1501"/>
      <c r="K160" s="1501"/>
      <c r="L160" s="1501"/>
      <c r="M160" s="1501"/>
      <c r="N160" s="1501"/>
      <c r="O160" s="1501"/>
      <c r="P160" s="1501"/>
      <c r="Q160" s="1501"/>
      <c r="R160" s="1501"/>
      <c r="S160" s="1501"/>
      <c r="T160" s="1501"/>
    </row>
    <row r="161" s="497" customFormat="1" ht="15" customHeight="1"/>
    <row r="162" s="497" customFormat="1" ht="15" customHeight="1"/>
  </sheetData>
  <sheetProtection selectLockedCells="1"/>
  <mergeCells count="130">
    <mergeCell ref="A102:B103"/>
    <mergeCell ref="A111:B112"/>
    <mergeCell ref="A113:B114"/>
    <mergeCell ref="A116:B117"/>
    <mergeCell ref="A1:T2"/>
    <mergeCell ref="A3:T3"/>
    <mergeCell ref="B6:F6"/>
    <mergeCell ref="H6:P6"/>
    <mergeCell ref="Q6:T6"/>
    <mergeCell ref="B7:F7"/>
    <mergeCell ref="H7:T7"/>
    <mergeCell ref="B8:F10"/>
    <mergeCell ref="H8:J8"/>
    <mergeCell ref="K8:T8"/>
    <mergeCell ref="H9:J9"/>
    <mergeCell ref="K9:T9"/>
    <mergeCell ref="K17:T17"/>
    <mergeCell ref="B18:F18"/>
    <mergeCell ref="H18:T18"/>
    <mergeCell ref="B21:F21"/>
    <mergeCell ref="H21:N21"/>
    <mergeCell ref="B22:F22"/>
    <mergeCell ref="H22:N22"/>
    <mergeCell ref="H10:J10"/>
    <mergeCell ref="K10:T10"/>
    <mergeCell ref="B14:F14"/>
    <mergeCell ref="H14:T14"/>
    <mergeCell ref="B15:F17"/>
    <mergeCell ref="H15:J15"/>
    <mergeCell ref="K15:T15"/>
    <mergeCell ref="H16:J16"/>
    <mergeCell ref="K16:T16"/>
    <mergeCell ref="H17:J17"/>
    <mergeCell ref="A34:C36"/>
    <mergeCell ref="A27:C28"/>
    <mergeCell ref="A29:C33"/>
    <mergeCell ref="D27:J28"/>
    <mergeCell ref="D29:J33"/>
    <mergeCell ref="D34:J36"/>
    <mergeCell ref="K29:T33"/>
    <mergeCell ref="K27:T28"/>
    <mergeCell ref="K34:T36"/>
    <mergeCell ref="F66:H68"/>
    <mergeCell ref="K66:T66"/>
    <mergeCell ref="I67:J67"/>
    <mergeCell ref="K67:T67"/>
    <mergeCell ref="I68:J68"/>
    <mergeCell ref="K68:T68"/>
    <mergeCell ref="A37:C39"/>
    <mergeCell ref="A40:C46"/>
    <mergeCell ref="G42:J43"/>
    <mergeCell ref="G45:J46"/>
    <mergeCell ref="D37:J39"/>
    <mergeCell ref="K37:T39"/>
    <mergeCell ref="K40:T46"/>
    <mergeCell ref="D47:J51"/>
    <mergeCell ref="K47:T51"/>
    <mergeCell ref="A47:C51"/>
    <mergeCell ref="A71:T71"/>
    <mergeCell ref="A72:T72"/>
    <mergeCell ref="D52:J56"/>
    <mergeCell ref="K52:T56"/>
    <mergeCell ref="G83:K83"/>
    <mergeCell ref="L83:M83"/>
    <mergeCell ref="N83:R83"/>
    <mergeCell ref="S83:T83"/>
    <mergeCell ref="G84:K84"/>
    <mergeCell ref="L84:M84"/>
    <mergeCell ref="N84:R84"/>
    <mergeCell ref="B73:H73"/>
    <mergeCell ref="I73:T73"/>
    <mergeCell ref="B74:H74"/>
    <mergeCell ref="I74:T74"/>
    <mergeCell ref="E59:O59"/>
    <mergeCell ref="A64:A68"/>
    <mergeCell ref="B64:E68"/>
    <mergeCell ref="F64:J64"/>
    <mergeCell ref="K64:T64"/>
    <mergeCell ref="F65:J65"/>
    <mergeCell ref="K65:T65"/>
    <mergeCell ref="I66:J66"/>
    <mergeCell ref="A52:C56"/>
    <mergeCell ref="C126:T126"/>
    <mergeCell ref="C127:T127"/>
    <mergeCell ref="B146:T146"/>
    <mergeCell ref="C148:T148"/>
    <mergeCell ref="B101:T101"/>
    <mergeCell ref="C102:T103"/>
    <mergeCell ref="C105:T106"/>
    <mergeCell ref="A77:T77"/>
    <mergeCell ref="A80:F80"/>
    <mergeCell ref="G80:T80"/>
    <mergeCell ref="A81:F87"/>
    <mergeCell ref="G81:T81"/>
    <mergeCell ref="G82:K82"/>
    <mergeCell ref="L82:M82"/>
    <mergeCell ref="N82:R82"/>
    <mergeCell ref="S82:T82"/>
    <mergeCell ref="G85:K85"/>
    <mergeCell ref="L85:M85"/>
    <mergeCell ref="N85:R85"/>
    <mergeCell ref="S85:T85"/>
    <mergeCell ref="G86:K86"/>
    <mergeCell ref="L86:M86"/>
    <mergeCell ref="N86:R86"/>
    <mergeCell ref="S86:T86"/>
    <mergeCell ref="C107:T108"/>
    <mergeCell ref="C109:T110"/>
    <mergeCell ref="C111:T112"/>
    <mergeCell ref="C113:T115"/>
    <mergeCell ref="C116:T117"/>
    <mergeCell ref="C151:T151"/>
    <mergeCell ref="C152:T152"/>
    <mergeCell ref="A160:T160"/>
    <mergeCell ref="S84:T84"/>
    <mergeCell ref="G87:T87"/>
    <mergeCell ref="A90:T91"/>
    <mergeCell ref="C121:T122"/>
    <mergeCell ref="C94:T94"/>
    <mergeCell ref="C97:T97"/>
    <mergeCell ref="C98:T98"/>
    <mergeCell ref="C131:T131"/>
    <mergeCell ref="C132:T132"/>
    <mergeCell ref="C133:T135"/>
    <mergeCell ref="B137:T137"/>
    <mergeCell ref="C139:T139"/>
    <mergeCell ref="C140:T140"/>
    <mergeCell ref="C141:T141"/>
    <mergeCell ref="C143:T143"/>
    <mergeCell ref="C144:T144"/>
  </mergeCells>
  <phoneticPr fontId="17"/>
  <dataValidations count="1">
    <dataValidation imeMode="fullAlpha" allowBlank="1" showInputMessage="1" showErrorMessage="1" sqref="H22" xr:uid="{EF0A382C-9EE0-D242-ADB8-E16F795B8A99}"/>
  </dataValidations>
  <printOptions horizontalCentered="1"/>
  <pageMargins left="0.70866141732283472" right="0.70866141732283472" top="0.74803149606299213" bottom="0.55118110236220474" header="0.31496062992125984" footer="0.31496062992125984"/>
  <pageSetup paperSize="9" scale="96" fitToHeight="0" orientation="portrait" r:id="rId1"/>
  <headerFooter>
    <oddFooter>&amp;L【通所介護_BMC】&amp;C&amp;P</oddFooter>
  </headerFooter>
  <rowBreaks count="2" manualBreakCount="2">
    <brk id="98" max="21" man="1"/>
    <brk id="141"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AL62"/>
  <sheetViews>
    <sheetView view="pageBreakPreview" zoomScale="60" zoomScaleNormal="100" workbookViewId="0">
      <selection activeCell="AL39" sqref="AL39"/>
    </sheetView>
  </sheetViews>
  <sheetFormatPr defaultColWidth="9" defaultRowHeight="15" customHeight="1"/>
  <cols>
    <col min="1" max="1" width="4.625" style="299" customWidth="1"/>
    <col min="2" max="3" width="4.625" style="298" customWidth="1"/>
    <col min="4" max="20" width="4.625" style="299" customWidth="1"/>
    <col min="21" max="22" width="0" style="299" hidden="1" customWidth="1"/>
    <col min="23" max="39" width="4.625" style="299" customWidth="1"/>
    <col min="40" max="16384" width="9" style="299"/>
  </cols>
  <sheetData>
    <row r="1" spans="1:24" s="301" customFormat="1" ht="15" customHeight="1">
      <c r="B1" s="300"/>
      <c r="C1" s="300"/>
    </row>
    <row r="2" spans="1:24" s="301" customFormat="1" ht="15" customHeight="1">
      <c r="B2" s="300"/>
      <c r="C2" s="316"/>
      <c r="D2" s="316"/>
      <c r="E2" s="316"/>
      <c r="F2" s="316"/>
      <c r="G2" s="316"/>
      <c r="H2" s="316"/>
      <c r="I2" s="316"/>
      <c r="J2" s="316"/>
      <c r="K2" s="316"/>
      <c r="L2" s="316"/>
      <c r="M2" s="316"/>
      <c r="N2" s="316"/>
      <c r="O2" s="316"/>
      <c r="P2" s="316"/>
      <c r="Q2" s="316"/>
      <c r="R2" s="316"/>
      <c r="S2" s="316"/>
      <c r="T2" s="316"/>
    </row>
    <row r="3" spans="1:24" s="301" customFormat="1" ht="15" customHeight="1">
      <c r="B3" s="300"/>
      <c r="C3" s="316"/>
      <c r="D3" s="316"/>
      <c r="E3" s="316"/>
      <c r="F3" s="316"/>
      <c r="G3" s="316"/>
      <c r="H3" s="316"/>
      <c r="I3" s="316"/>
      <c r="J3" s="316"/>
      <c r="K3" s="316"/>
      <c r="L3" s="316"/>
      <c r="M3" s="316"/>
      <c r="N3" s="316"/>
      <c r="O3" s="316"/>
      <c r="P3" s="316"/>
      <c r="Q3" s="316"/>
      <c r="R3" s="316"/>
      <c r="S3" s="316"/>
      <c r="T3" s="316"/>
      <c r="X3" s="474"/>
    </row>
    <row r="4" spans="1:24" s="301" customFormat="1" ht="15" customHeight="1">
      <c r="B4" s="300"/>
      <c r="C4" s="316"/>
      <c r="D4" s="316"/>
      <c r="E4" s="316"/>
      <c r="F4" s="316"/>
      <c r="G4" s="316"/>
      <c r="H4" s="316"/>
      <c r="I4" s="316"/>
      <c r="J4" s="316"/>
      <c r="K4" s="316"/>
      <c r="L4" s="316"/>
      <c r="M4" s="316"/>
      <c r="N4" s="316"/>
      <c r="O4" s="316"/>
      <c r="P4" s="316"/>
      <c r="Q4" s="316"/>
      <c r="R4" s="316"/>
      <c r="S4" s="316"/>
      <c r="T4" s="316"/>
      <c r="X4" s="474"/>
    </row>
    <row r="5" spans="1:24" s="301" customFormat="1" ht="15" customHeight="1">
      <c r="B5" s="300"/>
      <c r="C5" s="316"/>
      <c r="D5" s="316"/>
      <c r="E5" s="316"/>
      <c r="F5" s="316"/>
      <c r="G5" s="316"/>
      <c r="H5" s="316"/>
      <c r="I5" s="316"/>
      <c r="J5" s="316"/>
      <c r="K5" s="316"/>
      <c r="L5" s="316"/>
      <c r="M5" s="316"/>
      <c r="N5" s="316"/>
      <c r="O5" s="316"/>
      <c r="P5" s="316"/>
      <c r="Q5" s="316"/>
      <c r="R5" s="316"/>
      <c r="S5" s="316"/>
      <c r="T5" s="316"/>
      <c r="X5" s="476"/>
    </row>
    <row r="6" spans="1:24" s="301" customFormat="1" ht="15" customHeight="1">
      <c r="A6" s="1258"/>
      <c r="B6" s="1258"/>
      <c r="C6" s="1258"/>
      <c r="D6" s="1258"/>
      <c r="E6" s="1258"/>
      <c r="F6" s="1258"/>
      <c r="G6" s="1258"/>
      <c r="H6" s="1258"/>
      <c r="I6" s="1258"/>
      <c r="J6" s="1258"/>
      <c r="K6" s="1258"/>
      <c r="L6" s="1258"/>
      <c r="M6" s="1258"/>
      <c r="N6" s="1258"/>
      <c r="O6" s="1258"/>
      <c r="P6" s="1258"/>
      <c r="Q6" s="1258"/>
      <c r="R6" s="1258"/>
      <c r="S6" s="1258"/>
      <c r="T6" s="1258"/>
    </row>
    <row r="7" spans="1:24" s="301" customFormat="1" ht="15" customHeight="1">
      <c r="A7" s="1258"/>
      <c r="B7" s="1258"/>
      <c r="C7" s="1258"/>
      <c r="D7" s="1258"/>
      <c r="E7" s="1258"/>
      <c r="F7" s="1258"/>
      <c r="G7" s="1258"/>
      <c r="H7" s="1258"/>
      <c r="I7" s="1258"/>
      <c r="J7" s="1258"/>
      <c r="K7" s="1258"/>
      <c r="L7" s="1258"/>
      <c r="M7" s="1258"/>
      <c r="N7" s="1258"/>
      <c r="O7" s="1258"/>
      <c r="P7" s="1258"/>
      <c r="Q7" s="1258"/>
      <c r="R7" s="1258"/>
      <c r="S7" s="1258"/>
      <c r="T7" s="1258"/>
    </row>
    <row r="8" spans="1:24" s="301" customFormat="1" ht="15" customHeight="1">
      <c r="A8" s="550"/>
      <c r="B8" s="550"/>
      <c r="C8" s="550"/>
      <c r="D8" s="550"/>
      <c r="E8" s="550"/>
      <c r="F8" s="550"/>
      <c r="G8" s="550"/>
      <c r="H8" s="550"/>
      <c r="I8" s="550"/>
      <c r="J8" s="550"/>
      <c r="K8" s="550"/>
      <c r="L8" s="550"/>
      <c r="M8" s="550"/>
      <c r="N8" s="550"/>
      <c r="O8" s="550"/>
      <c r="P8" s="550"/>
      <c r="Q8" s="550"/>
      <c r="R8" s="550"/>
      <c r="S8" s="550"/>
      <c r="T8" s="550"/>
    </row>
    <row r="9" spans="1:24" s="301" customFormat="1" ht="15" customHeight="1">
      <c r="A9" s="550"/>
      <c r="B9" s="550"/>
      <c r="C9" s="550"/>
      <c r="D9" s="550"/>
      <c r="E9" s="550"/>
      <c r="F9" s="550"/>
      <c r="G9" s="550"/>
      <c r="H9" s="550"/>
      <c r="I9" s="550"/>
      <c r="J9" s="550"/>
      <c r="K9" s="550"/>
      <c r="L9" s="550"/>
      <c r="M9" s="550"/>
      <c r="N9" s="550"/>
      <c r="O9" s="550"/>
      <c r="P9" s="550"/>
      <c r="Q9" s="550"/>
      <c r="R9" s="550"/>
      <c r="S9" s="550"/>
      <c r="T9" s="550"/>
    </row>
    <row r="10" spans="1:24" s="301" customFormat="1" ht="15" customHeight="1">
      <c r="A10" s="301" t="s">
        <v>942</v>
      </c>
      <c r="B10" s="300"/>
      <c r="C10" s="316"/>
      <c r="D10" s="316"/>
      <c r="E10" s="316"/>
      <c r="F10" s="316"/>
      <c r="G10" s="316"/>
      <c r="H10" s="316"/>
      <c r="I10" s="316"/>
      <c r="J10" s="316"/>
      <c r="K10" s="316"/>
      <c r="L10" s="316"/>
      <c r="M10" s="316"/>
      <c r="N10" s="316"/>
      <c r="O10" s="316"/>
      <c r="P10" s="316"/>
      <c r="Q10" s="316"/>
      <c r="R10" s="316"/>
      <c r="S10" s="316"/>
      <c r="T10" s="316"/>
    </row>
    <row r="11" spans="1:24" s="301" customFormat="1" ht="15" customHeight="1">
      <c r="B11" s="300"/>
      <c r="C11" s="316"/>
      <c r="D11" s="316"/>
      <c r="E11" s="316"/>
      <c r="F11" s="316"/>
      <c r="G11" s="316"/>
      <c r="H11" s="316"/>
      <c r="I11" s="316"/>
      <c r="J11" s="316"/>
      <c r="K11" s="316"/>
      <c r="L11" s="316"/>
      <c r="M11" s="316"/>
      <c r="N11" s="316"/>
      <c r="O11" s="316"/>
      <c r="P11" s="316"/>
      <c r="Q11" s="316"/>
      <c r="R11" s="316"/>
      <c r="S11" s="316"/>
      <c r="T11" s="316"/>
    </row>
    <row r="12" spans="1:24" s="301" customFormat="1" ht="15" customHeight="1">
      <c r="B12" s="300"/>
      <c r="C12" s="300" t="s">
        <v>489</v>
      </c>
      <c r="D12" s="316"/>
      <c r="E12" s="316"/>
      <c r="F12" s="316"/>
      <c r="G12" s="316"/>
      <c r="H12" s="306" t="s">
        <v>490</v>
      </c>
      <c r="K12" s="1596" t="str">
        <f>DBCS(【マスター】!F22&amp;【マスター】!C23)</f>
        <v>愛知県豊川市大堀町２９３番地</v>
      </c>
      <c r="L12" s="1596"/>
      <c r="M12" s="1596"/>
      <c r="N12" s="1596"/>
      <c r="O12" s="1596"/>
      <c r="P12" s="1596"/>
      <c r="Q12" s="1596"/>
      <c r="R12" s="1596"/>
      <c r="S12" s="1596"/>
      <c r="T12" s="1596"/>
    </row>
    <row r="13" spans="1:24" s="301" customFormat="1" ht="15" customHeight="1">
      <c r="B13" s="300"/>
      <c r="C13" s="300"/>
      <c r="H13" s="306" t="s">
        <v>491</v>
      </c>
      <c r="K13" s="1271" t="str">
        <f>DBCS(【マスター】!C21)</f>
        <v>株式会社ケアサポート</v>
      </c>
      <c r="L13" s="1271"/>
      <c r="M13" s="1271"/>
      <c r="N13" s="1271"/>
      <c r="O13" s="1271"/>
      <c r="P13" s="1271"/>
      <c r="Q13" s="1271"/>
      <c r="R13" s="1271"/>
      <c r="S13" s="1271"/>
      <c r="T13" s="1271"/>
    </row>
    <row r="14" spans="1:24" s="301" customFormat="1" ht="15" customHeight="1">
      <c r="B14" s="300"/>
      <c r="C14" s="300"/>
      <c r="H14" s="306" t="s">
        <v>492</v>
      </c>
      <c r="K14" s="1271" t="str">
        <f>DBCS(【マスター】!C25&amp;" "&amp;【マスター】!I25)</f>
        <v>代表取締役　本多康夫</v>
      </c>
      <c r="L14" s="1271"/>
      <c r="M14" s="1271"/>
      <c r="N14" s="1271"/>
      <c r="O14" s="1271"/>
      <c r="P14" s="1271"/>
      <c r="Q14" s="1271"/>
      <c r="R14" s="1271"/>
      <c r="S14" s="1271"/>
      <c r="T14" s="366" t="s">
        <v>493</v>
      </c>
    </row>
    <row r="15" spans="1:24" s="301" customFormat="1" ht="15" customHeight="1">
      <c r="B15" s="300"/>
      <c r="C15" s="316"/>
      <c r="D15" s="316"/>
      <c r="E15" s="316"/>
      <c r="F15" s="316"/>
      <c r="G15" s="316"/>
      <c r="H15" s="316"/>
      <c r="I15" s="316"/>
      <c r="J15" s="316"/>
      <c r="K15" s="316"/>
      <c r="L15" s="316"/>
      <c r="M15" s="316"/>
      <c r="N15" s="316"/>
      <c r="O15" s="316"/>
      <c r="P15" s="316"/>
      <c r="Q15" s="316"/>
      <c r="R15" s="316"/>
      <c r="S15" s="316"/>
      <c r="T15" s="316"/>
    </row>
    <row r="16" spans="1:24" s="301" customFormat="1" ht="15" customHeight="1">
      <c r="B16" s="300"/>
      <c r="C16" s="300" t="s">
        <v>494</v>
      </c>
      <c r="D16" s="316"/>
      <c r="E16" s="316"/>
      <c r="F16" s="316"/>
      <c r="G16" s="316"/>
      <c r="H16" s="300" t="s">
        <v>78</v>
      </c>
      <c r="I16" s="316"/>
      <c r="J16" s="316"/>
      <c r="K16" s="1271" t="str">
        <f>DBCS(【マスター】!C7)</f>
        <v>デイサービスさつきの湯</v>
      </c>
      <c r="L16" s="1271"/>
      <c r="M16" s="1271"/>
      <c r="N16" s="1271"/>
      <c r="O16" s="1271"/>
      <c r="P16" s="1271"/>
      <c r="Q16" s="1271"/>
      <c r="R16" s="1271"/>
      <c r="S16" s="1271"/>
      <c r="T16" s="1271"/>
    </row>
    <row r="17" spans="1:24" s="301" customFormat="1" ht="15" customHeight="1">
      <c r="B17" s="300"/>
      <c r="C17" s="300"/>
      <c r="D17" s="316"/>
      <c r="E17" s="316"/>
      <c r="F17" s="316"/>
      <c r="G17" s="316"/>
      <c r="H17" s="300"/>
      <c r="I17" s="316"/>
      <c r="J17" s="316"/>
      <c r="K17" s="550"/>
      <c r="L17" s="550"/>
      <c r="M17" s="550"/>
      <c r="N17" s="550"/>
      <c r="O17" s="550"/>
      <c r="P17" s="550"/>
      <c r="Q17" s="550"/>
      <c r="R17" s="550"/>
      <c r="S17" s="550"/>
      <c r="T17" s="550"/>
    </row>
    <row r="18" spans="1:24" s="301" customFormat="1" ht="15" customHeight="1">
      <c r="B18" s="300"/>
      <c r="C18" s="300"/>
      <c r="H18" s="301" t="s">
        <v>495</v>
      </c>
      <c r="K18" s="1594"/>
      <c r="L18" s="1594"/>
      <c r="M18" s="1594"/>
      <c r="N18" s="1594"/>
      <c r="O18" s="1594"/>
      <c r="P18" s="1594"/>
      <c r="Q18" s="1594"/>
      <c r="R18" s="1594"/>
      <c r="S18" s="1594"/>
      <c r="T18" s="318" t="s">
        <v>493</v>
      </c>
    </row>
    <row r="19" spans="1:24" s="301" customFormat="1" ht="15" customHeight="1">
      <c r="B19" s="300"/>
      <c r="C19" s="300"/>
    </row>
    <row r="20" spans="1:24" s="301" customFormat="1" ht="15" customHeight="1">
      <c r="B20" s="300"/>
      <c r="C20" s="300"/>
    </row>
    <row r="21" spans="1:24" s="301" customFormat="1" ht="15" customHeight="1">
      <c r="B21" s="300"/>
      <c r="C21" s="300"/>
    </row>
    <row r="22" spans="1:24" s="301" customFormat="1" ht="15" customHeight="1">
      <c r="A22" s="1258" t="s">
        <v>2146</v>
      </c>
      <c r="B22" s="1258"/>
      <c r="C22" s="1258"/>
      <c r="D22" s="1258"/>
      <c r="E22" s="1258"/>
      <c r="F22" s="1258"/>
      <c r="G22" s="1258"/>
      <c r="H22" s="1258"/>
      <c r="I22" s="1258"/>
      <c r="J22" s="1258"/>
      <c r="K22" s="1258"/>
      <c r="L22" s="1258"/>
      <c r="M22" s="1258"/>
      <c r="N22" s="1258"/>
      <c r="O22" s="1258"/>
      <c r="P22" s="1258"/>
      <c r="Q22" s="1258"/>
      <c r="R22" s="1258"/>
      <c r="S22" s="1258"/>
      <c r="T22" s="1258"/>
    </row>
    <row r="23" spans="1:24" s="301" customFormat="1" ht="15" customHeight="1">
      <c r="A23" s="1258"/>
      <c r="B23" s="1258"/>
      <c r="C23" s="1258"/>
      <c r="D23" s="1258"/>
      <c r="E23" s="1258"/>
      <c r="F23" s="1258"/>
      <c r="G23" s="1258"/>
      <c r="H23" s="1258"/>
      <c r="I23" s="1258"/>
      <c r="J23" s="1258"/>
      <c r="K23" s="1258"/>
      <c r="L23" s="1258"/>
      <c r="M23" s="1258"/>
      <c r="N23" s="1258"/>
      <c r="O23" s="1258"/>
      <c r="P23" s="1258"/>
      <c r="Q23" s="1258"/>
      <c r="R23" s="1258"/>
      <c r="S23" s="1258"/>
      <c r="T23" s="1258"/>
    </row>
    <row r="24" spans="1:24" s="301" customFormat="1" ht="15" customHeight="1">
      <c r="A24" s="550"/>
      <c r="B24" s="550"/>
      <c r="C24" s="550"/>
      <c r="D24" s="550"/>
      <c r="E24" s="550"/>
      <c r="F24" s="550"/>
      <c r="G24" s="550"/>
      <c r="H24" s="550"/>
      <c r="I24" s="550"/>
      <c r="J24" s="550"/>
      <c r="K24" s="550"/>
      <c r="L24" s="550"/>
      <c r="M24" s="550"/>
      <c r="N24" s="550"/>
      <c r="O24" s="550"/>
      <c r="P24" s="550"/>
      <c r="Q24" s="550"/>
      <c r="R24" s="550"/>
      <c r="S24" s="550"/>
      <c r="T24" s="550"/>
    </row>
    <row r="25" spans="1:24" s="301" customFormat="1" ht="15" customHeight="1">
      <c r="A25" s="550"/>
      <c r="B25" s="550"/>
      <c r="C25" s="550"/>
      <c r="D25" s="550"/>
      <c r="E25" s="550"/>
      <c r="F25" s="550"/>
      <c r="G25" s="550"/>
      <c r="H25" s="550"/>
      <c r="I25" s="550"/>
      <c r="J25" s="550"/>
      <c r="K25" s="550"/>
      <c r="L25" s="550"/>
      <c r="M25" s="550"/>
      <c r="N25" s="550"/>
      <c r="O25" s="550"/>
      <c r="P25" s="550"/>
      <c r="Q25" s="550"/>
      <c r="R25" s="550"/>
      <c r="S25" s="550"/>
      <c r="T25" s="550"/>
    </row>
    <row r="26" spans="1:24" s="301" customFormat="1" ht="15" customHeight="1">
      <c r="A26" s="301" t="s">
        <v>942</v>
      </c>
      <c r="B26" s="300"/>
      <c r="C26" s="316"/>
      <c r="D26" s="316"/>
      <c r="E26" s="316"/>
      <c r="F26" s="316"/>
      <c r="G26" s="316"/>
      <c r="H26" s="316"/>
      <c r="I26" s="316"/>
      <c r="J26" s="316"/>
      <c r="K26" s="316"/>
      <c r="L26" s="316"/>
      <c r="M26" s="316"/>
      <c r="N26" s="316"/>
      <c r="O26" s="316"/>
      <c r="P26" s="316"/>
      <c r="Q26" s="316"/>
      <c r="R26" s="316"/>
      <c r="S26" s="316"/>
      <c r="T26" s="316"/>
    </row>
    <row r="27" spans="1:24" s="301" customFormat="1" ht="15" customHeight="1">
      <c r="B27" s="300"/>
      <c r="C27" s="300"/>
    </row>
    <row r="28" spans="1:24" s="301" customFormat="1" ht="15" customHeight="1">
      <c r="B28" s="300"/>
      <c r="C28" s="300"/>
    </row>
    <row r="29" spans="1:24" s="301" customFormat="1" ht="15" customHeight="1">
      <c r="B29" s="300"/>
      <c r="C29" s="300" t="s">
        <v>943</v>
      </c>
      <c r="H29" s="306" t="s">
        <v>490</v>
      </c>
      <c r="K29" s="1270" t="str">
        <f>DBCS(【マスター】!B162)</f>
        <v/>
      </c>
      <c r="L29" s="1270"/>
      <c r="M29" s="1270"/>
      <c r="N29" s="1270"/>
      <c r="O29" s="1270"/>
      <c r="P29" s="1270"/>
      <c r="Q29" s="1270"/>
      <c r="R29" s="1270"/>
      <c r="S29" s="1270"/>
      <c r="T29" s="1270"/>
      <c r="X29" s="474"/>
    </row>
    <row r="30" spans="1:24" s="301" customFormat="1" ht="15" customHeight="1">
      <c r="B30" s="316"/>
      <c r="C30" s="316"/>
      <c r="D30" s="316"/>
      <c r="E30" s="316"/>
      <c r="F30" s="316"/>
      <c r="G30" s="316"/>
      <c r="H30" s="316"/>
      <c r="I30" s="316"/>
      <c r="J30" s="316"/>
      <c r="K30" s="1270" t="str">
        <f>DBCS(【マスター】!B163)</f>
        <v/>
      </c>
      <c r="L30" s="1270"/>
      <c r="M30" s="1270"/>
      <c r="N30" s="1270"/>
      <c r="O30" s="1270"/>
      <c r="P30" s="1270"/>
      <c r="Q30" s="1270"/>
      <c r="R30" s="1270"/>
      <c r="S30" s="1270"/>
      <c r="T30" s="1270"/>
    </row>
    <row r="31" spans="1:24" s="301" customFormat="1" ht="15" customHeight="1">
      <c r="B31" s="316"/>
      <c r="C31" s="316"/>
      <c r="D31" s="316"/>
      <c r="E31" s="316"/>
      <c r="F31" s="316"/>
      <c r="G31" s="316"/>
      <c r="H31" s="316"/>
      <c r="I31" s="316"/>
      <c r="J31" s="316"/>
      <c r="K31" s="367"/>
      <c r="L31" s="367"/>
      <c r="M31" s="367"/>
      <c r="N31" s="367"/>
      <c r="O31" s="367"/>
      <c r="P31" s="367"/>
      <c r="Q31" s="367"/>
      <c r="R31" s="367"/>
      <c r="S31" s="367"/>
      <c r="T31" s="367"/>
    </row>
    <row r="32" spans="1:24" s="301" customFormat="1" ht="15" customHeight="1">
      <c r="B32" s="316"/>
      <c r="C32" s="316"/>
      <c r="D32" s="316"/>
      <c r="E32" s="316"/>
      <c r="F32" s="316"/>
      <c r="G32" s="316"/>
      <c r="H32" s="300" t="s">
        <v>497</v>
      </c>
      <c r="I32" s="316"/>
      <c r="J32" s="316"/>
      <c r="K32" s="1595"/>
      <c r="L32" s="1595"/>
      <c r="M32" s="1595"/>
      <c r="N32" s="1595"/>
      <c r="O32" s="1595"/>
      <c r="P32" s="1595"/>
      <c r="Q32" s="1595"/>
      <c r="R32" s="1595"/>
      <c r="S32" s="1595"/>
      <c r="T32" s="318" t="s">
        <v>493</v>
      </c>
    </row>
    <row r="33" spans="2:38" s="301" customFormat="1" ht="15" customHeight="1">
      <c r="B33" s="300"/>
      <c r="C33" s="300"/>
    </row>
    <row r="34" spans="2:38" s="301" customFormat="1" ht="15" customHeight="1">
      <c r="B34" s="300"/>
      <c r="C34" s="300"/>
    </row>
    <row r="35" spans="2:38" s="301" customFormat="1" ht="15" customHeight="1">
      <c r="B35" s="300"/>
      <c r="C35" s="301" t="s">
        <v>498</v>
      </c>
      <c r="H35" s="306" t="s">
        <v>490</v>
      </c>
      <c r="K35" s="1270" t="str">
        <f>DBCS(【マスター】!B164)</f>
        <v/>
      </c>
      <c r="L35" s="1270"/>
      <c r="M35" s="1270"/>
      <c r="N35" s="1270"/>
      <c r="O35" s="1270"/>
      <c r="P35" s="1270"/>
      <c r="Q35" s="1270"/>
      <c r="R35" s="1270"/>
      <c r="S35" s="1270"/>
      <c r="T35" s="1270"/>
    </row>
    <row r="36" spans="2:38" s="301" customFormat="1" ht="15" customHeight="1">
      <c r="B36" s="300"/>
      <c r="C36" s="301" t="s">
        <v>944</v>
      </c>
      <c r="H36" s="316"/>
      <c r="K36" s="1270" t="str">
        <f>DBCS(【マスター】!B165)</f>
        <v/>
      </c>
      <c r="L36" s="1270"/>
      <c r="M36" s="1270"/>
      <c r="N36" s="1270"/>
      <c r="O36" s="1270"/>
      <c r="P36" s="1270"/>
      <c r="Q36" s="1270"/>
      <c r="R36" s="1270"/>
      <c r="S36" s="1270"/>
      <c r="T36" s="1270"/>
    </row>
    <row r="37" spans="2:38" s="301" customFormat="1" ht="15" customHeight="1">
      <c r="B37" s="300"/>
      <c r="H37" s="316"/>
      <c r="K37" s="549"/>
      <c r="L37" s="549"/>
      <c r="M37" s="549"/>
      <c r="N37" s="549"/>
      <c r="O37" s="549"/>
      <c r="P37" s="549"/>
      <c r="Q37" s="549"/>
      <c r="R37" s="549"/>
      <c r="S37" s="549"/>
      <c r="T37" s="549"/>
    </row>
    <row r="38" spans="2:38" s="301" customFormat="1" ht="15" customHeight="1">
      <c r="B38" s="300"/>
      <c r="C38" s="300"/>
      <c r="H38" s="300" t="s">
        <v>497</v>
      </c>
      <c r="K38" s="551"/>
      <c r="L38" s="551"/>
      <c r="M38" s="551"/>
      <c r="N38" s="551"/>
      <c r="O38" s="551"/>
      <c r="P38" s="551"/>
      <c r="Q38" s="551"/>
      <c r="R38" s="551"/>
      <c r="S38" s="551"/>
      <c r="T38" s="318" t="s">
        <v>493</v>
      </c>
    </row>
    <row r="39" spans="2:38" s="301" customFormat="1" ht="15" customHeight="1">
      <c r="B39" s="300"/>
      <c r="C39" s="300"/>
      <c r="N39" s="317" t="s">
        <v>500</v>
      </c>
      <c r="O39" s="559"/>
      <c r="P39" s="1593"/>
      <c r="Q39" s="1593"/>
      <c r="R39" s="1593"/>
      <c r="S39" s="1593"/>
      <c r="T39" s="316" t="s">
        <v>501</v>
      </c>
      <c r="AL39" s="5"/>
    </row>
    <row r="40" spans="2:38" s="301" customFormat="1" ht="15" customHeight="1">
      <c r="B40" s="300"/>
      <c r="C40" s="300"/>
    </row>
    <row r="41" spans="2:38" s="301" customFormat="1" ht="15" customHeight="1">
      <c r="B41" s="300"/>
      <c r="C41" s="300"/>
    </row>
    <row r="42" spans="2:38" s="301" customFormat="1" ht="15" customHeight="1">
      <c r="B42" s="300"/>
      <c r="C42" s="300"/>
    </row>
    <row r="43" spans="2:38" s="301" customFormat="1" ht="15" customHeight="1">
      <c r="B43" s="300"/>
      <c r="C43" s="300"/>
    </row>
    <row r="44" spans="2:38" s="301" customFormat="1" ht="15" customHeight="1">
      <c r="B44" s="300"/>
      <c r="C44" s="300"/>
    </row>
    <row r="45" spans="2:38" s="301" customFormat="1" ht="15" customHeight="1">
      <c r="B45" s="300"/>
      <c r="C45" s="300"/>
    </row>
    <row r="46" spans="2:38" s="301" customFormat="1" ht="15" customHeight="1">
      <c r="B46" s="300"/>
      <c r="C46" s="300"/>
    </row>
    <row r="47" spans="2:38" s="301" customFormat="1" ht="15" customHeight="1">
      <c r="B47" s="300"/>
      <c r="C47" s="300"/>
    </row>
    <row r="48" spans="2:38" s="301" customFormat="1" ht="15" customHeight="1">
      <c r="B48" s="300"/>
      <c r="C48" s="300"/>
    </row>
    <row r="49" spans="2:3" s="301" customFormat="1" ht="15" customHeight="1">
      <c r="B49" s="300"/>
      <c r="C49" s="300"/>
    </row>
    <row r="50" spans="2:3" s="301" customFormat="1" ht="15" customHeight="1">
      <c r="B50" s="300"/>
      <c r="C50" s="300"/>
    </row>
    <row r="51" spans="2:3" s="301" customFormat="1" ht="15" customHeight="1">
      <c r="B51" s="300"/>
      <c r="C51" s="300"/>
    </row>
    <row r="52" spans="2:3" s="301" customFormat="1" ht="15" customHeight="1">
      <c r="B52" s="300"/>
      <c r="C52" s="300"/>
    </row>
    <row r="53" spans="2:3" s="301" customFormat="1" ht="15" customHeight="1">
      <c r="B53" s="300"/>
      <c r="C53" s="300"/>
    </row>
    <row r="54" spans="2:3" s="301" customFormat="1" ht="15" customHeight="1">
      <c r="B54" s="300"/>
      <c r="C54" s="300"/>
    </row>
    <row r="55" spans="2:3" s="301" customFormat="1" ht="15" customHeight="1">
      <c r="B55" s="300"/>
      <c r="C55" s="300"/>
    </row>
    <row r="56" spans="2:3" s="301" customFormat="1" ht="15" customHeight="1">
      <c r="B56" s="300"/>
      <c r="C56" s="300"/>
    </row>
    <row r="57" spans="2:3" s="301" customFormat="1" ht="15" customHeight="1">
      <c r="B57" s="300"/>
      <c r="C57" s="300"/>
    </row>
    <row r="62" spans="2:3" s="301" customFormat="1" ht="15" customHeight="1"/>
  </sheetData>
  <sheetProtection selectLockedCells="1"/>
  <mergeCells count="13">
    <mergeCell ref="A6:T7"/>
    <mergeCell ref="K12:T12"/>
    <mergeCell ref="K13:T13"/>
    <mergeCell ref="K14:S14"/>
    <mergeCell ref="K36:T36"/>
    <mergeCell ref="P39:S39"/>
    <mergeCell ref="K35:T35"/>
    <mergeCell ref="K16:T16"/>
    <mergeCell ref="K18:S18"/>
    <mergeCell ref="A22:T23"/>
    <mergeCell ref="K29:T29"/>
    <mergeCell ref="K30:T30"/>
    <mergeCell ref="K32:S32"/>
  </mergeCells>
  <phoneticPr fontId="17"/>
  <printOptions horizontalCentered="1"/>
  <pageMargins left="0.70866141732283472" right="0.70866141732283472" top="0.74803149606299213" bottom="0.55118110236220474" header="0.31496062992125984" footer="0.31496062992125984"/>
  <pageSetup paperSize="9" scale="96" fitToHeight="0"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D0C7"/>
    <pageSetUpPr fitToPage="1"/>
  </sheetPr>
  <dimension ref="A1:AO189"/>
  <sheetViews>
    <sheetView topLeftCell="A31" workbookViewId="0">
      <selection activeCell="A23" sqref="A23"/>
    </sheetView>
  </sheetViews>
  <sheetFormatPr defaultColWidth="5.625" defaultRowHeight="14.25"/>
  <cols>
    <col min="1" max="24" width="4.125" style="889" customWidth="1"/>
    <col min="25" max="26" width="5.625" style="889" customWidth="1"/>
    <col min="27" max="27" width="3.625" style="889" customWidth="1"/>
    <col min="28" max="28" width="10.125" style="889" bestFit="1" customWidth="1"/>
    <col min="29" max="29" width="35.625" style="889" customWidth="1"/>
    <col min="30" max="30" width="8.5" style="889" customWidth="1"/>
    <col min="31" max="31" width="9.875" style="889" customWidth="1"/>
    <col min="32" max="33" width="35.5" style="889" customWidth="1"/>
    <col min="34" max="34" width="7.875" style="889" customWidth="1"/>
    <col min="35" max="35" width="9.875" style="889" customWidth="1"/>
    <col min="36" max="36" width="14.125" style="889" customWidth="1"/>
    <col min="37" max="37" width="5.625" style="889"/>
    <col min="38" max="38" width="34.125" style="889" customWidth="1"/>
    <col min="39" max="39" width="9.875" style="889" customWidth="1"/>
    <col min="40" max="40" width="6.875" style="889" customWidth="1"/>
    <col min="41" max="16384" width="5.625" style="889"/>
  </cols>
  <sheetData>
    <row r="1" spans="1:37" ht="15" thickBot="1">
      <c r="AB1" s="889" t="s">
        <v>746</v>
      </c>
    </row>
    <row r="2" spans="1:37" ht="40.35" customHeight="1" thickBot="1">
      <c r="A2" s="1744" t="s">
        <v>945</v>
      </c>
      <c r="B2" s="1744"/>
      <c r="C2" s="1744"/>
      <c r="D2" s="1744"/>
      <c r="E2" s="1744"/>
      <c r="F2" s="1744"/>
      <c r="G2" s="1744"/>
      <c r="H2" s="1744"/>
      <c r="I2" s="1744"/>
      <c r="J2" s="1744"/>
      <c r="K2" s="1744"/>
      <c r="L2" s="1744"/>
      <c r="M2" s="1744"/>
      <c r="N2" s="1744"/>
      <c r="O2" s="1744"/>
      <c r="P2" s="1744"/>
      <c r="Q2" s="1744"/>
      <c r="R2" s="1744"/>
      <c r="S2" s="1744"/>
      <c r="T2" s="1744"/>
      <c r="U2" s="1744"/>
      <c r="V2" s="1744"/>
      <c r="W2" s="1744"/>
      <c r="X2" s="1744"/>
      <c r="AB2" s="890" t="s">
        <v>747</v>
      </c>
      <c r="AC2" s="1725" t="s">
        <v>748</v>
      </c>
      <c r="AD2" s="1726"/>
      <c r="AE2" s="1726"/>
      <c r="AF2" s="1726"/>
    </row>
    <row r="3" spans="1:37" ht="5.0999999999999996" customHeight="1"/>
    <row r="4" spans="1:37" ht="17.25">
      <c r="A4" s="1727" t="str">
        <f>IF(【マスター】!B161="","当事業所が、あなたに提供するサービスは以下の通りです。","当事業所が、"&amp;【マスター】!B161&amp;"様に提供するサービスは以下の通りです。")</f>
        <v>当事業所が、あなたに提供するサービスは以下の通りです。</v>
      </c>
      <c r="B4" s="1727"/>
      <c r="C4" s="1727"/>
      <c r="D4" s="1727"/>
      <c r="E4" s="1727"/>
      <c r="F4" s="1727"/>
      <c r="G4" s="1727"/>
      <c r="H4" s="1727"/>
      <c r="I4" s="1727"/>
      <c r="J4" s="1727"/>
      <c r="K4" s="1727"/>
      <c r="L4" s="1727"/>
      <c r="M4" s="1727"/>
      <c r="N4" s="1727"/>
      <c r="O4" s="1727"/>
      <c r="P4" s="1727"/>
      <c r="Q4" s="1727"/>
      <c r="R4" s="1727"/>
      <c r="S4" s="1727"/>
      <c r="T4" s="1727"/>
      <c r="U4" s="1727"/>
      <c r="V4" s="1727"/>
      <c r="W4" s="1727"/>
      <c r="X4" s="1727"/>
      <c r="AF4" s="891"/>
    </row>
    <row r="5" spans="1:37" ht="19.350000000000001" customHeight="1" thickBot="1">
      <c r="A5" s="1728" t="s">
        <v>749</v>
      </c>
      <c r="B5" s="1729"/>
      <c r="C5" s="1730"/>
      <c r="D5" s="1734" t="s">
        <v>750</v>
      </c>
      <c r="E5" s="1735"/>
      <c r="F5" s="1735"/>
      <c r="G5" s="1735"/>
      <c r="H5" s="1735"/>
      <c r="I5" s="1735"/>
      <c r="J5" s="1735"/>
      <c r="K5" s="1735"/>
      <c r="L5" s="1735"/>
      <c r="M5" s="1735"/>
      <c r="N5" s="1735"/>
      <c r="O5" s="1735"/>
      <c r="P5" s="1735"/>
      <c r="Q5" s="1735"/>
      <c r="R5" s="1735"/>
      <c r="S5" s="1735"/>
      <c r="T5" s="1735"/>
      <c r="U5" s="1735"/>
      <c r="V5" s="1735"/>
      <c r="W5" s="1735"/>
      <c r="X5" s="1736"/>
      <c r="AB5" s="892" t="s">
        <v>751</v>
      </c>
      <c r="AC5" s="892" t="s">
        <v>752</v>
      </c>
      <c r="AD5" s="892">
        <v>1</v>
      </c>
      <c r="AF5" s="889" t="s">
        <v>753</v>
      </c>
      <c r="AG5" s="931">
        <f ca="1">SUMIF(B11:H17,"*要介護*",R11:R17)-SUMIF(I11:N17,"*延長*",R11:R17)</f>
        <v>20</v>
      </c>
      <c r="AH5" s="486" t="s">
        <v>2007</v>
      </c>
    </row>
    <row r="6" spans="1:37" ht="19.350000000000001" customHeight="1" thickBot="1">
      <c r="A6" s="1731"/>
      <c r="B6" s="1732"/>
      <c r="C6" s="1733"/>
      <c r="D6" s="1707" t="s">
        <v>2038</v>
      </c>
      <c r="E6" s="1708"/>
      <c r="F6" s="1709"/>
      <c r="G6" s="1707" t="s">
        <v>2159</v>
      </c>
      <c r="H6" s="1708"/>
      <c r="I6" s="1708"/>
      <c r="J6" s="1709"/>
      <c r="K6" s="1706" t="s">
        <v>2160</v>
      </c>
      <c r="L6" s="1706"/>
      <c r="M6" s="1706"/>
      <c r="N6" s="1706"/>
      <c r="O6" s="1706"/>
      <c r="P6" s="1706"/>
      <c r="Q6" s="1706"/>
      <c r="R6" s="1706"/>
      <c r="S6" s="1706"/>
      <c r="T6" s="1706"/>
      <c r="U6" s="1706" t="s">
        <v>2011</v>
      </c>
      <c r="V6" s="1706"/>
      <c r="W6" s="1706"/>
      <c r="X6" s="1706"/>
      <c r="AB6" s="892" t="s">
        <v>747</v>
      </c>
      <c r="AC6" s="892" t="s">
        <v>756</v>
      </c>
      <c r="AD6" s="892">
        <v>0.9</v>
      </c>
      <c r="AF6" s="890" t="s">
        <v>840</v>
      </c>
      <c r="AG6" s="931">
        <f ca="1">SUMIF(B11:H17,"*要介護*",T11:X17)-SUMIF(I11:N17,"*延長*",T11:X17)</f>
        <v>23360</v>
      </c>
      <c r="AH6" s="486" t="s">
        <v>2008</v>
      </c>
    </row>
    <row r="7" spans="1:37" s="894" customFormat="1" ht="19.350000000000001" customHeight="1">
      <c r="A7" s="1737" t="s">
        <v>790</v>
      </c>
      <c r="B7" s="1738"/>
      <c r="C7" s="1739"/>
      <c r="D7" s="1710"/>
      <c r="E7" s="1711"/>
      <c r="F7" s="1712"/>
      <c r="G7" s="1710"/>
      <c r="H7" s="1711"/>
      <c r="I7" s="1711"/>
      <c r="J7" s="1712"/>
      <c r="K7" s="1706"/>
      <c r="L7" s="1706"/>
      <c r="M7" s="1706"/>
      <c r="N7" s="1706"/>
      <c r="O7" s="1706"/>
      <c r="P7" s="1706"/>
      <c r="Q7" s="1706"/>
      <c r="R7" s="1706"/>
      <c r="S7" s="1706"/>
      <c r="T7" s="1706"/>
      <c r="U7" s="1706"/>
      <c r="V7" s="1706"/>
      <c r="W7" s="1706"/>
      <c r="X7" s="1706"/>
      <c r="AB7" s="892" t="s">
        <v>759</v>
      </c>
      <c r="AC7" s="892" t="s">
        <v>760</v>
      </c>
      <c r="AD7" s="892">
        <v>0.8</v>
      </c>
      <c r="AG7" s="932">
        <f ca="1">SUMIF(B11:H17,"*要介護*",T11:X17)+V22</f>
        <v>47720</v>
      </c>
      <c r="AH7" s="486" t="s">
        <v>2009</v>
      </c>
    </row>
    <row r="8" spans="1:37" ht="19.350000000000001" customHeight="1">
      <c r="A8" s="1740"/>
      <c r="B8" s="1741"/>
      <c r="C8" s="1742"/>
      <c r="D8" s="1713" t="str">
        <f>IF(AA14=0,AB14,VLOOKUP(1,AA11:AC13,2,FALSE))</f>
        <v>（Ⅱ）</v>
      </c>
      <c r="E8" s="1714"/>
      <c r="F8" s="1715"/>
      <c r="G8" s="1716" t="str">
        <f>IF(AA22=0,AB22,VLOOKUP(1,AA19:AC21,2,FALSE))</f>
        <v>算定なし</v>
      </c>
      <c r="H8" s="1717"/>
      <c r="I8" s="1717"/>
      <c r="J8" s="1718"/>
      <c r="K8" s="1716" t="str">
        <f>IF(【マスター】!C76="有","有","算定なし")</f>
        <v>算定なし</v>
      </c>
      <c r="L8" s="1717"/>
      <c r="M8" s="1717"/>
      <c r="N8" s="1718"/>
      <c r="O8" s="1743"/>
      <c r="P8" s="1743"/>
      <c r="Q8" s="1743"/>
      <c r="R8" s="1705"/>
      <c r="S8" s="1705"/>
      <c r="T8" s="1705"/>
      <c r="U8" s="1745" t="s">
        <v>2012</v>
      </c>
      <c r="V8" s="1745"/>
      <c r="W8" s="1745"/>
      <c r="X8" s="1745"/>
      <c r="AB8" s="892" t="s">
        <v>761</v>
      </c>
      <c r="AC8" s="892" t="s">
        <v>762</v>
      </c>
      <c r="AD8" s="892">
        <v>0.7</v>
      </c>
    </row>
    <row r="9" spans="1:37" ht="10.35" customHeight="1"/>
    <row r="10" spans="1:37" s="896" customFormat="1" ht="19.350000000000001" customHeight="1">
      <c r="A10" s="895" t="s">
        <v>763</v>
      </c>
      <c r="B10" s="1642" t="s">
        <v>764</v>
      </c>
      <c r="C10" s="1642"/>
      <c r="D10" s="1642"/>
      <c r="E10" s="1642"/>
      <c r="F10" s="1642"/>
      <c r="G10" s="1642"/>
      <c r="H10" s="1642"/>
      <c r="I10" s="1665" t="s">
        <v>765</v>
      </c>
      <c r="J10" s="1666"/>
      <c r="K10" s="1666"/>
      <c r="L10" s="1666"/>
      <c r="M10" s="1666"/>
      <c r="N10" s="1667"/>
      <c r="O10" s="1665" t="s">
        <v>766</v>
      </c>
      <c r="P10" s="1666"/>
      <c r="Q10" s="1667"/>
      <c r="R10" s="1642" t="s">
        <v>767</v>
      </c>
      <c r="S10" s="1642"/>
      <c r="T10" s="1642" t="s">
        <v>768</v>
      </c>
      <c r="U10" s="1642"/>
      <c r="V10" s="1642"/>
      <c r="W10" s="1642"/>
      <c r="X10" s="1642"/>
      <c r="AA10" s="896" t="s">
        <v>769</v>
      </c>
      <c r="AF10" s="896" t="s">
        <v>770</v>
      </c>
      <c r="AG10" s="889"/>
      <c r="AH10" s="889"/>
      <c r="AI10" s="889"/>
      <c r="AJ10" s="889"/>
    </row>
    <row r="11" spans="1:37" ht="19.350000000000001" customHeight="1">
      <c r="A11" s="892">
        <f>IF(B11="","",1)</f>
        <v>1</v>
      </c>
      <c r="B11" s="1719" t="s">
        <v>901</v>
      </c>
      <c r="C11" s="1719"/>
      <c r="D11" s="1719"/>
      <c r="E11" s="1719"/>
      <c r="F11" s="1719"/>
      <c r="G11" s="1719"/>
      <c r="H11" s="1719"/>
      <c r="I11" s="1671" t="str">
        <f t="shared" ref="I11:I17" si="0">IF(B11="","",VLOOKUP(B11,$AF$11:$AI$188,2,FALSE))</f>
        <v>通所介護Ⅰ６５</v>
      </c>
      <c r="J11" s="1672"/>
      <c r="K11" s="1672"/>
      <c r="L11" s="1672"/>
      <c r="M11" s="1672"/>
      <c r="N11" s="1673"/>
      <c r="O11" s="1674">
        <f t="shared" ref="O11:O17" si="1">IF(B11="","",VLOOKUP(B11,$AF$11:$AI$188,3,FALSE))</f>
        <v>1168</v>
      </c>
      <c r="P11" s="1675"/>
      <c r="Q11" s="1676"/>
      <c r="R11" s="897">
        <v>20</v>
      </c>
      <c r="S11" s="898" t="str">
        <f t="shared" ref="S11:S17" si="2">IF(B11="","",VLOOKUP(B11,$AF$11:$AI$188,4,FALSE))</f>
        <v>回</v>
      </c>
      <c r="T11" s="1677">
        <f>IF(B11="","",O11*R11)</f>
        <v>23360</v>
      </c>
      <c r="U11" s="1677"/>
      <c r="V11" s="1677"/>
      <c r="W11" s="1677"/>
      <c r="X11" s="1677"/>
      <c r="AA11" s="899">
        <f>IF(【マスター】!C73="有",1,0)</f>
        <v>0</v>
      </c>
      <c r="AB11" s="892" t="s">
        <v>772</v>
      </c>
      <c r="AC11" s="354" t="str">
        <f>LEFT(【マスター】!$D$73,3)&amp;"%"</f>
        <v>9.2%</v>
      </c>
      <c r="AD11" s="354">
        <f>AC11*1</f>
        <v>9.1999999999999998E-2</v>
      </c>
      <c r="AE11" s="896" t="s">
        <v>749</v>
      </c>
      <c r="AF11" s="900" t="s">
        <v>773</v>
      </c>
      <c r="AG11" s="900" t="s">
        <v>765</v>
      </c>
      <c r="AH11" s="900" t="s">
        <v>766</v>
      </c>
      <c r="AI11" s="900" t="s">
        <v>767</v>
      </c>
      <c r="AJ11" s="900" t="s">
        <v>774</v>
      </c>
    </row>
    <row r="12" spans="1:37" ht="18.75" customHeight="1">
      <c r="A12" s="892">
        <f>IF(B12="","",2)</f>
        <v>2</v>
      </c>
      <c r="B12" s="1668" t="s">
        <v>2002</v>
      </c>
      <c r="C12" s="1669"/>
      <c r="D12" s="1669"/>
      <c r="E12" s="1669"/>
      <c r="F12" s="1669"/>
      <c r="G12" s="1669"/>
      <c r="H12" s="1670"/>
      <c r="I12" s="1671" t="str">
        <f t="shared" si="0"/>
        <v>地域通所介護延長サービス加算1</v>
      </c>
      <c r="J12" s="1672"/>
      <c r="K12" s="1672"/>
      <c r="L12" s="1672"/>
      <c r="M12" s="1672"/>
      <c r="N12" s="1673"/>
      <c r="O12" s="1674">
        <f t="shared" si="1"/>
        <v>1218</v>
      </c>
      <c r="P12" s="1675"/>
      <c r="Q12" s="1676"/>
      <c r="R12" s="897">
        <v>20</v>
      </c>
      <c r="S12" s="898" t="str">
        <f t="shared" si="2"/>
        <v>回</v>
      </c>
      <c r="T12" s="1677">
        <f t="shared" ref="T12:T17" si="3">IF(B12="","",O12*R12)</f>
        <v>24360</v>
      </c>
      <c r="U12" s="1677"/>
      <c r="V12" s="1677"/>
      <c r="W12" s="1677"/>
      <c r="X12" s="1677"/>
      <c r="AA12" s="899">
        <f>IF(【マスター】!C74="有",1,0)</f>
        <v>1</v>
      </c>
      <c r="AB12" s="892" t="s">
        <v>775</v>
      </c>
      <c r="AC12" s="354" t="str">
        <f>LEFT(【マスター】!$D$74,3)&amp;"%"</f>
        <v>9.0%</v>
      </c>
      <c r="AD12" s="354">
        <f>AC12*1</f>
        <v>0.09</v>
      </c>
      <c r="AE12" s="889" t="s">
        <v>770</v>
      </c>
      <c r="AF12" s="892" t="s">
        <v>776</v>
      </c>
      <c r="AG12" s="892" t="s">
        <v>1873</v>
      </c>
      <c r="AH12" s="950">
        <f>AH14*0.7</f>
        <v>271.59999999999997</v>
      </c>
      <c r="AI12" s="892" t="s">
        <v>778</v>
      </c>
      <c r="AJ12" s="892"/>
      <c r="AK12" s="810"/>
    </row>
    <row r="13" spans="1:37" ht="19.350000000000001" customHeight="1">
      <c r="A13" s="892">
        <f>IF(B13="","",3)</f>
        <v>3</v>
      </c>
      <c r="B13" s="1668" t="s">
        <v>1846</v>
      </c>
      <c r="C13" s="1669"/>
      <c r="D13" s="1669"/>
      <c r="E13" s="1669"/>
      <c r="F13" s="1669"/>
      <c r="G13" s="1669"/>
      <c r="H13" s="1670"/>
      <c r="I13" s="1671" t="str">
        <f t="shared" si="0"/>
        <v>入浴介助加算（Ⅰ）</v>
      </c>
      <c r="J13" s="1672"/>
      <c r="K13" s="1672"/>
      <c r="L13" s="1672"/>
      <c r="M13" s="1672"/>
      <c r="N13" s="1673"/>
      <c r="O13" s="1674" t="str">
        <f t="shared" si="1"/>
        <v>40</v>
      </c>
      <c r="P13" s="1675"/>
      <c r="Q13" s="1676"/>
      <c r="R13" s="897">
        <v>20</v>
      </c>
      <c r="S13" s="898" t="str">
        <f t="shared" si="2"/>
        <v>日</v>
      </c>
      <c r="T13" s="1677">
        <f t="shared" si="3"/>
        <v>800</v>
      </c>
      <c r="U13" s="1677"/>
      <c r="V13" s="1677"/>
      <c r="W13" s="1677"/>
      <c r="X13" s="1677"/>
      <c r="AA13" s="899">
        <f>IF(【マスター】!C75="有",1,0)</f>
        <v>0</v>
      </c>
      <c r="AB13" s="892" t="s">
        <v>779</v>
      </c>
      <c r="AC13" s="354" t="str">
        <f>LEFT(【マスター】!$D$75,3)&amp;"%"</f>
        <v>8.0%</v>
      </c>
      <c r="AD13" s="354">
        <f>AC13*1</f>
        <v>0.08</v>
      </c>
      <c r="AE13" s="889" t="s">
        <v>780</v>
      </c>
      <c r="AF13" s="892" t="s">
        <v>781</v>
      </c>
      <c r="AG13" s="892" t="s">
        <v>1874</v>
      </c>
      <c r="AH13" s="950">
        <f>【マスター】!V18</f>
        <v>370</v>
      </c>
      <c r="AI13" s="892" t="s">
        <v>778</v>
      </c>
      <c r="AJ13" s="892"/>
      <c r="AK13" s="810"/>
    </row>
    <row r="14" spans="1:37" ht="19.350000000000001" customHeight="1">
      <c r="A14" s="892">
        <f>IF(B14="","",4)</f>
        <v>4</v>
      </c>
      <c r="B14" s="1668" t="s">
        <v>1990</v>
      </c>
      <c r="C14" s="1669"/>
      <c r="D14" s="1669"/>
      <c r="E14" s="1669"/>
      <c r="F14" s="1669"/>
      <c r="G14" s="1669"/>
      <c r="H14" s="1670"/>
      <c r="I14" s="1671" t="str">
        <f t="shared" si="0"/>
        <v>生活機能向上連携加算（Ⅰ）※3か月に1回程度</v>
      </c>
      <c r="J14" s="1672"/>
      <c r="K14" s="1672"/>
      <c r="L14" s="1672"/>
      <c r="M14" s="1672"/>
      <c r="N14" s="1673"/>
      <c r="O14" s="1674" t="str">
        <f t="shared" si="1"/>
        <v>100</v>
      </c>
      <c r="P14" s="1675"/>
      <c r="Q14" s="1676"/>
      <c r="R14" s="897">
        <v>20</v>
      </c>
      <c r="S14" s="898" t="str">
        <f t="shared" si="2"/>
        <v>月</v>
      </c>
      <c r="T14" s="1677">
        <f t="shared" si="3"/>
        <v>2000</v>
      </c>
      <c r="U14" s="1677"/>
      <c r="V14" s="1677"/>
      <c r="W14" s="1677"/>
      <c r="X14" s="1677"/>
      <c r="Z14" s="889">
        <f>IF(B14="","",VLOOKUP(B14,$AF$11:$AK$156,6,FALSE))</f>
        <v>0</v>
      </c>
      <c r="AA14" s="892">
        <f>SUM(AA11:AA13)</f>
        <v>1</v>
      </c>
      <c r="AB14" s="892" t="s">
        <v>788</v>
      </c>
      <c r="AC14" s="892" t="s">
        <v>789</v>
      </c>
      <c r="AD14" s="892">
        <v>0</v>
      </c>
      <c r="AE14" s="889" t="s">
        <v>758</v>
      </c>
      <c r="AF14" s="892" t="s">
        <v>783</v>
      </c>
      <c r="AG14" s="892" t="s">
        <v>784</v>
      </c>
      <c r="AH14" s="950">
        <f>【マスター】!AA18</f>
        <v>388</v>
      </c>
      <c r="AI14" s="892" t="s">
        <v>778</v>
      </c>
      <c r="AJ14" s="892"/>
      <c r="AK14" s="810"/>
    </row>
    <row r="15" spans="1:37" ht="19.350000000000001" customHeight="1" thickBot="1">
      <c r="A15" s="892">
        <f>IF(B15="","",5)</f>
        <v>5</v>
      </c>
      <c r="B15" s="1668" t="s">
        <v>171</v>
      </c>
      <c r="C15" s="1669"/>
      <c r="D15" s="1669"/>
      <c r="E15" s="1669"/>
      <c r="F15" s="1669"/>
      <c r="G15" s="1669"/>
      <c r="H15" s="1670"/>
      <c r="I15" s="1671" t="str">
        <f t="shared" si="0"/>
        <v>送迎減算※片道につき</v>
      </c>
      <c r="J15" s="1672"/>
      <c r="K15" s="1672"/>
      <c r="L15" s="1672"/>
      <c r="M15" s="1672"/>
      <c r="N15" s="1673"/>
      <c r="O15" s="1674" t="str">
        <f t="shared" si="1"/>
        <v>-47</v>
      </c>
      <c r="P15" s="1675"/>
      <c r="Q15" s="1676"/>
      <c r="R15" s="897">
        <v>40</v>
      </c>
      <c r="S15" s="898" t="str">
        <f t="shared" si="2"/>
        <v>回</v>
      </c>
      <c r="T15" s="1677">
        <f t="shared" si="3"/>
        <v>-1880</v>
      </c>
      <c r="U15" s="1677"/>
      <c r="V15" s="1677"/>
      <c r="W15" s="1677"/>
      <c r="X15" s="1677"/>
      <c r="Z15" s="889">
        <f>IF(B15="","",VLOOKUP(B15,$AF$11:$AK$156,6,FALSE))</f>
        <v>0</v>
      </c>
      <c r="AD15" s="902">
        <f>VLOOKUP(D8,AB11:AD14,3,FALSE)</f>
        <v>0.09</v>
      </c>
      <c r="AE15" s="889" t="s">
        <v>785</v>
      </c>
      <c r="AF15" s="892" t="s">
        <v>786</v>
      </c>
      <c r="AG15" s="892" t="s">
        <v>787</v>
      </c>
      <c r="AH15" s="950">
        <f>【マスター】!AF18</f>
        <v>570</v>
      </c>
      <c r="AI15" s="892" t="s">
        <v>778</v>
      </c>
      <c r="AJ15" s="892"/>
      <c r="AK15" s="810"/>
    </row>
    <row r="16" spans="1:37" ht="19.350000000000001" customHeight="1" thickTop="1">
      <c r="A16" s="892">
        <f>IF(B16="","",6)</f>
        <v>6</v>
      </c>
      <c r="B16" s="1668" t="s">
        <v>2080</v>
      </c>
      <c r="C16" s="1669"/>
      <c r="D16" s="1669"/>
      <c r="E16" s="1669"/>
      <c r="F16" s="1669"/>
      <c r="G16" s="1669"/>
      <c r="H16" s="1670"/>
      <c r="I16" s="1671" t="str">
        <f t="shared" si="0"/>
        <v>同一建物減算</v>
      </c>
      <c r="J16" s="1672"/>
      <c r="K16" s="1672"/>
      <c r="L16" s="1672"/>
      <c r="M16" s="1672"/>
      <c r="N16" s="1673"/>
      <c r="O16" s="1674" t="str">
        <f t="shared" si="1"/>
        <v>-94</v>
      </c>
      <c r="P16" s="1675"/>
      <c r="Q16" s="1676"/>
      <c r="R16" s="897">
        <v>20</v>
      </c>
      <c r="S16" s="898" t="str">
        <f t="shared" si="2"/>
        <v>日</v>
      </c>
      <c r="T16" s="1677">
        <f t="shared" si="3"/>
        <v>-1880</v>
      </c>
      <c r="U16" s="1677"/>
      <c r="V16" s="1677"/>
      <c r="W16" s="1677"/>
      <c r="X16" s="1677"/>
      <c r="Z16" s="889">
        <f>IF(B16="","",VLOOKUP(B16,$AF$11:$AK$156,6,FALSE))</f>
        <v>0</v>
      </c>
      <c r="AD16" s="903" t="s">
        <v>795</v>
      </c>
      <c r="AE16" s="889" t="s">
        <v>790</v>
      </c>
      <c r="AF16" s="892" t="s">
        <v>791</v>
      </c>
      <c r="AG16" s="892" t="s">
        <v>792</v>
      </c>
      <c r="AH16" s="950">
        <f>【マスター】!AK18</f>
        <v>584</v>
      </c>
      <c r="AI16" s="892" t="s">
        <v>778</v>
      </c>
      <c r="AJ16" s="892"/>
      <c r="AK16" s="810"/>
    </row>
    <row r="17" spans="1:41" ht="19.350000000000001" customHeight="1">
      <c r="A17" s="892" t="str">
        <f>IF(B17="","",7)</f>
        <v/>
      </c>
      <c r="B17" s="1668"/>
      <c r="C17" s="1669"/>
      <c r="D17" s="1669"/>
      <c r="E17" s="1669"/>
      <c r="F17" s="1669"/>
      <c r="G17" s="1669"/>
      <c r="H17" s="1670"/>
      <c r="I17" s="1671" t="str">
        <f t="shared" si="0"/>
        <v/>
      </c>
      <c r="J17" s="1672"/>
      <c r="K17" s="1672"/>
      <c r="L17" s="1672"/>
      <c r="M17" s="1672"/>
      <c r="N17" s="1673"/>
      <c r="O17" s="1674" t="str">
        <f t="shared" si="1"/>
        <v/>
      </c>
      <c r="P17" s="1675"/>
      <c r="Q17" s="1676"/>
      <c r="R17" s="897"/>
      <c r="S17" s="898" t="str">
        <f t="shared" si="2"/>
        <v/>
      </c>
      <c r="T17" s="1677" t="str">
        <f t="shared" si="3"/>
        <v/>
      </c>
      <c r="U17" s="1677"/>
      <c r="V17" s="1677"/>
      <c r="W17" s="1677"/>
      <c r="X17" s="1677"/>
      <c r="Z17" s="889" t="str">
        <f>IF(B17="","",VLOOKUP(B17,$AF$11:$AK$156,6,FALSE))</f>
        <v/>
      </c>
      <c r="AD17" s="905" t="s">
        <v>799</v>
      </c>
      <c r="AF17" s="892" t="s">
        <v>793</v>
      </c>
      <c r="AG17" s="892" t="s">
        <v>794</v>
      </c>
      <c r="AH17" s="950">
        <f>【マスター】!AP18</f>
        <v>658</v>
      </c>
      <c r="AI17" s="892" t="s">
        <v>778</v>
      </c>
      <c r="AJ17" s="892"/>
      <c r="AK17" s="810"/>
    </row>
    <row r="18" spans="1:41" ht="19.350000000000001" customHeight="1">
      <c r="O18" s="1638" t="s">
        <v>798</v>
      </c>
      <c r="P18" s="1638"/>
      <c r="Q18" s="1638"/>
      <c r="R18" s="1638"/>
      <c r="S18" s="1638"/>
      <c r="T18" s="1722">
        <f>IF(T11="","",SUM(T11:X17))</f>
        <v>46760</v>
      </c>
      <c r="U18" s="1723"/>
      <c r="V18" s="1723"/>
      <c r="W18" s="1723"/>
      <c r="X18" s="1724"/>
      <c r="AA18" s="896" t="s">
        <v>805</v>
      </c>
      <c r="AB18" s="904"/>
      <c r="AC18" s="904"/>
      <c r="AF18" s="892" t="s">
        <v>796</v>
      </c>
      <c r="AG18" s="892" t="s">
        <v>797</v>
      </c>
      <c r="AH18" s="950">
        <f>【マスター】!AU18</f>
        <v>669</v>
      </c>
      <c r="AI18" s="892" t="s">
        <v>778</v>
      </c>
      <c r="AJ18" s="892"/>
      <c r="AK18" s="810"/>
    </row>
    <row r="19" spans="1:41" ht="19.350000000000001" customHeight="1">
      <c r="A19" s="489" t="s">
        <v>801</v>
      </c>
      <c r="B19" s="489"/>
      <c r="C19" s="489"/>
      <c r="D19" s="489"/>
      <c r="E19" s="489" t="s">
        <v>802</v>
      </c>
      <c r="F19" s="489"/>
      <c r="G19" s="489"/>
      <c r="H19" s="489" t="s">
        <v>384</v>
      </c>
      <c r="I19" s="489"/>
      <c r="J19" s="489"/>
      <c r="K19" s="489" t="s">
        <v>386</v>
      </c>
      <c r="L19" s="489"/>
      <c r="M19" s="489"/>
      <c r="N19" s="489" t="s">
        <v>388</v>
      </c>
      <c r="O19" s="489"/>
      <c r="P19" s="489"/>
      <c r="Q19" s="489" t="s">
        <v>390</v>
      </c>
      <c r="R19" s="489"/>
      <c r="S19" s="489"/>
      <c r="T19" s="489" t="s">
        <v>481</v>
      </c>
      <c r="U19" s="489"/>
      <c r="V19" s="489"/>
      <c r="W19" s="489"/>
      <c r="X19" s="489"/>
      <c r="AA19" s="899">
        <f>IF(【マスター】!C57="有",1,0)</f>
        <v>0</v>
      </c>
      <c r="AB19" s="892" t="s">
        <v>1998</v>
      </c>
      <c r="AC19" s="952" t="str">
        <f>ASC(【マスター】!D57)</f>
        <v>22</v>
      </c>
      <c r="AD19" s="904"/>
      <c r="AF19" s="906" t="s">
        <v>1952</v>
      </c>
      <c r="AG19" s="892" t="s">
        <v>1953</v>
      </c>
      <c r="AH19" s="950">
        <f>AH18+50</f>
        <v>719</v>
      </c>
      <c r="AI19" s="892" t="s">
        <v>778</v>
      </c>
      <c r="AJ19" s="892"/>
      <c r="AK19" s="810"/>
    </row>
    <row r="20" spans="1:41" s="904" customFormat="1" ht="19.350000000000001" customHeight="1">
      <c r="A20" s="1597" t="s">
        <v>806</v>
      </c>
      <c r="B20" s="1699"/>
      <c r="C20" s="1700"/>
      <c r="D20" s="1603" t="s">
        <v>807</v>
      </c>
      <c r="E20" s="1610" t="s">
        <v>769</v>
      </c>
      <c r="F20" s="1611"/>
      <c r="G20" s="1612"/>
      <c r="H20" s="1623" t="s">
        <v>2003</v>
      </c>
      <c r="I20" s="1624"/>
      <c r="J20" s="1625"/>
      <c r="K20" s="1626" t="s">
        <v>2004</v>
      </c>
      <c r="L20" s="1627"/>
      <c r="M20" s="1628"/>
      <c r="N20" s="1632" t="s">
        <v>2005</v>
      </c>
      <c r="O20" s="1633"/>
      <c r="P20" s="1634"/>
      <c r="Q20" s="1626"/>
      <c r="R20" s="1627"/>
      <c r="S20" s="1628"/>
      <c r="T20" s="1632"/>
      <c r="U20" s="1633"/>
      <c r="V20" s="1634"/>
      <c r="W20" s="1720" t="s">
        <v>2031</v>
      </c>
      <c r="X20" s="1721"/>
      <c r="AA20" s="899">
        <f>IF(【マスター】!C58="有",1,0)</f>
        <v>0</v>
      </c>
      <c r="AB20" s="899" t="s">
        <v>1999</v>
      </c>
      <c r="AC20" s="952" t="str">
        <f>ASC(【マスター】!D58)</f>
        <v>18</v>
      </c>
      <c r="AD20" s="889"/>
      <c r="AE20" s="889"/>
      <c r="AF20" s="906" t="s">
        <v>1954</v>
      </c>
      <c r="AG20" s="892" t="s">
        <v>1955</v>
      </c>
      <c r="AH20" s="950">
        <f>AH19+50</f>
        <v>769</v>
      </c>
      <c r="AI20" s="892" t="s">
        <v>778</v>
      </c>
      <c r="AJ20" s="892"/>
      <c r="AK20" s="810"/>
    </row>
    <row r="21" spans="1:41" ht="19.350000000000001" customHeight="1">
      <c r="A21" s="1701"/>
      <c r="B21" s="1702"/>
      <c r="C21" s="1703"/>
      <c r="D21" s="1603"/>
      <c r="E21" s="1607" t="str">
        <f>"("&amp;IF(AA14=0,AB14,VLOOKUP(1,AA11:AC13,3,FALSE))&amp;")"</f>
        <v>(9.0%)</v>
      </c>
      <c r="F21" s="1608"/>
      <c r="G21" s="1609"/>
      <c r="H21" s="1607" t="str">
        <f>IF(G8="算定なし","算定なし","("&amp;VLOOKUP(O8,AB19:AC22,2,FALSE)&amp;"単位/回"&amp;")")</f>
        <v>算定なし</v>
      </c>
      <c r="I21" s="1608"/>
      <c r="J21" s="1609"/>
      <c r="K21" s="1629"/>
      <c r="L21" s="1630"/>
      <c r="M21" s="1631"/>
      <c r="N21" s="1635"/>
      <c r="O21" s="1636"/>
      <c r="P21" s="1637"/>
      <c r="Q21" s="1629"/>
      <c r="R21" s="1630"/>
      <c r="S21" s="1631"/>
      <c r="T21" s="1635"/>
      <c r="U21" s="1636"/>
      <c r="V21" s="1637"/>
      <c r="W21" s="1720"/>
      <c r="X21" s="1721"/>
      <c r="AA21" s="899">
        <f>IF(【マスター】!C59="有",1,0)</f>
        <v>0</v>
      </c>
      <c r="AB21" s="892" t="s">
        <v>2000</v>
      </c>
      <c r="AC21" s="952" t="str">
        <f>ASC(【マスター】!D59)</f>
        <v>6</v>
      </c>
      <c r="AF21" s="906" t="s">
        <v>1956</v>
      </c>
      <c r="AG21" s="892" t="s">
        <v>1957</v>
      </c>
      <c r="AH21" s="950">
        <f>AH20+50</f>
        <v>819</v>
      </c>
      <c r="AI21" s="892" t="s">
        <v>778</v>
      </c>
      <c r="AJ21" s="907"/>
      <c r="AK21" s="810"/>
    </row>
    <row r="22" spans="1:41" ht="19.350000000000001" customHeight="1">
      <c r="A22" s="1704">
        <f>IF(T18="","",IF(T18&gt;AC30,AC30,T18))</f>
        <v>36217</v>
      </c>
      <c r="B22" s="1705"/>
      <c r="C22" s="1705"/>
      <c r="D22" s="1603"/>
      <c r="E22" s="1619">
        <f>IF(T18="","",ROUND(A22*AD15,0))</f>
        <v>3260</v>
      </c>
      <c r="F22" s="1619"/>
      <c r="G22" s="1619"/>
      <c r="H22" s="1620">
        <f>IF(T18="","",ROUND(A22*AD45,0))</f>
        <v>0</v>
      </c>
      <c r="I22" s="1621"/>
      <c r="J22" s="1622"/>
      <c r="K22" s="1620">
        <f>IF(R8="有",AG7*0.05,0)</f>
        <v>0</v>
      </c>
      <c r="L22" s="1621"/>
      <c r="M22" s="1622"/>
      <c r="N22" s="1620">
        <f ca="1">IF(U8="有",AG6*0.03,0)</f>
        <v>700.8</v>
      </c>
      <c r="O22" s="1621"/>
      <c r="P22" s="1622"/>
      <c r="Q22" s="1620"/>
      <c r="R22" s="1621"/>
      <c r="S22" s="1622"/>
      <c r="T22" s="1620"/>
      <c r="U22" s="1621"/>
      <c r="V22" s="1622"/>
      <c r="W22" s="1720"/>
      <c r="X22" s="1721"/>
      <c r="AA22" s="892">
        <f>SUM(AA19:AA21)</f>
        <v>0</v>
      </c>
      <c r="AB22" s="892" t="s">
        <v>788</v>
      </c>
      <c r="AC22" s="892">
        <v>0</v>
      </c>
      <c r="AD22" s="908"/>
      <c r="AF22" s="906" t="s">
        <v>1958</v>
      </c>
      <c r="AG22" s="892" t="s">
        <v>1959</v>
      </c>
      <c r="AH22" s="950">
        <f>AH21+50</f>
        <v>869</v>
      </c>
      <c r="AI22" s="892" t="s">
        <v>778</v>
      </c>
      <c r="AJ22" s="892"/>
      <c r="AK22" s="810"/>
    </row>
    <row r="23" spans="1:41" ht="19.350000000000001" customHeight="1">
      <c r="A23" s="489" t="s">
        <v>483</v>
      </c>
      <c r="B23" s="489"/>
      <c r="C23" s="489"/>
      <c r="D23" s="930"/>
      <c r="E23" s="930"/>
      <c r="F23" s="930"/>
      <c r="G23" s="930"/>
      <c r="H23" s="930"/>
      <c r="I23" s="930"/>
      <c r="J23" s="930" t="s">
        <v>2032</v>
      </c>
      <c r="K23" s="930"/>
      <c r="L23" s="930"/>
      <c r="M23" s="930"/>
      <c r="N23" s="486"/>
      <c r="X23" s="783"/>
      <c r="AB23" s="486" t="e">
        <f ca="1">AC23*AG5</f>
        <v>#N/A</v>
      </c>
      <c r="AC23" s="501" t="e">
        <f>VLOOKUP(O8,AB19:AC22,2,FALSE)</f>
        <v>#N/A</v>
      </c>
      <c r="AF23" s="906" t="s">
        <v>1960</v>
      </c>
      <c r="AG23" s="892" t="s">
        <v>1961</v>
      </c>
      <c r="AH23" s="950">
        <f>AH22+50</f>
        <v>919</v>
      </c>
      <c r="AI23" s="892" t="s">
        <v>778</v>
      </c>
      <c r="AJ23" s="892"/>
      <c r="AK23" s="810"/>
    </row>
    <row r="24" spans="1:41" s="908" customFormat="1" ht="19.350000000000001" customHeight="1">
      <c r="A24" s="1597" t="s">
        <v>2006</v>
      </c>
      <c r="B24" s="1598"/>
      <c r="C24" s="1598"/>
      <c r="D24" s="1599"/>
      <c r="E24" s="1603" t="s">
        <v>810</v>
      </c>
      <c r="F24" s="1604" t="s">
        <v>504</v>
      </c>
      <c r="G24" s="1605"/>
      <c r="H24" s="1606"/>
      <c r="I24" s="1603" t="s">
        <v>809</v>
      </c>
      <c r="J24" s="1610" t="s">
        <v>811</v>
      </c>
      <c r="K24" s="1611"/>
      <c r="L24" s="1612"/>
      <c r="M24" s="929"/>
      <c r="N24" s="486"/>
      <c r="X24" s="783"/>
      <c r="AA24" s="896"/>
      <c r="AB24" s="889"/>
      <c r="AC24" s="889"/>
      <c r="AD24" s="889"/>
      <c r="AE24" s="889"/>
      <c r="AF24" s="906" t="s">
        <v>1861</v>
      </c>
      <c r="AG24" s="892" t="s">
        <v>1861</v>
      </c>
      <c r="AH24" s="892" t="str">
        <f>ASC(【マスター】!$D$49)</f>
        <v>40</v>
      </c>
      <c r="AI24" s="892" t="s">
        <v>1906</v>
      </c>
      <c r="AJ24" s="892"/>
    </row>
    <row r="25" spans="1:41" ht="18.75" customHeight="1">
      <c r="A25" s="1600"/>
      <c r="B25" s="1601"/>
      <c r="C25" s="1601"/>
      <c r="D25" s="1602"/>
      <c r="E25" s="1603"/>
      <c r="F25" s="1607"/>
      <c r="G25" s="1608"/>
      <c r="H25" s="1609"/>
      <c r="I25" s="1603"/>
      <c r="J25" s="1607" t="s">
        <v>812</v>
      </c>
      <c r="K25" s="1608"/>
      <c r="L25" s="1609"/>
      <c r="M25" s="929"/>
      <c r="N25" s="486"/>
      <c r="X25" s="783"/>
      <c r="AA25" s="896"/>
      <c r="AB25" s="892" t="s">
        <v>770</v>
      </c>
      <c r="AC25" s="911">
        <f>【マスター】!Q37</f>
        <v>16765</v>
      </c>
      <c r="AF25" s="906" t="s">
        <v>1862</v>
      </c>
      <c r="AG25" s="892" t="s">
        <v>1862</v>
      </c>
      <c r="AH25" s="892" t="str">
        <f>ASC(【マスター】!$D$50)</f>
        <v>55</v>
      </c>
      <c r="AI25" s="892" t="s">
        <v>1906</v>
      </c>
      <c r="AJ25" s="892"/>
      <c r="AK25" s="908"/>
    </row>
    <row r="26" spans="1:41" ht="19.350000000000001" customHeight="1">
      <c r="A26" s="1613">
        <f ca="1">IF(T18="","",A22+E22+H22+K22+N22+Q22+T22)</f>
        <v>40177.800000000003</v>
      </c>
      <c r="B26" s="1614"/>
      <c r="C26" s="1614"/>
      <c r="D26" s="1615"/>
      <c r="E26" s="1603"/>
      <c r="F26" s="1616">
        <f>【マスター】!F39</f>
        <v>10.14</v>
      </c>
      <c r="G26" s="1617"/>
      <c r="H26" s="1618"/>
      <c r="I26" s="1603"/>
      <c r="J26" s="1619">
        <f ca="1">IF(T18="","",ROUNDDOWN(A26*F26,0))</f>
        <v>407402</v>
      </c>
      <c r="K26" s="1619"/>
      <c r="L26" s="1619"/>
      <c r="M26" s="929"/>
      <c r="N26" s="486"/>
      <c r="X26" s="783"/>
      <c r="AA26" s="896"/>
      <c r="AB26" s="892" t="s">
        <v>780</v>
      </c>
      <c r="AC26" s="911">
        <f>【マスター】!Q38</f>
        <v>19705</v>
      </c>
      <c r="AF26" s="906" t="s">
        <v>817</v>
      </c>
      <c r="AG26" s="892" t="s">
        <v>817</v>
      </c>
      <c r="AH26" s="899" t="str">
        <f>ASC(【マスター】!$D$53)</f>
        <v>45</v>
      </c>
      <c r="AI26" s="892" t="s">
        <v>778</v>
      </c>
      <c r="AJ26" s="899"/>
    </row>
    <row r="27" spans="1:41" ht="19.350000000000001" customHeight="1" thickBot="1">
      <c r="A27" s="904" t="s">
        <v>838</v>
      </c>
      <c r="B27" s="904"/>
      <c r="C27" s="904"/>
      <c r="D27" s="904"/>
      <c r="E27" s="904"/>
      <c r="F27" s="904"/>
      <c r="G27" s="904"/>
      <c r="H27" s="904"/>
      <c r="I27" s="904" t="s">
        <v>1181</v>
      </c>
      <c r="J27" s="904"/>
      <c r="K27" s="904"/>
      <c r="L27" s="904"/>
      <c r="M27" s="908"/>
      <c r="N27" s="904" t="s">
        <v>1185</v>
      </c>
      <c r="O27" s="908"/>
      <c r="P27" s="904"/>
      <c r="Q27" s="904"/>
      <c r="R27" s="908"/>
      <c r="S27" s="908"/>
      <c r="T27" s="908"/>
      <c r="U27" s="908"/>
      <c r="V27" s="908"/>
      <c r="W27" s="908"/>
      <c r="X27" s="908"/>
      <c r="AB27" s="892" t="s">
        <v>758</v>
      </c>
      <c r="AC27" s="911">
        <f>【マスター】!Q39</f>
        <v>27048</v>
      </c>
      <c r="AF27" s="906" t="s">
        <v>1863</v>
      </c>
      <c r="AG27" s="906" t="s">
        <v>2078</v>
      </c>
      <c r="AH27" s="892" t="str">
        <f>ASC(【マスター】!$D$69)</f>
        <v>100</v>
      </c>
      <c r="AI27" s="892" t="s">
        <v>818</v>
      </c>
      <c r="AJ27" s="912" t="s">
        <v>1963</v>
      </c>
    </row>
    <row r="28" spans="1:41" ht="19.350000000000001" customHeight="1">
      <c r="A28" s="1678" t="s">
        <v>811</v>
      </c>
      <c r="B28" s="1679"/>
      <c r="C28" s="1680"/>
      <c r="D28" s="1644" t="s">
        <v>810</v>
      </c>
      <c r="E28" s="1678" t="s">
        <v>815</v>
      </c>
      <c r="F28" s="1679"/>
      <c r="G28" s="1680"/>
      <c r="H28" s="1644" t="s">
        <v>809</v>
      </c>
      <c r="I28" s="1685" t="s">
        <v>816</v>
      </c>
      <c r="J28" s="1685"/>
      <c r="K28" s="1685"/>
      <c r="L28" s="1685"/>
      <c r="M28" s="909"/>
      <c r="N28" s="1686" t="s">
        <v>2034</v>
      </c>
      <c r="O28" s="1687"/>
      <c r="P28" s="1687"/>
      <c r="Q28" s="1687"/>
      <c r="R28" s="1687"/>
      <c r="S28" s="1687"/>
      <c r="T28" s="1687"/>
      <c r="U28" s="1687"/>
      <c r="V28" s="1687"/>
      <c r="W28" s="1687"/>
      <c r="X28" s="1688"/>
      <c r="AB28" s="892" t="s">
        <v>785</v>
      </c>
      <c r="AC28" s="911">
        <f>【マスター】!Q40</f>
        <v>30938</v>
      </c>
      <c r="AF28" s="906" t="s">
        <v>1864</v>
      </c>
      <c r="AG28" s="906" t="s">
        <v>1864</v>
      </c>
      <c r="AH28" s="892" t="str">
        <f>ASC(【マスター】!$D$70)</f>
        <v>100</v>
      </c>
      <c r="AI28" s="892" t="s">
        <v>818</v>
      </c>
      <c r="AJ28" s="892"/>
      <c r="AL28"/>
      <c r="AM28"/>
    </row>
    <row r="29" spans="1:41" ht="19.350000000000001" customHeight="1">
      <c r="A29" s="1681" t="s">
        <v>812</v>
      </c>
      <c r="B29" s="1682"/>
      <c r="C29" s="1683"/>
      <c r="D29" s="1644"/>
      <c r="E29" s="1689" t="str">
        <f>IF(AB2="","",VLOOKUP(AB2,AB5:AD8,2,FALSE))</f>
        <v>９割</v>
      </c>
      <c r="F29" s="1690"/>
      <c r="G29" s="1691"/>
      <c r="H29" s="1644"/>
      <c r="I29" s="1685"/>
      <c r="J29" s="1685"/>
      <c r="K29" s="1685"/>
      <c r="L29" s="1685"/>
      <c r="M29" s="910"/>
      <c r="N29" s="1692">
        <f ca="1">IF(T18="","",IF(AC33&gt;0,A30-I30+(AC33+AC33*AD15+AC33*AD45)*10,A30-I30))</f>
        <v>155659.70000000001</v>
      </c>
      <c r="O29" s="1693"/>
      <c r="P29" s="1693"/>
      <c r="Q29" s="1693"/>
      <c r="R29" s="1693"/>
      <c r="S29" s="1693"/>
      <c r="T29" s="1693"/>
      <c r="U29" s="1693"/>
      <c r="V29" s="1693"/>
      <c r="W29" s="1693"/>
      <c r="X29" s="1694"/>
      <c r="AB29" s="892" t="s">
        <v>790</v>
      </c>
      <c r="AC29" s="911">
        <f>【マスター】!Q41</f>
        <v>36217</v>
      </c>
      <c r="AF29" s="906" t="s">
        <v>1865</v>
      </c>
      <c r="AG29" s="906" t="s">
        <v>1865</v>
      </c>
      <c r="AH29" s="892" t="str">
        <f>ASC(【マスター】!$D$54)</f>
        <v>56</v>
      </c>
      <c r="AI29" s="892" t="s">
        <v>820</v>
      </c>
      <c r="AJ29" s="892"/>
      <c r="AL29"/>
      <c r="AM29"/>
    </row>
    <row r="30" spans="1:41" ht="19.350000000000001" customHeight="1" thickBot="1">
      <c r="A30" s="1684">
        <f ca="1">J26</f>
        <v>407402</v>
      </c>
      <c r="B30" s="1684"/>
      <c r="C30" s="1684"/>
      <c r="D30" s="1644"/>
      <c r="E30" s="1698">
        <f>IF(AB2="","",VLOOKUP(AB2,AB5:AD8,3,FALSE))</f>
        <v>0.9</v>
      </c>
      <c r="F30" s="1698"/>
      <c r="G30" s="1698"/>
      <c r="H30" s="1644"/>
      <c r="I30" s="1684">
        <f ca="1">IF(T18="","",ROUNDDOWN(A30*E30,0))</f>
        <v>366661</v>
      </c>
      <c r="J30" s="1684"/>
      <c r="K30" s="1684"/>
      <c r="L30" s="1684"/>
      <c r="M30" s="910"/>
      <c r="N30" s="1695"/>
      <c r="O30" s="1696"/>
      <c r="P30" s="1696"/>
      <c r="Q30" s="1696"/>
      <c r="R30" s="1696"/>
      <c r="S30" s="1696"/>
      <c r="T30" s="1696"/>
      <c r="U30" s="1696"/>
      <c r="V30" s="1696"/>
      <c r="W30" s="1696"/>
      <c r="X30" s="1697"/>
      <c r="AC30" s="916">
        <f>VLOOKUP(A7,AB25:AC29,2,FALSE)</f>
        <v>36217</v>
      </c>
      <c r="AF30" s="906" t="s">
        <v>1866</v>
      </c>
      <c r="AG30" s="906" t="s">
        <v>1866</v>
      </c>
      <c r="AH30" s="892" t="str">
        <f>ASC(【マスター】!$D$55)</f>
        <v>85</v>
      </c>
      <c r="AI30" s="892" t="s">
        <v>888</v>
      </c>
      <c r="AJ30" s="892"/>
      <c r="AL30" s="948" t="s">
        <v>2075</v>
      </c>
      <c r="AM30" s="948" t="s">
        <v>2074</v>
      </c>
      <c r="AN30" s="302"/>
    </row>
    <row r="31" spans="1:41" ht="19.350000000000001" customHeight="1">
      <c r="A31" s="889" t="s">
        <v>819</v>
      </c>
      <c r="AC31" s="903" t="s">
        <v>795</v>
      </c>
      <c r="AF31" s="906" t="s">
        <v>823</v>
      </c>
      <c r="AG31" s="906" t="s">
        <v>823</v>
      </c>
      <c r="AH31" s="892" t="str">
        <f>ASC(【マスター】!$D$56)</f>
        <v>20</v>
      </c>
      <c r="AI31" s="892" t="s">
        <v>818</v>
      </c>
      <c r="AJ31" s="892"/>
      <c r="AL31" s="354" t="s">
        <v>2064</v>
      </c>
      <c r="AM31" s="941">
        <f>【マスター】!J39</f>
        <v>3500</v>
      </c>
      <c r="AN31" s="302" t="s">
        <v>2065</v>
      </c>
      <c r="AO31" s="946" t="s">
        <v>2072</v>
      </c>
    </row>
    <row r="32" spans="1:41" ht="19.350000000000001" customHeight="1">
      <c r="A32" s="895" t="s">
        <v>763</v>
      </c>
      <c r="B32" s="1665" t="s">
        <v>764</v>
      </c>
      <c r="C32" s="1666"/>
      <c r="D32" s="1666"/>
      <c r="E32" s="1666"/>
      <c r="F32" s="1666"/>
      <c r="G32" s="1666"/>
      <c r="H32" s="1666"/>
      <c r="I32" s="1666"/>
      <c r="J32" s="1666"/>
      <c r="K32" s="1666"/>
      <c r="L32" s="1666"/>
      <c r="M32" s="1666"/>
      <c r="N32" s="1667"/>
      <c r="O32" s="1665" t="s">
        <v>821</v>
      </c>
      <c r="P32" s="1666"/>
      <c r="Q32" s="1667"/>
      <c r="R32" s="1642" t="s">
        <v>767</v>
      </c>
      <c r="S32" s="1642"/>
      <c r="T32" s="1642" t="s">
        <v>822</v>
      </c>
      <c r="U32" s="1642"/>
      <c r="V32" s="1642"/>
      <c r="W32" s="1642"/>
      <c r="X32" s="1642"/>
      <c r="AC32" s="905" t="s">
        <v>830</v>
      </c>
      <c r="AF32" s="906" t="s">
        <v>208</v>
      </c>
      <c r="AG32" s="906" t="s">
        <v>208</v>
      </c>
      <c r="AH32" s="892" t="str">
        <f>ASC(【マスター】!$D$66)</f>
        <v>30</v>
      </c>
      <c r="AI32" s="892" t="s">
        <v>818</v>
      </c>
      <c r="AJ32" s="892"/>
      <c r="AL32" s="354" t="s">
        <v>2066</v>
      </c>
      <c r="AM32" s="941">
        <f>【マスター】!J40</f>
        <v>3500</v>
      </c>
      <c r="AN32" s="302" t="s">
        <v>2065</v>
      </c>
      <c r="AO32" s="946" t="s">
        <v>2072</v>
      </c>
    </row>
    <row r="33" spans="1:41" ht="19.350000000000001" customHeight="1" thickBot="1">
      <c r="A33" s="892">
        <f>IF(B33="","",1)</f>
        <v>1</v>
      </c>
      <c r="B33" s="1661" t="s">
        <v>188</v>
      </c>
      <c r="C33" s="1662"/>
      <c r="D33" s="1662"/>
      <c r="E33" s="1662"/>
      <c r="F33" s="1662"/>
      <c r="G33" s="1662"/>
      <c r="H33" s="1662"/>
      <c r="I33" s="1662"/>
      <c r="J33" s="1662"/>
      <c r="K33" s="1662"/>
      <c r="L33" s="1662"/>
      <c r="M33" s="1662"/>
      <c r="N33" s="1663"/>
      <c r="O33" s="1639">
        <f>IF(B33="","",VLOOKUP(B33,$AL$31:$AN$40,2,FALSE))</f>
        <v>0</v>
      </c>
      <c r="P33" s="1640"/>
      <c r="Q33" s="1641"/>
      <c r="R33" s="897">
        <v>19</v>
      </c>
      <c r="S33" s="913" t="str">
        <f>IF(B33="","",VLOOKUP(B33,$AL$31:$AN$40,3,FALSE))</f>
        <v>食</v>
      </c>
      <c r="T33" s="1664">
        <f>IF(B33="","",O33*R33)</f>
        <v>0</v>
      </c>
      <c r="U33" s="1664"/>
      <c r="V33" s="1664"/>
      <c r="W33" s="1664"/>
      <c r="X33" s="1664"/>
      <c r="AC33" s="917">
        <f>IF(T18="","",IF(AC30&gt;T18,0,T18-AC30))</f>
        <v>10543</v>
      </c>
      <c r="AF33" s="906" t="s">
        <v>209</v>
      </c>
      <c r="AG33" s="906" t="s">
        <v>209</v>
      </c>
      <c r="AH33" s="892" t="str">
        <f>ASC(【マスター】!$D$67)</f>
        <v>60</v>
      </c>
      <c r="AI33" s="892" t="s">
        <v>818</v>
      </c>
      <c r="AJ33" s="892"/>
      <c r="AL33" s="354" t="s">
        <v>1641</v>
      </c>
      <c r="AM33" s="941">
        <f>【マスター】!J41</f>
        <v>0</v>
      </c>
      <c r="AN33" s="302" t="s">
        <v>2065</v>
      </c>
      <c r="AO33" s="946" t="s">
        <v>2072</v>
      </c>
    </row>
    <row r="34" spans="1:41" ht="19.350000000000001" customHeight="1" thickTop="1">
      <c r="A34" s="892">
        <f>IF(B34="","",2)</f>
        <v>2</v>
      </c>
      <c r="B34" s="1661" t="s">
        <v>192</v>
      </c>
      <c r="C34" s="1662"/>
      <c r="D34" s="1662"/>
      <c r="E34" s="1662"/>
      <c r="F34" s="1662"/>
      <c r="G34" s="1662"/>
      <c r="H34" s="1662"/>
      <c r="I34" s="1662"/>
      <c r="J34" s="1662"/>
      <c r="K34" s="1662"/>
      <c r="L34" s="1662"/>
      <c r="M34" s="1662"/>
      <c r="N34" s="1663"/>
      <c r="O34" s="1639">
        <f t="shared" ref="O34:O37" si="4">IF(B34="","",VLOOKUP(B34,$AL$31:$AN$40,2,FALSE))</f>
        <v>630</v>
      </c>
      <c r="P34" s="1640"/>
      <c r="Q34" s="1641"/>
      <c r="R34" s="897">
        <v>20</v>
      </c>
      <c r="S34" s="913" t="str">
        <f t="shared" ref="S34:S37" si="5">IF(B34="","",VLOOKUP(B34,$AL$31:$AN$40,3,FALSE))</f>
        <v>食</v>
      </c>
      <c r="T34" s="1664">
        <f t="shared" ref="T34:T37" si="6">IF(B34="","",O34*R34)</f>
        <v>12600</v>
      </c>
      <c r="U34" s="1664"/>
      <c r="V34" s="1664"/>
      <c r="W34" s="1664"/>
      <c r="X34" s="1664"/>
      <c r="AC34" s="903" t="s">
        <v>795</v>
      </c>
      <c r="AF34" s="906" t="s">
        <v>1867</v>
      </c>
      <c r="AG34" s="906" t="s">
        <v>1867</v>
      </c>
      <c r="AH34" s="892" t="str">
        <f>ASC(【マスター】!$D$68)</f>
        <v>3</v>
      </c>
      <c r="AI34" s="892" t="s">
        <v>1907</v>
      </c>
      <c r="AJ34" s="892"/>
      <c r="AL34" s="354" t="s">
        <v>2067</v>
      </c>
      <c r="AM34" s="941">
        <f>【マスター】!J42</f>
        <v>300</v>
      </c>
      <c r="AN34" s="302" t="s">
        <v>829</v>
      </c>
      <c r="AO34" s="946" t="s">
        <v>2072</v>
      </c>
    </row>
    <row r="35" spans="1:41" ht="19.350000000000001" customHeight="1">
      <c r="A35" s="892" t="str">
        <f>IF(B35="","",3)</f>
        <v/>
      </c>
      <c r="B35" s="1661"/>
      <c r="C35" s="1662"/>
      <c r="D35" s="1662"/>
      <c r="E35" s="1662"/>
      <c r="F35" s="1662"/>
      <c r="G35" s="1662"/>
      <c r="H35" s="1662"/>
      <c r="I35" s="1662"/>
      <c r="J35" s="1662"/>
      <c r="K35" s="1662"/>
      <c r="L35" s="1662"/>
      <c r="M35" s="1662"/>
      <c r="N35" s="1663"/>
      <c r="O35" s="1639" t="str">
        <f t="shared" si="4"/>
        <v/>
      </c>
      <c r="P35" s="1640"/>
      <c r="Q35" s="1641"/>
      <c r="R35" s="897"/>
      <c r="S35" s="913" t="str">
        <f t="shared" si="5"/>
        <v/>
      </c>
      <c r="T35" s="1664" t="str">
        <f t="shared" si="6"/>
        <v/>
      </c>
      <c r="U35" s="1664"/>
      <c r="V35" s="1664"/>
      <c r="W35" s="1664"/>
      <c r="X35" s="1664"/>
      <c r="AC35" s="905" t="s">
        <v>835</v>
      </c>
      <c r="AF35" s="906" t="s">
        <v>826</v>
      </c>
      <c r="AG35" s="906" t="s">
        <v>826</v>
      </c>
      <c r="AH35" s="892" t="str">
        <f>ASC(【マスター】!$D$51)</f>
        <v>60</v>
      </c>
      <c r="AI35" s="892" t="s">
        <v>820</v>
      </c>
      <c r="AJ35" s="892"/>
      <c r="AL35" s="354" t="s">
        <v>188</v>
      </c>
      <c r="AM35" s="941">
        <f>【マスター】!J43</f>
        <v>0</v>
      </c>
      <c r="AN35" s="302" t="s">
        <v>824</v>
      </c>
      <c r="AO35" s="946" t="s">
        <v>2072</v>
      </c>
    </row>
    <row r="36" spans="1:41" ht="19.350000000000001" customHeight="1">
      <c r="A36" s="892" t="str">
        <f>IF(B36="","",4)</f>
        <v/>
      </c>
      <c r="B36" s="1661"/>
      <c r="C36" s="1662"/>
      <c r="D36" s="1662"/>
      <c r="E36" s="1662"/>
      <c r="F36" s="1662"/>
      <c r="G36" s="1662"/>
      <c r="H36" s="1662"/>
      <c r="I36" s="1662"/>
      <c r="J36" s="1662"/>
      <c r="K36" s="1662"/>
      <c r="L36" s="1662"/>
      <c r="M36" s="1662"/>
      <c r="N36" s="1663"/>
      <c r="O36" s="1639" t="str">
        <f t="shared" si="4"/>
        <v/>
      </c>
      <c r="P36" s="1640"/>
      <c r="Q36" s="1641"/>
      <c r="R36" s="897"/>
      <c r="S36" s="913" t="str">
        <f t="shared" si="5"/>
        <v/>
      </c>
      <c r="T36" s="1664" t="str">
        <f t="shared" si="6"/>
        <v/>
      </c>
      <c r="U36" s="1664"/>
      <c r="V36" s="1664"/>
      <c r="W36" s="1664"/>
      <c r="X36" s="1664"/>
      <c r="AF36" s="906" t="s">
        <v>828</v>
      </c>
      <c r="AG36" s="906" t="s">
        <v>828</v>
      </c>
      <c r="AH36" s="892" t="str">
        <f>ASC(【マスター】!$D$52)</f>
        <v>60</v>
      </c>
      <c r="AI36" s="892" t="s">
        <v>820</v>
      </c>
      <c r="AJ36" s="892"/>
      <c r="AL36" s="354" t="s">
        <v>190</v>
      </c>
      <c r="AM36" s="941">
        <f>【マスター】!J44</f>
        <v>570</v>
      </c>
      <c r="AN36" s="302" t="s">
        <v>824</v>
      </c>
      <c r="AO36" s="946" t="s">
        <v>2072</v>
      </c>
    </row>
    <row r="37" spans="1:41" ht="19.350000000000001" customHeight="1">
      <c r="A37" s="892" t="str">
        <f>IF(B37="","",5)</f>
        <v/>
      </c>
      <c r="B37" s="1661"/>
      <c r="C37" s="1662"/>
      <c r="D37" s="1662"/>
      <c r="E37" s="1662"/>
      <c r="F37" s="1662"/>
      <c r="G37" s="1662"/>
      <c r="H37" s="1662"/>
      <c r="I37" s="1662"/>
      <c r="J37" s="1662"/>
      <c r="K37" s="1662"/>
      <c r="L37" s="1662"/>
      <c r="M37" s="1662"/>
      <c r="N37" s="1663"/>
      <c r="O37" s="1639" t="str">
        <f t="shared" si="4"/>
        <v/>
      </c>
      <c r="P37" s="1640"/>
      <c r="Q37" s="1641"/>
      <c r="R37" s="897"/>
      <c r="S37" s="913" t="str">
        <f t="shared" si="5"/>
        <v/>
      </c>
      <c r="T37" s="1664" t="str">
        <f t="shared" si="6"/>
        <v/>
      </c>
      <c r="U37" s="1664"/>
      <c r="V37" s="1664"/>
      <c r="W37" s="1664"/>
      <c r="X37" s="1664"/>
      <c r="AC37" s="905" t="s">
        <v>839</v>
      </c>
      <c r="AF37" s="906" t="s">
        <v>831</v>
      </c>
      <c r="AG37" s="906" t="s">
        <v>1964</v>
      </c>
      <c r="AH37" s="892" t="str">
        <f>ASC(【マスター】!$D$60)</f>
        <v>200</v>
      </c>
      <c r="AI37" s="892" t="s">
        <v>778</v>
      </c>
      <c r="AJ37" s="892" t="s">
        <v>832</v>
      </c>
      <c r="AL37" s="354" t="s">
        <v>192</v>
      </c>
      <c r="AM37" s="941">
        <f>【マスター】!J45</f>
        <v>630</v>
      </c>
      <c r="AN37" s="302" t="s">
        <v>824</v>
      </c>
      <c r="AO37" s="946" t="s">
        <v>2072</v>
      </c>
    </row>
    <row r="38" spans="1:41" ht="19.350000000000001" customHeight="1">
      <c r="O38" s="1638" t="s">
        <v>2033</v>
      </c>
      <c r="P38" s="1638"/>
      <c r="Q38" s="1638"/>
      <c r="R38" s="1638"/>
      <c r="S38" s="1638"/>
      <c r="T38" s="1639">
        <f>IF(B33="","",SUM(T33:X37))</f>
        <v>12600</v>
      </c>
      <c r="U38" s="1640"/>
      <c r="V38" s="1640"/>
      <c r="W38" s="1640"/>
      <c r="X38" s="1641"/>
      <c r="AB38" s="892" t="s">
        <v>840</v>
      </c>
      <c r="AC38" s="906" t="s">
        <v>841</v>
      </c>
      <c r="AF38" s="906" t="s">
        <v>1868</v>
      </c>
      <c r="AG38" s="906" t="s">
        <v>1868</v>
      </c>
      <c r="AH38" s="892" t="str">
        <f>ASC(【マスター】!$D$61)</f>
        <v>50</v>
      </c>
      <c r="AI38" s="892" t="s">
        <v>1869</v>
      </c>
      <c r="AJ38" s="892"/>
      <c r="AL38" s="354" t="s">
        <v>2062</v>
      </c>
      <c r="AM38" s="941">
        <f>【マスター】!J46</f>
        <v>100</v>
      </c>
      <c r="AN38" s="302" t="s">
        <v>2068</v>
      </c>
      <c r="AO38" s="946" t="s">
        <v>2072</v>
      </c>
    </row>
    <row r="39" spans="1:41" ht="19.350000000000001" customHeight="1" thickBot="1">
      <c r="A39" s="904" t="s">
        <v>2016</v>
      </c>
      <c r="B39" s="908"/>
      <c r="C39" s="908"/>
      <c r="D39" s="904"/>
      <c r="E39" s="904"/>
      <c r="F39" s="904"/>
      <c r="G39" s="908"/>
      <c r="H39" s="904" t="s">
        <v>2017</v>
      </c>
      <c r="O39" s="904" t="s">
        <v>2036</v>
      </c>
      <c r="P39" s="904"/>
      <c r="AB39" s="892" t="s">
        <v>757</v>
      </c>
      <c r="AC39" s="906" t="s">
        <v>844</v>
      </c>
      <c r="AF39" s="906" t="s">
        <v>2022</v>
      </c>
      <c r="AG39" s="906" t="s">
        <v>1965</v>
      </c>
      <c r="AH39" s="892" t="str">
        <f>ASC(【マスター】!$D$62)</f>
        <v>20</v>
      </c>
      <c r="AI39" s="892" t="s">
        <v>778</v>
      </c>
      <c r="AJ39" s="906" t="s">
        <v>1872</v>
      </c>
      <c r="AL39" s="354" t="s">
        <v>2063</v>
      </c>
      <c r="AM39" s="941">
        <f>【マスター】!J47</f>
        <v>50</v>
      </c>
      <c r="AN39" s="302" t="s">
        <v>833</v>
      </c>
      <c r="AO39" s="946" t="s">
        <v>2072</v>
      </c>
    </row>
    <row r="40" spans="1:41" ht="19.350000000000001" customHeight="1">
      <c r="A40" s="1642" t="s">
        <v>2035</v>
      </c>
      <c r="B40" s="1642"/>
      <c r="C40" s="1642"/>
      <c r="D40" s="1642"/>
      <c r="E40" s="1642"/>
      <c r="F40" s="1642"/>
      <c r="G40" s="1643" t="s">
        <v>807</v>
      </c>
      <c r="H40" s="1638" t="s">
        <v>2033</v>
      </c>
      <c r="I40" s="1638"/>
      <c r="J40" s="1638"/>
      <c r="K40" s="1638"/>
      <c r="L40" s="1638"/>
      <c r="M40" s="1638"/>
      <c r="N40" s="1644" t="s">
        <v>809</v>
      </c>
      <c r="O40" s="1645" t="str">
        <f>IF(AF6="月間","ご利用時見積総額（※１ヶ月あたり）",IF(AF6="週間","ご利用時見積総額（※1週間あたり）","ご利用時見積総額"))</f>
        <v>ご利用時見積総額（※1週間あたり）</v>
      </c>
      <c r="P40" s="1646"/>
      <c r="Q40" s="1647"/>
      <c r="R40" s="1647"/>
      <c r="S40" s="1647"/>
      <c r="T40" s="1647"/>
      <c r="U40" s="1647"/>
      <c r="V40" s="1648"/>
      <c r="W40" s="1648"/>
      <c r="X40" s="1649"/>
      <c r="AF40" s="906" t="s">
        <v>2023</v>
      </c>
      <c r="AG40" s="906" t="s">
        <v>1966</v>
      </c>
      <c r="AH40" s="892" t="str">
        <f>ASC(【マスター】!$D$63)</f>
        <v>5</v>
      </c>
      <c r="AI40" s="892" t="s">
        <v>827</v>
      </c>
      <c r="AJ40" s="906" t="s">
        <v>1872</v>
      </c>
      <c r="AL40" s="354" t="s">
        <v>2069</v>
      </c>
      <c r="AM40" s="941">
        <f>【マスター】!J48</f>
        <v>2000</v>
      </c>
      <c r="AN40" s="302" t="s">
        <v>1791</v>
      </c>
      <c r="AO40" s="946" t="s">
        <v>2072</v>
      </c>
    </row>
    <row r="41" spans="1:41" ht="19.350000000000001" customHeight="1">
      <c r="A41" s="1650">
        <f ca="1">N29</f>
        <v>155659.70000000001</v>
      </c>
      <c r="B41" s="1650"/>
      <c r="C41" s="1650"/>
      <c r="D41" s="1650"/>
      <c r="E41" s="1650"/>
      <c r="F41" s="1650"/>
      <c r="G41" s="1643"/>
      <c r="H41" s="1651">
        <f>T38</f>
        <v>12600</v>
      </c>
      <c r="I41" s="1651"/>
      <c r="J41" s="1651"/>
      <c r="K41" s="1651"/>
      <c r="L41" s="1651"/>
      <c r="M41" s="1651"/>
      <c r="N41" s="1644"/>
      <c r="O41" s="1652">
        <f ca="1">IF(H41="",A41,A41+H41)</f>
        <v>168259.7</v>
      </c>
      <c r="P41" s="1653"/>
      <c r="Q41" s="1650"/>
      <c r="R41" s="1650"/>
      <c r="S41" s="1650"/>
      <c r="T41" s="1650"/>
      <c r="U41" s="1650"/>
      <c r="V41" s="1654"/>
      <c r="W41" s="1654"/>
      <c r="X41" s="1655"/>
      <c r="AA41" s="896" t="s">
        <v>808</v>
      </c>
      <c r="AB41" s="896"/>
      <c r="AC41" s="896"/>
      <c r="AD41" s="896"/>
      <c r="AF41" s="906" t="s">
        <v>1870</v>
      </c>
      <c r="AG41" s="906" t="s">
        <v>1967</v>
      </c>
      <c r="AH41" s="892" t="str">
        <f>ASC(【マスター】!$D$64)</f>
        <v>150</v>
      </c>
      <c r="AI41" s="892" t="s">
        <v>778</v>
      </c>
      <c r="AJ41" s="892" t="s">
        <v>832</v>
      </c>
    </row>
    <row r="42" spans="1:41" ht="19.350000000000001" customHeight="1" thickBot="1">
      <c r="A42" s="1650"/>
      <c r="B42" s="1650"/>
      <c r="C42" s="1650"/>
      <c r="D42" s="1650"/>
      <c r="E42" s="1650"/>
      <c r="F42" s="1650"/>
      <c r="G42" s="1643"/>
      <c r="H42" s="1651"/>
      <c r="I42" s="1651"/>
      <c r="J42" s="1651"/>
      <c r="K42" s="1651"/>
      <c r="L42" s="1651"/>
      <c r="M42" s="1651"/>
      <c r="N42" s="1644"/>
      <c r="O42" s="1656"/>
      <c r="P42" s="1657"/>
      <c r="Q42" s="1658"/>
      <c r="R42" s="1658"/>
      <c r="S42" s="1658"/>
      <c r="T42" s="1658"/>
      <c r="U42" s="1658"/>
      <c r="V42" s="1659"/>
      <c r="W42" s="1659"/>
      <c r="X42" s="1660"/>
      <c r="AA42" s="892">
        <f>IF(【マスター】!C77="有",1,0)</f>
        <v>0</v>
      </c>
      <c r="AB42" s="892" t="s">
        <v>772</v>
      </c>
      <c r="AC42" s="297" t="str">
        <f>LEFT(【マスター】!$D$77,3)&amp;"%"</f>
        <v>%</v>
      </c>
      <c r="AD42" s="297" t="e">
        <f>AC42*1</f>
        <v>#VALUE!</v>
      </c>
      <c r="AF42" s="906" t="s">
        <v>1871</v>
      </c>
      <c r="AG42" s="906" t="s">
        <v>1968</v>
      </c>
      <c r="AH42" s="892" t="str">
        <f>ASC(【マスター】!$D$65)</f>
        <v>160</v>
      </c>
      <c r="AI42" s="892" t="s">
        <v>778</v>
      </c>
      <c r="AJ42" s="892" t="s">
        <v>832</v>
      </c>
    </row>
    <row r="43" spans="1:41" ht="19.350000000000001" customHeight="1">
      <c r="Y43" s="893"/>
      <c r="AA43" s="892">
        <f>IF(【マスター】!C78="有",1,0)</f>
        <v>0</v>
      </c>
      <c r="AB43" s="892" t="s">
        <v>775</v>
      </c>
      <c r="AC43" s="297" t="str">
        <f>LEFT(【マスター】!$D$78,3)&amp;"%"</f>
        <v>%</v>
      </c>
      <c r="AD43" s="297" t="e">
        <f>AC43*1</f>
        <v>#VALUE!</v>
      </c>
      <c r="AF43" s="933" t="s">
        <v>2013</v>
      </c>
      <c r="AG43" s="933" t="s">
        <v>2014</v>
      </c>
      <c r="AH43" s="354" t="str">
        <f>ASC(【マスター】!$D$72)</f>
        <v>40</v>
      </c>
      <c r="AI43" s="354" t="s">
        <v>2015</v>
      </c>
      <c r="AJ43" s="354"/>
      <c r="AK43" s="486"/>
    </row>
    <row r="44" spans="1:41" ht="19.350000000000001" customHeight="1">
      <c r="J44" s="918"/>
      <c r="K44" s="918"/>
      <c r="L44" s="919"/>
      <c r="N44" s="918"/>
      <c r="P44" s="918"/>
      <c r="Q44" s="918"/>
      <c r="R44" s="918" t="s">
        <v>851</v>
      </c>
      <c r="U44" s="918" t="s">
        <v>852</v>
      </c>
      <c r="X44" s="918" t="s">
        <v>853</v>
      </c>
      <c r="AA44" s="892">
        <f>SUM(AA42:AA43)</f>
        <v>0</v>
      </c>
      <c r="AB44" s="892" t="s">
        <v>788</v>
      </c>
      <c r="AC44" s="892" t="s">
        <v>789</v>
      </c>
      <c r="AD44" s="892">
        <v>0</v>
      </c>
      <c r="AF44" s="906" t="s">
        <v>171</v>
      </c>
      <c r="AG44" s="906" t="s">
        <v>1969</v>
      </c>
      <c r="AH44" s="892" t="str">
        <f>ASC("-"&amp;【マスター】!$K$51)</f>
        <v>-47</v>
      </c>
      <c r="AI44" s="892" t="s">
        <v>778</v>
      </c>
      <c r="AJ44" s="892" t="s">
        <v>836</v>
      </c>
    </row>
    <row r="45" spans="1:41" ht="19.350000000000001" customHeight="1" thickBot="1">
      <c r="A45" s="889" t="str">
        <f>【マスター】!C7</f>
        <v>デイサービスさつきの湯</v>
      </c>
      <c r="X45" s="903" t="s">
        <v>946</v>
      </c>
      <c r="AD45" s="902">
        <f>VLOOKUP(G8,AB42:AD44,3,FALSE)</f>
        <v>0</v>
      </c>
      <c r="AF45" s="354" t="s">
        <v>2080</v>
      </c>
      <c r="AG45" s="354" t="s">
        <v>2080</v>
      </c>
      <c r="AH45" s="892" t="str">
        <f>ASC("-"&amp;【マスター】!$K$52)</f>
        <v>-94</v>
      </c>
      <c r="AI45" s="892" t="s">
        <v>2079</v>
      </c>
      <c r="AJ45" s="892"/>
    </row>
    <row r="46" spans="1:41" ht="19.350000000000001" customHeight="1" thickTop="1">
      <c r="A46" s="889" t="str">
        <f>"TEL:"&amp;(【マスター】!C9)</f>
        <v>TEL:0533-56-7087</v>
      </c>
      <c r="AD46" s="903" t="s">
        <v>795</v>
      </c>
      <c r="AF46" s="896" t="s">
        <v>780</v>
      </c>
    </row>
    <row r="47" spans="1:41">
      <c r="A47" s="889" t="str">
        <f>"FAX:"&amp;【マスター】!I9</f>
        <v>FAX:0533-56-7088</v>
      </c>
      <c r="K47" s="920"/>
      <c r="L47" s="920"/>
      <c r="M47" s="920"/>
      <c r="N47" s="920"/>
      <c r="O47" s="920"/>
      <c r="P47" s="921" t="s">
        <v>947</v>
      </c>
      <c r="Q47" s="921"/>
      <c r="R47" s="921"/>
      <c r="S47" s="921"/>
      <c r="T47" s="921"/>
      <c r="U47" s="921"/>
      <c r="V47" s="921"/>
      <c r="W47" s="921"/>
      <c r="X47" s="922" t="s">
        <v>493</v>
      </c>
      <c r="AD47" s="905" t="s">
        <v>860</v>
      </c>
      <c r="AF47" s="900" t="s">
        <v>773</v>
      </c>
      <c r="AG47" s="900" t="s">
        <v>765</v>
      </c>
      <c r="AH47" s="900" t="s">
        <v>766</v>
      </c>
      <c r="AI47" s="900" t="s">
        <v>767</v>
      </c>
      <c r="AJ47" s="900" t="s">
        <v>774</v>
      </c>
    </row>
    <row r="48" spans="1:41">
      <c r="AF48" s="892" t="s">
        <v>842</v>
      </c>
      <c r="AG48" s="892" t="s">
        <v>843</v>
      </c>
      <c r="AH48" s="950">
        <f>$AH$50*0.7</f>
        <v>310.79999999999995</v>
      </c>
      <c r="AI48" s="892" t="s">
        <v>778</v>
      </c>
      <c r="AJ48" s="892"/>
      <c r="AK48" s="810"/>
    </row>
    <row r="49" spans="27:37">
      <c r="AA49" s="896" t="s">
        <v>2039</v>
      </c>
      <c r="AB49" s="896"/>
      <c r="AC49" s="896"/>
      <c r="AD49" s="896"/>
      <c r="AF49" s="892" t="s">
        <v>845</v>
      </c>
      <c r="AG49" s="892" t="s">
        <v>846</v>
      </c>
      <c r="AH49" s="950">
        <f>【マスター】!$W$18</f>
        <v>423</v>
      </c>
      <c r="AI49" s="892" t="s">
        <v>778</v>
      </c>
      <c r="AJ49" s="892"/>
      <c r="AK49" s="810"/>
    </row>
    <row r="50" spans="27:37">
      <c r="AA50" s="892">
        <f>IF(【マスター】!C79="有",1,0)</f>
        <v>0</v>
      </c>
      <c r="AB50" s="892" t="s">
        <v>2040</v>
      </c>
      <c r="AC50" s="892" t="str">
        <f>LEFT(【マスター】!$D$79,3)&amp;"%"</f>
        <v>%</v>
      </c>
      <c r="AD50" s="892" t="e">
        <f>AC50*1</f>
        <v>#VALUE!</v>
      </c>
      <c r="AF50" s="892" t="s">
        <v>847</v>
      </c>
      <c r="AG50" s="892" t="s">
        <v>848</v>
      </c>
      <c r="AH50" s="950">
        <f>【マスター】!$AB$18</f>
        <v>444</v>
      </c>
      <c r="AI50" s="892" t="s">
        <v>778</v>
      </c>
      <c r="AJ50" s="892"/>
      <c r="AK50" s="810"/>
    </row>
    <row r="51" spans="27:37">
      <c r="AA51" s="892">
        <f>SUM(AA50:AA50)</f>
        <v>0</v>
      </c>
      <c r="AB51" s="892" t="s">
        <v>788</v>
      </c>
      <c r="AC51" s="892" t="s">
        <v>789</v>
      </c>
      <c r="AD51" s="892">
        <v>0</v>
      </c>
      <c r="AF51" s="892" t="s">
        <v>849</v>
      </c>
      <c r="AG51" s="892" t="s">
        <v>850</v>
      </c>
      <c r="AH51" s="950">
        <f>【マスター】!$AG$18</f>
        <v>673</v>
      </c>
      <c r="AI51" s="892" t="s">
        <v>778</v>
      </c>
      <c r="AJ51" s="892"/>
      <c r="AK51" s="810"/>
    </row>
    <row r="52" spans="27:37" ht="15" thickBot="1">
      <c r="AD52" s="902">
        <f>VLOOKUP(K8,AB50:AD51,3,FALSE)</f>
        <v>0</v>
      </c>
      <c r="AF52" s="892" t="s">
        <v>854</v>
      </c>
      <c r="AG52" s="892" t="s">
        <v>855</v>
      </c>
      <c r="AH52" s="950">
        <f>【マスター】!$AL$18</f>
        <v>689</v>
      </c>
      <c r="AI52" s="892" t="s">
        <v>778</v>
      </c>
      <c r="AJ52" s="892"/>
      <c r="AK52" s="810"/>
    </row>
    <row r="53" spans="27:37" ht="15" thickTop="1">
      <c r="AD53" s="903" t="s">
        <v>795</v>
      </c>
      <c r="AF53" s="892" t="s">
        <v>856</v>
      </c>
      <c r="AG53" s="892" t="s">
        <v>857</v>
      </c>
      <c r="AH53" s="950">
        <f>【マスター】!$AQ$18</f>
        <v>777</v>
      </c>
      <c r="AI53" s="892" t="s">
        <v>778</v>
      </c>
      <c r="AJ53" s="892"/>
      <c r="AK53" s="810"/>
    </row>
    <row r="54" spans="27:37">
      <c r="AD54" s="905" t="s">
        <v>2037</v>
      </c>
      <c r="AF54" s="892" t="s">
        <v>858</v>
      </c>
      <c r="AG54" s="892" t="s">
        <v>859</v>
      </c>
      <c r="AH54" s="950">
        <f>【マスター】!$AV$18</f>
        <v>791</v>
      </c>
      <c r="AI54" s="892" t="s">
        <v>778</v>
      </c>
      <c r="AJ54" s="892"/>
      <c r="AK54" s="810"/>
    </row>
    <row r="55" spans="27:37">
      <c r="AF55" s="906" t="s">
        <v>1985</v>
      </c>
      <c r="AG55" s="892" t="s">
        <v>1953</v>
      </c>
      <c r="AH55" s="950">
        <f>$AH$54+50</f>
        <v>841</v>
      </c>
      <c r="AI55" s="892" t="s">
        <v>778</v>
      </c>
      <c r="AJ55" s="892"/>
      <c r="AK55" s="810"/>
    </row>
    <row r="56" spans="27:37">
      <c r="AF56" s="906" t="s">
        <v>1986</v>
      </c>
      <c r="AG56" s="892" t="s">
        <v>1955</v>
      </c>
      <c r="AH56" s="950">
        <f>$AH$55+50</f>
        <v>891</v>
      </c>
      <c r="AI56" s="892" t="s">
        <v>778</v>
      </c>
      <c r="AJ56" s="892"/>
      <c r="AK56" s="810"/>
    </row>
    <row r="57" spans="27:37">
      <c r="AF57" s="906" t="s">
        <v>1987</v>
      </c>
      <c r="AG57" s="892" t="s">
        <v>1957</v>
      </c>
      <c r="AH57" s="950">
        <f>$AH$56+50</f>
        <v>941</v>
      </c>
      <c r="AI57" s="892" t="s">
        <v>778</v>
      </c>
      <c r="AJ57" s="907"/>
      <c r="AK57" s="810"/>
    </row>
    <row r="58" spans="27:37">
      <c r="AF58" s="906" t="s">
        <v>1988</v>
      </c>
      <c r="AG58" s="892" t="s">
        <v>1959</v>
      </c>
      <c r="AH58" s="950">
        <f>$AH$57+50</f>
        <v>991</v>
      </c>
      <c r="AI58" s="892" t="s">
        <v>778</v>
      </c>
      <c r="AJ58" s="892"/>
      <c r="AK58" s="810"/>
    </row>
    <row r="59" spans="27:37">
      <c r="AF59" s="906" t="s">
        <v>1989</v>
      </c>
      <c r="AG59" s="892" t="s">
        <v>1961</v>
      </c>
      <c r="AH59" s="950">
        <f>$AH$58+50</f>
        <v>1041</v>
      </c>
      <c r="AI59" s="892" t="s">
        <v>778</v>
      </c>
      <c r="AJ59" s="892"/>
      <c r="AK59" s="810"/>
    </row>
    <row r="60" spans="27:37">
      <c r="AF60" s="906" t="s">
        <v>1861</v>
      </c>
      <c r="AG60" s="892" t="s">
        <v>1861</v>
      </c>
      <c r="AH60" s="892" t="str">
        <f>ASC(【マスター】!$D$49)</f>
        <v>40</v>
      </c>
      <c r="AI60" s="892" t="s">
        <v>1906</v>
      </c>
      <c r="AJ60" s="892"/>
    </row>
    <row r="61" spans="27:37">
      <c r="AF61" s="906" t="s">
        <v>1862</v>
      </c>
      <c r="AG61" s="892" t="s">
        <v>1862</v>
      </c>
      <c r="AH61" s="892" t="str">
        <f>ASC(【マスター】!$D$50)</f>
        <v>55</v>
      </c>
      <c r="AI61" s="892" t="s">
        <v>1906</v>
      </c>
      <c r="AJ61" s="892"/>
    </row>
    <row r="62" spans="27:37">
      <c r="AF62" s="906" t="s">
        <v>817</v>
      </c>
      <c r="AG62" s="892" t="s">
        <v>817</v>
      </c>
      <c r="AH62" s="899" t="str">
        <f>ASC(【マスター】!$D$53)</f>
        <v>45</v>
      </c>
      <c r="AI62" s="892" t="s">
        <v>778</v>
      </c>
      <c r="AJ62" s="899"/>
    </row>
    <row r="63" spans="27:37">
      <c r="AF63" s="906" t="s">
        <v>1863</v>
      </c>
      <c r="AG63" s="906" t="s">
        <v>1962</v>
      </c>
      <c r="AH63" s="892" t="str">
        <f>ASC(【マスター】!$D$69)</f>
        <v>100</v>
      </c>
      <c r="AI63" s="892" t="s">
        <v>818</v>
      </c>
      <c r="AJ63" s="912" t="s">
        <v>1963</v>
      </c>
    </row>
    <row r="64" spans="27:37">
      <c r="AF64" s="906" t="s">
        <v>1864</v>
      </c>
      <c r="AG64" s="906" t="s">
        <v>1864</v>
      </c>
      <c r="AH64" s="892" t="str">
        <f>ASC(【マスター】!$D$70)</f>
        <v>100</v>
      </c>
      <c r="AI64" s="892" t="s">
        <v>818</v>
      </c>
      <c r="AJ64" s="892"/>
    </row>
    <row r="65" spans="32:37">
      <c r="AF65" s="906" t="s">
        <v>1865</v>
      </c>
      <c r="AG65" s="906" t="s">
        <v>1865</v>
      </c>
      <c r="AH65" s="892" t="str">
        <f>ASC(【マスター】!$D$54)</f>
        <v>56</v>
      </c>
      <c r="AI65" s="892" t="s">
        <v>820</v>
      </c>
      <c r="AJ65" s="892"/>
    </row>
    <row r="66" spans="32:37">
      <c r="AF66" s="906" t="s">
        <v>1866</v>
      </c>
      <c r="AG66" s="906" t="s">
        <v>1866</v>
      </c>
      <c r="AH66" s="892" t="str">
        <f>ASC(【マスター】!$D$55)</f>
        <v>85</v>
      </c>
      <c r="AI66" s="892" t="s">
        <v>888</v>
      </c>
      <c r="AJ66" s="892"/>
    </row>
    <row r="67" spans="32:37">
      <c r="AF67" s="906" t="s">
        <v>823</v>
      </c>
      <c r="AG67" s="906" t="s">
        <v>823</v>
      </c>
      <c r="AH67" s="892" t="str">
        <f>ASC(【マスター】!$D$56)</f>
        <v>20</v>
      </c>
      <c r="AI67" s="892" t="s">
        <v>818</v>
      </c>
      <c r="AJ67" s="892"/>
    </row>
    <row r="68" spans="32:37" ht="19.5" customHeight="1">
      <c r="AF68" s="906" t="s">
        <v>208</v>
      </c>
      <c r="AG68" s="906" t="s">
        <v>208</v>
      </c>
      <c r="AH68" s="892" t="str">
        <f>ASC(【マスター】!$D$66)</f>
        <v>30</v>
      </c>
      <c r="AI68" s="892" t="s">
        <v>818</v>
      </c>
      <c r="AJ68" s="892"/>
    </row>
    <row r="69" spans="32:37">
      <c r="AF69" s="906" t="s">
        <v>209</v>
      </c>
      <c r="AG69" s="906" t="s">
        <v>209</v>
      </c>
      <c r="AH69" s="892" t="str">
        <f>ASC(【マスター】!$D$67)</f>
        <v>60</v>
      </c>
      <c r="AI69" s="892" t="s">
        <v>818</v>
      </c>
      <c r="AJ69" s="892"/>
    </row>
    <row r="70" spans="32:37">
      <c r="AF70" s="906" t="s">
        <v>1867</v>
      </c>
      <c r="AG70" s="906" t="s">
        <v>1867</v>
      </c>
      <c r="AH70" s="892" t="str">
        <f>ASC(【マスター】!$D$68)</f>
        <v>3</v>
      </c>
      <c r="AI70" s="892" t="s">
        <v>1907</v>
      </c>
      <c r="AJ70" s="892"/>
    </row>
    <row r="71" spans="32:37">
      <c r="AF71" s="906" t="s">
        <v>826</v>
      </c>
      <c r="AG71" s="906" t="s">
        <v>826</v>
      </c>
      <c r="AH71" s="892" t="str">
        <f>ASC(【マスター】!$D$51)</f>
        <v>60</v>
      </c>
      <c r="AI71" s="892" t="s">
        <v>820</v>
      </c>
      <c r="AJ71" s="892"/>
    </row>
    <row r="72" spans="32:37" ht="19.5" customHeight="1">
      <c r="AF72" s="906" t="s">
        <v>828</v>
      </c>
      <c r="AG72" s="906" t="s">
        <v>828</v>
      </c>
      <c r="AH72" s="892" t="str">
        <f>ASC(【マスター】!$D$52)</f>
        <v>60</v>
      </c>
      <c r="AI72" s="892" t="s">
        <v>820</v>
      </c>
      <c r="AJ72" s="892"/>
    </row>
    <row r="73" spans="32:37" ht="19.5" customHeight="1">
      <c r="AF73" s="906" t="s">
        <v>831</v>
      </c>
      <c r="AG73" s="906" t="s">
        <v>1964</v>
      </c>
      <c r="AH73" s="892" t="str">
        <f>ASC(【マスター】!$D$60)</f>
        <v>200</v>
      </c>
      <c r="AI73" s="892" t="s">
        <v>778</v>
      </c>
      <c r="AJ73" s="892" t="s">
        <v>832</v>
      </c>
    </row>
    <row r="74" spans="32:37" ht="20.25" customHeight="1">
      <c r="AF74" s="906" t="s">
        <v>1868</v>
      </c>
      <c r="AG74" s="906" t="s">
        <v>1868</v>
      </c>
      <c r="AH74" s="892" t="str">
        <f>ASC(【マスター】!$D$61)</f>
        <v>50</v>
      </c>
      <c r="AI74" s="892" t="s">
        <v>1869</v>
      </c>
      <c r="AJ74" s="892"/>
    </row>
    <row r="75" spans="32:37">
      <c r="AF75" s="906" t="s">
        <v>2022</v>
      </c>
      <c r="AG75" s="906" t="s">
        <v>1965</v>
      </c>
      <c r="AH75" s="892" t="str">
        <f>ASC(【マスター】!$D$62)</f>
        <v>20</v>
      </c>
      <c r="AI75" s="892" t="s">
        <v>778</v>
      </c>
      <c r="AJ75" s="906" t="s">
        <v>1872</v>
      </c>
    </row>
    <row r="76" spans="32:37">
      <c r="AF76" s="906" t="s">
        <v>2023</v>
      </c>
      <c r="AG76" s="906" t="s">
        <v>1966</v>
      </c>
      <c r="AH76" s="892" t="str">
        <f>ASC(【マスター】!$D$63)</f>
        <v>5</v>
      </c>
      <c r="AI76" s="892" t="s">
        <v>827</v>
      </c>
      <c r="AJ76" s="906" t="s">
        <v>1872</v>
      </c>
    </row>
    <row r="77" spans="32:37">
      <c r="AF77" s="906" t="s">
        <v>1870</v>
      </c>
      <c r="AG77" s="906" t="s">
        <v>1967</v>
      </c>
      <c r="AH77" s="892" t="str">
        <f>ASC(【マスター】!$D$64)</f>
        <v>150</v>
      </c>
      <c r="AI77" s="892" t="s">
        <v>778</v>
      </c>
      <c r="AJ77" s="892" t="s">
        <v>832</v>
      </c>
    </row>
    <row r="78" spans="32:37" ht="19.5">
      <c r="AF78" s="906" t="s">
        <v>1871</v>
      </c>
      <c r="AG78" s="906" t="s">
        <v>1968</v>
      </c>
      <c r="AH78" s="892" t="str">
        <f>ASC(【マスター】!$D$65)</f>
        <v>160</v>
      </c>
      <c r="AI78" s="892" t="s">
        <v>778</v>
      </c>
      <c r="AJ78" s="892" t="s">
        <v>832</v>
      </c>
      <c r="AK78" s="486"/>
    </row>
    <row r="79" spans="32:37">
      <c r="AF79" s="933" t="s">
        <v>2013</v>
      </c>
      <c r="AG79" s="933" t="s">
        <v>2014</v>
      </c>
      <c r="AH79" s="354" t="str">
        <f>ASC(【マスター】!$D$72)</f>
        <v>40</v>
      </c>
      <c r="AI79" s="354" t="s">
        <v>2015</v>
      </c>
      <c r="AJ79" s="354"/>
    </row>
    <row r="80" spans="32:37">
      <c r="AF80" s="906" t="s">
        <v>171</v>
      </c>
      <c r="AG80" s="906" t="s">
        <v>1969</v>
      </c>
      <c r="AH80" s="892" t="str">
        <f>ASC("-"&amp;【マスター】!$K$51)</f>
        <v>-47</v>
      </c>
      <c r="AI80" s="892" t="s">
        <v>778</v>
      </c>
      <c r="AJ80" s="892" t="s">
        <v>836</v>
      </c>
    </row>
    <row r="81" spans="32:37">
      <c r="AF81" s="354" t="s">
        <v>2080</v>
      </c>
      <c r="AG81" s="354" t="s">
        <v>2080</v>
      </c>
      <c r="AH81" s="892" t="str">
        <f>ASC("-"&amp;【マスター】!$K$52)</f>
        <v>-94</v>
      </c>
      <c r="AI81" s="892" t="s">
        <v>2079</v>
      </c>
      <c r="AJ81" s="892"/>
    </row>
    <row r="82" spans="32:37">
      <c r="AF82" s="896" t="s">
        <v>758</v>
      </c>
    </row>
    <row r="83" spans="32:37">
      <c r="AF83" s="900" t="s">
        <v>773</v>
      </c>
      <c r="AG83" s="900" t="s">
        <v>765</v>
      </c>
      <c r="AH83" s="900" t="s">
        <v>766</v>
      </c>
      <c r="AI83" s="900" t="s">
        <v>767</v>
      </c>
      <c r="AJ83" s="900" t="s">
        <v>774</v>
      </c>
    </row>
    <row r="84" spans="32:37">
      <c r="AF84" s="892" t="s">
        <v>861</v>
      </c>
      <c r="AG84" s="892" t="s">
        <v>862</v>
      </c>
      <c r="AH84" s="951">
        <f>$AH$86*0.7</f>
        <v>351.4</v>
      </c>
      <c r="AI84" s="892" t="s">
        <v>778</v>
      </c>
      <c r="AJ84" s="892"/>
      <c r="AK84" s="810"/>
    </row>
    <row r="85" spans="32:37">
      <c r="AF85" s="892" t="s">
        <v>863</v>
      </c>
      <c r="AG85" s="892" t="s">
        <v>864</v>
      </c>
      <c r="AH85" s="950">
        <f>【マスター】!$X$18</f>
        <v>479</v>
      </c>
      <c r="AI85" s="892" t="s">
        <v>778</v>
      </c>
      <c r="AJ85" s="892"/>
      <c r="AK85" s="923"/>
    </row>
    <row r="86" spans="32:37">
      <c r="AF86" s="892" t="s">
        <v>865</v>
      </c>
      <c r="AG86" s="892" t="s">
        <v>866</v>
      </c>
      <c r="AH86" s="951">
        <f>【マスター】!$AC$18</f>
        <v>502</v>
      </c>
      <c r="AI86" s="892" t="s">
        <v>778</v>
      </c>
      <c r="AJ86" s="892"/>
      <c r="AK86" s="924"/>
    </row>
    <row r="87" spans="32:37">
      <c r="AF87" s="892" t="s">
        <v>867</v>
      </c>
      <c r="AG87" s="892" t="s">
        <v>868</v>
      </c>
      <c r="AH87" s="951">
        <f>【マスター】!$AH$18</f>
        <v>777</v>
      </c>
      <c r="AI87" s="892" t="s">
        <v>778</v>
      </c>
      <c r="AJ87" s="892"/>
      <c r="AK87" s="924"/>
    </row>
    <row r="88" spans="32:37" ht="19.5" customHeight="1">
      <c r="AF88" s="892" t="s">
        <v>869</v>
      </c>
      <c r="AG88" s="892" t="s">
        <v>870</v>
      </c>
      <c r="AH88" s="951">
        <f>【マスター】!$AM$18</f>
        <v>796</v>
      </c>
      <c r="AI88" s="892" t="s">
        <v>778</v>
      </c>
      <c r="AJ88" s="892"/>
      <c r="AK88" s="924"/>
    </row>
    <row r="89" spans="32:37" ht="20.25" customHeight="1">
      <c r="AF89" s="892" t="s">
        <v>871</v>
      </c>
      <c r="AG89" s="892" t="s">
        <v>872</v>
      </c>
      <c r="AH89" s="951">
        <f>【マスター】!$AR$18</f>
        <v>900</v>
      </c>
      <c r="AI89" s="892" t="s">
        <v>778</v>
      </c>
      <c r="AJ89" s="892"/>
      <c r="AK89" s="924"/>
    </row>
    <row r="90" spans="32:37">
      <c r="AF90" s="892" t="s">
        <v>771</v>
      </c>
      <c r="AG90" s="892" t="s">
        <v>873</v>
      </c>
      <c r="AH90" s="953">
        <f>【マスター】!$AW$18</f>
        <v>915</v>
      </c>
      <c r="AI90" s="892" t="s">
        <v>778</v>
      </c>
      <c r="AJ90" s="892"/>
      <c r="AK90" s="925"/>
    </row>
    <row r="91" spans="32:37">
      <c r="AF91" s="906" t="s">
        <v>1980</v>
      </c>
      <c r="AG91" s="892" t="s">
        <v>1953</v>
      </c>
      <c r="AH91" s="953">
        <f>$AH$90+50</f>
        <v>965</v>
      </c>
      <c r="AI91" s="892" t="s">
        <v>778</v>
      </c>
      <c r="AJ91" s="892"/>
      <c r="AK91" s="810"/>
    </row>
    <row r="92" spans="32:37">
      <c r="AF92" s="906" t="s">
        <v>1981</v>
      </c>
      <c r="AG92" s="892" t="s">
        <v>1955</v>
      </c>
      <c r="AH92" s="953">
        <f>$AH$91+50</f>
        <v>1015</v>
      </c>
      <c r="AI92" s="892" t="s">
        <v>778</v>
      </c>
      <c r="AJ92" s="892"/>
      <c r="AK92" s="810"/>
    </row>
    <row r="93" spans="32:37">
      <c r="AF93" s="906" t="s">
        <v>1982</v>
      </c>
      <c r="AG93" s="892" t="s">
        <v>1957</v>
      </c>
      <c r="AH93" s="953">
        <f>$AH$92+50</f>
        <v>1065</v>
      </c>
      <c r="AI93" s="892" t="s">
        <v>778</v>
      </c>
      <c r="AJ93" s="907"/>
      <c r="AK93" s="810"/>
    </row>
    <row r="94" spans="32:37">
      <c r="AF94" s="906" t="s">
        <v>1983</v>
      </c>
      <c r="AG94" s="892" t="s">
        <v>1959</v>
      </c>
      <c r="AH94" s="953">
        <f>$AH$93+50</f>
        <v>1115</v>
      </c>
      <c r="AI94" s="892" t="s">
        <v>778</v>
      </c>
      <c r="AJ94" s="892"/>
      <c r="AK94" s="810"/>
    </row>
    <row r="95" spans="32:37">
      <c r="AF95" s="906" t="s">
        <v>1984</v>
      </c>
      <c r="AG95" s="892" t="s">
        <v>1961</v>
      </c>
      <c r="AH95" s="953">
        <f>$AH$94+50</f>
        <v>1165</v>
      </c>
      <c r="AI95" s="892" t="s">
        <v>778</v>
      </c>
      <c r="AJ95" s="892"/>
      <c r="AK95" s="810"/>
    </row>
    <row r="96" spans="32:37">
      <c r="AF96" s="906" t="s">
        <v>1861</v>
      </c>
      <c r="AG96" s="892" t="s">
        <v>1861</v>
      </c>
      <c r="AH96" s="892" t="str">
        <f>ASC(【マスター】!$D$49)</f>
        <v>40</v>
      </c>
      <c r="AI96" s="892" t="s">
        <v>1906</v>
      </c>
      <c r="AJ96" s="892"/>
    </row>
    <row r="97" spans="32:36">
      <c r="AF97" s="906" t="s">
        <v>1862</v>
      </c>
      <c r="AG97" s="892" t="s">
        <v>1862</v>
      </c>
      <c r="AH97" s="892" t="str">
        <f>ASC(【マスター】!$D$50)</f>
        <v>55</v>
      </c>
      <c r="AI97" s="892" t="s">
        <v>1906</v>
      </c>
      <c r="AJ97" s="892"/>
    </row>
    <row r="98" spans="32:36">
      <c r="AF98" s="906" t="s">
        <v>817</v>
      </c>
      <c r="AG98" s="892" t="s">
        <v>817</v>
      </c>
      <c r="AH98" s="899" t="str">
        <f>ASC(【マスター】!$D$53)</f>
        <v>45</v>
      </c>
      <c r="AI98" s="892" t="s">
        <v>778</v>
      </c>
      <c r="AJ98" s="899"/>
    </row>
    <row r="99" spans="32:36">
      <c r="AF99" s="906" t="s">
        <v>1863</v>
      </c>
      <c r="AG99" s="906" t="s">
        <v>1962</v>
      </c>
      <c r="AH99" s="892" t="str">
        <f>ASC(【マスター】!$D$69)</f>
        <v>100</v>
      </c>
      <c r="AI99" s="892" t="s">
        <v>818</v>
      </c>
      <c r="AJ99" s="912" t="s">
        <v>1963</v>
      </c>
    </row>
    <row r="100" spans="32:36">
      <c r="AF100" s="906" t="s">
        <v>1864</v>
      </c>
      <c r="AG100" s="906" t="s">
        <v>1864</v>
      </c>
      <c r="AH100" s="892" t="str">
        <f>ASC(【マスター】!$D$70)</f>
        <v>100</v>
      </c>
      <c r="AI100" s="892" t="s">
        <v>818</v>
      </c>
      <c r="AJ100" s="892"/>
    </row>
    <row r="101" spans="32:36">
      <c r="AF101" s="906" t="s">
        <v>1865</v>
      </c>
      <c r="AG101" s="906" t="s">
        <v>1865</v>
      </c>
      <c r="AH101" s="892" t="str">
        <f>ASC(【マスター】!$D$54)</f>
        <v>56</v>
      </c>
      <c r="AI101" s="892" t="s">
        <v>820</v>
      </c>
      <c r="AJ101" s="892"/>
    </row>
    <row r="102" spans="32:36">
      <c r="AF102" s="906" t="s">
        <v>1866</v>
      </c>
      <c r="AG102" s="906" t="s">
        <v>1866</v>
      </c>
      <c r="AH102" s="892" t="str">
        <f>ASC(【マスター】!$D$55)</f>
        <v>85</v>
      </c>
      <c r="AI102" s="892" t="s">
        <v>888</v>
      </c>
      <c r="AJ102" s="892"/>
    </row>
    <row r="103" spans="32:36">
      <c r="AF103" s="906" t="s">
        <v>823</v>
      </c>
      <c r="AG103" s="906" t="s">
        <v>823</v>
      </c>
      <c r="AH103" s="892" t="str">
        <f>ASC(【マスター】!$D$56)</f>
        <v>20</v>
      </c>
      <c r="AI103" s="892" t="s">
        <v>818</v>
      </c>
      <c r="AJ103" s="892"/>
    </row>
    <row r="104" spans="32:36">
      <c r="AF104" s="906" t="s">
        <v>208</v>
      </c>
      <c r="AG104" s="906" t="s">
        <v>208</v>
      </c>
      <c r="AH104" s="892" t="str">
        <f>ASC(【マスター】!$D$66)</f>
        <v>30</v>
      </c>
      <c r="AI104" s="892" t="s">
        <v>818</v>
      </c>
      <c r="AJ104" s="892"/>
    </row>
    <row r="105" spans="32:36">
      <c r="AF105" s="906" t="s">
        <v>209</v>
      </c>
      <c r="AG105" s="906" t="s">
        <v>209</v>
      </c>
      <c r="AH105" s="892" t="str">
        <f>ASC(【マスター】!$D$67)</f>
        <v>60</v>
      </c>
      <c r="AI105" s="892" t="s">
        <v>818</v>
      </c>
      <c r="AJ105" s="892"/>
    </row>
    <row r="106" spans="32:36">
      <c r="AF106" s="906" t="s">
        <v>1867</v>
      </c>
      <c r="AG106" s="906" t="s">
        <v>1867</v>
      </c>
      <c r="AH106" s="892" t="str">
        <f>ASC(【マスター】!$D$68)</f>
        <v>3</v>
      </c>
      <c r="AI106" s="892" t="s">
        <v>1907</v>
      </c>
      <c r="AJ106" s="892"/>
    </row>
    <row r="107" spans="32:36">
      <c r="AF107" s="906" t="s">
        <v>826</v>
      </c>
      <c r="AG107" s="906" t="s">
        <v>826</v>
      </c>
      <c r="AH107" s="892" t="str">
        <f>ASC(【マスター】!$D$51)</f>
        <v>60</v>
      </c>
      <c r="AI107" s="892" t="s">
        <v>820</v>
      </c>
      <c r="AJ107" s="892"/>
    </row>
    <row r="108" spans="32:36">
      <c r="AF108" s="906" t="s">
        <v>828</v>
      </c>
      <c r="AG108" s="906" t="s">
        <v>828</v>
      </c>
      <c r="AH108" s="892" t="str">
        <f>ASC(【マスター】!$D$52)</f>
        <v>60</v>
      </c>
      <c r="AI108" s="892" t="s">
        <v>820</v>
      </c>
      <c r="AJ108" s="892"/>
    </row>
    <row r="109" spans="32:36">
      <c r="AF109" s="906" t="s">
        <v>831</v>
      </c>
      <c r="AG109" s="906" t="s">
        <v>1964</v>
      </c>
      <c r="AH109" s="892" t="str">
        <f>ASC(【マスター】!$D$60)</f>
        <v>200</v>
      </c>
      <c r="AI109" s="892" t="s">
        <v>778</v>
      </c>
      <c r="AJ109" s="892" t="s">
        <v>832</v>
      </c>
    </row>
    <row r="110" spans="32:36">
      <c r="AF110" s="906" t="s">
        <v>1868</v>
      </c>
      <c r="AG110" s="906" t="s">
        <v>1868</v>
      </c>
      <c r="AH110" s="892" t="str">
        <f>ASC(【マスター】!$D$61)</f>
        <v>50</v>
      </c>
      <c r="AI110" s="892" t="s">
        <v>1869</v>
      </c>
      <c r="AJ110" s="892"/>
    </row>
    <row r="111" spans="32:36">
      <c r="AF111" s="906" t="s">
        <v>2022</v>
      </c>
      <c r="AG111" s="906" t="s">
        <v>1965</v>
      </c>
      <c r="AH111" s="892" t="str">
        <f>ASC(【マスター】!$D$62)</f>
        <v>20</v>
      </c>
      <c r="AI111" s="892" t="s">
        <v>778</v>
      </c>
      <c r="AJ111" s="906" t="s">
        <v>1872</v>
      </c>
    </row>
    <row r="112" spans="32:36">
      <c r="AF112" s="906" t="s">
        <v>2023</v>
      </c>
      <c r="AG112" s="906" t="s">
        <v>1966</v>
      </c>
      <c r="AH112" s="892" t="str">
        <f>ASC(【マスター】!$D$63)</f>
        <v>5</v>
      </c>
      <c r="AI112" s="892" t="s">
        <v>827</v>
      </c>
      <c r="AJ112" s="906" t="s">
        <v>1872</v>
      </c>
    </row>
    <row r="113" spans="32:37">
      <c r="AF113" s="906" t="s">
        <v>1870</v>
      </c>
      <c r="AG113" s="906" t="s">
        <v>1967</v>
      </c>
      <c r="AH113" s="892" t="str">
        <f>ASC(【マスター】!$D$64)</f>
        <v>150</v>
      </c>
      <c r="AI113" s="892" t="s">
        <v>778</v>
      </c>
      <c r="AJ113" s="892" t="s">
        <v>832</v>
      </c>
    </row>
    <row r="114" spans="32:37" ht="19.5">
      <c r="AF114" s="906" t="s">
        <v>1871</v>
      </c>
      <c r="AG114" s="906" t="s">
        <v>1968</v>
      </c>
      <c r="AH114" s="892" t="str">
        <f>ASC(【マスター】!$D$65)</f>
        <v>160</v>
      </c>
      <c r="AI114" s="892" t="s">
        <v>778</v>
      </c>
      <c r="AJ114" s="892" t="s">
        <v>832</v>
      </c>
      <c r="AK114" s="486"/>
    </row>
    <row r="115" spans="32:37">
      <c r="AF115" s="933" t="s">
        <v>2013</v>
      </c>
      <c r="AG115" s="933" t="s">
        <v>2014</v>
      </c>
      <c r="AH115" s="354" t="str">
        <f>ASC(【マスター】!$D$72)</f>
        <v>40</v>
      </c>
      <c r="AI115" s="354" t="s">
        <v>2015</v>
      </c>
      <c r="AJ115" s="354"/>
    </row>
    <row r="116" spans="32:37">
      <c r="AF116" s="906" t="s">
        <v>171</v>
      </c>
      <c r="AG116" s="906" t="s">
        <v>1969</v>
      </c>
      <c r="AH116" s="892" t="str">
        <f>ASC("-"&amp;【マスター】!$K$51)</f>
        <v>-47</v>
      </c>
      <c r="AI116" s="892" t="s">
        <v>778</v>
      </c>
      <c r="AJ116" s="892" t="s">
        <v>836</v>
      </c>
    </row>
    <row r="117" spans="32:37">
      <c r="AF117" s="354" t="s">
        <v>2080</v>
      </c>
      <c r="AG117" s="354" t="s">
        <v>2080</v>
      </c>
      <c r="AH117" s="892" t="str">
        <f>ASC("-"&amp;【マスター】!$K$52)</f>
        <v>-94</v>
      </c>
      <c r="AI117" s="892" t="s">
        <v>2079</v>
      </c>
      <c r="AJ117" s="892"/>
    </row>
    <row r="118" spans="32:37">
      <c r="AF118" s="896" t="s">
        <v>785</v>
      </c>
    </row>
    <row r="119" spans="32:37">
      <c r="AF119" s="900" t="s">
        <v>773</v>
      </c>
      <c r="AG119" s="900" t="s">
        <v>765</v>
      </c>
      <c r="AH119" s="900" t="s">
        <v>766</v>
      </c>
      <c r="AI119" s="900" t="s">
        <v>767</v>
      </c>
      <c r="AJ119" s="900" t="s">
        <v>774</v>
      </c>
    </row>
    <row r="120" spans="32:37">
      <c r="AF120" s="892" t="s">
        <v>874</v>
      </c>
      <c r="AG120" s="892" t="s">
        <v>875</v>
      </c>
      <c r="AH120" s="950">
        <f>$AH$122*0.7</f>
        <v>392</v>
      </c>
      <c r="AI120" s="892" t="s">
        <v>827</v>
      </c>
      <c r="AJ120" s="892"/>
      <c r="AK120" s="810"/>
    </row>
    <row r="121" spans="32:37">
      <c r="AF121" s="892" t="s">
        <v>876</v>
      </c>
      <c r="AG121" s="892" t="s">
        <v>877</v>
      </c>
      <c r="AH121" s="950">
        <f>【マスター】!$Y$18</f>
        <v>533</v>
      </c>
      <c r="AI121" s="892" t="s">
        <v>827</v>
      </c>
      <c r="AJ121" s="892"/>
      <c r="AK121" s="923"/>
    </row>
    <row r="122" spans="32:37">
      <c r="AF122" s="892" t="s">
        <v>878</v>
      </c>
      <c r="AG122" s="892" t="s">
        <v>879</v>
      </c>
      <c r="AH122" s="950">
        <f>【マスター】!$AD$18</f>
        <v>560</v>
      </c>
      <c r="AI122" s="892" t="s">
        <v>827</v>
      </c>
      <c r="AJ122" s="899"/>
      <c r="AK122" s="924"/>
    </row>
    <row r="123" spans="32:37">
      <c r="AF123" s="892" t="s">
        <v>880</v>
      </c>
      <c r="AG123" s="892" t="s">
        <v>881</v>
      </c>
      <c r="AH123" s="950">
        <f>【マスター】!$AI$18</f>
        <v>880</v>
      </c>
      <c r="AI123" s="892" t="s">
        <v>827</v>
      </c>
      <c r="AJ123" s="892"/>
      <c r="AK123" s="924"/>
    </row>
    <row r="124" spans="32:37">
      <c r="AF124" s="892" t="s">
        <v>882</v>
      </c>
      <c r="AG124" s="892" t="s">
        <v>883</v>
      </c>
      <c r="AH124" s="950">
        <f>【マスター】!$AN$18</f>
        <v>901</v>
      </c>
      <c r="AI124" s="892" t="s">
        <v>827</v>
      </c>
      <c r="AJ124" s="892"/>
      <c r="AK124" s="925"/>
    </row>
    <row r="125" spans="32:37">
      <c r="AF125" s="892" t="s">
        <v>884</v>
      </c>
      <c r="AG125" s="892" t="s">
        <v>885</v>
      </c>
      <c r="AH125" s="950">
        <f>【マスター】!$AS$18</f>
        <v>1023</v>
      </c>
      <c r="AI125" s="892" t="s">
        <v>827</v>
      </c>
      <c r="AJ125" s="892"/>
      <c r="AK125" s="924"/>
    </row>
    <row r="126" spans="32:37">
      <c r="AF126" s="892" t="s">
        <v>886</v>
      </c>
      <c r="AG126" s="892" t="s">
        <v>887</v>
      </c>
      <c r="AH126" s="950">
        <f>【マスター】!$AX$18</f>
        <v>1041</v>
      </c>
      <c r="AI126" s="892" t="s">
        <v>827</v>
      </c>
      <c r="AJ126" s="892"/>
      <c r="AK126" s="925"/>
    </row>
    <row r="127" spans="32:37">
      <c r="AF127" s="906" t="s">
        <v>1975</v>
      </c>
      <c r="AG127" s="892" t="s">
        <v>1953</v>
      </c>
      <c r="AH127" s="950">
        <f>$AH$126+50</f>
        <v>1091</v>
      </c>
      <c r="AI127" s="892" t="s">
        <v>827</v>
      </c>
      <c r="AJ127" s="892"/>
      <c r="AK127" s="810"/>
    </row>
    <row r="128" spans="32:37">
      <c r="AF128" s="906" t="s">
        <v>1976</v>
      </c>
      <c r="AG128" s="892" t="s">
        <v>1955</v>
      </c>
      <c r="AH128" s="950">
        <f>$AH$127+50</f>
        <v>1141</v>
      </c>
      <c r="AI128" s="892" t="s">
        <v>827</v>
      </c>
      <c r="AJ128" s="892"/>
      <c r="AK128" s="810"/>
    </row>
    <row r="129" spans="32:37">
      <c r="AF129" s="906" t="s">
        <v>1977</v>
      </c>
      <c r="AG129" s="892" t="s">
        <v>1957</v>
      </c>
      <c r="AH129" s="950">
        <f>$AH$128+50</f>
        <v>1191</v>
      </c>
      <c r="AI129" s="892" t="s">
        <v>827</v>
      </c>
      <c r="AJ129" s="907"/>
      <c r="AK129" s="810"/>
    </row>
    <row r="130" spans="32:37">
      <c r="AF130" s="906" t="s">
        <v>1978</v>
      </c>
      <c r="AG130" s="892" t="s">
        <v>1959</v>
      </c>
      <c r="AH130" s="950">
        <f>$AH$129+50</f>
        <v>1241</v>
      </c>
      <c r="AI130" s="892" t="s">
        <v>827</v>
      </c>
      <c r="AJ130" s="892"/>
      <c r="AK130" s="810"/>
    </row>
    <row r="131" spans="32:37">
      <c r="AF131" s="906" t="s">
        <v>1979</v>
      </c>
      <c r="AG131" s="892" t="s">
        <v>1961</v>
      </c>
      <c r="AH131" s="950">
        <f>$AH$130+50</f>
        <v>1291</v>
      </c>
      <c r="AI131" s="892" t="s">
        <v>827</v>
      </c>
      <c r="AJ131" s="892"/>
      <c r="AK131" s="810"/>
    </row>
    <row r="132" spans="32:37">
      <c r="AF132" s="906" t="s">
        <v>1861</v>
      </c>
      <c r="AG132" s="892" t="s">
        <v>1861</v>
      </c>
      <c r="AH132" s="892" t="str">
        <f>ASC(【マスター】!$D$49)</f>
        <v>40</v>
      </c>
      <c r="AI132" s="892" t="s">
        <v>1906</v>
      </c>
      <c r="AJ132" s="892"/>
    </row>
    <row r="133" spans="32:37">
      <c r="AF133" s="906" t="s">
        <v>1862</v>
      </c>
      <c r="AG133" s="892" t="s">
        <v>1862</v>
      </c>
      <c r="AH133" s="892" t="str">
        <f>ASC(【マスター】!$D$50)</f>
        <v>55</v>
      </c>
      <c r="AI133" s="892" t="s">
        <v>1906</v>
      </c>
      <c r="AJ133" s="892"/>
    </row>
    <row r="134" spans="32:37">
      <c r="AF134" s="906" t="s">
        <v>817</v>
      </c>
      <c r="AG134" s="892" t="s">
        <v>817</v>
      </c>
      <c r="AH134" s="899" t="str">
        <f>ASC(【マスター】!$D$53)</f>
        <v>45</v>
      </c>
      <c r="AI134" s="892" t="s">
        <v>778</v>
      </c>
      <c r="AJ134" s="899"/>
    </row>
    <row r="135" spans="32:37">
      <c r="AF135" s="906" t="s">
        <v>1863</v>
      </c>
      <c r="AG135" s="906" t="s">
        <v>1962</v>
      </c>
      <c r="AH135" s="892" t="str">
        <f>ASC(【マスター】!$D$69)</f>
        <v>100</v>
      </c>
      <c r="AI135" s="892" t="s">
        <v>818</v>
      </c>
      <c r="AJ135" s="912" t="s">
        <v>1963</v>
      </c>
    </row>
    <row r="136" spans="32:37">
      <c r="AF136" s="906" t="s">
        <v>1864</v>
      </c>
      <c r="AG136" s="906" t="s">
        <v>1864</v>
      </c>
      <c r="AH136" s="892" t="str">
        <f>ASC(【マスター】!$D$70)</f>
        <v>100</v>
      </c>
      <c r="AI136" s="892" t="s">
        <v>818</v>
      </c>
      <c r="AJ136" s="892"/>
    </row>
    <row r="137" spans="32:37">
      <c r="AF137" s="906" t="s">
        <v>1865</v>
      </c>
      <c r="AG137" s="906" t="s">
        <v>1865</v>
      </c>
      <c r="AH137" s="892" t="str">
        <f>ASC(【マスター】!$D$54)</f>
        <v>56</v>
      </c>
      <c r="AI137" s="892" t="s">
        <v>820</v>
      </c>
      <c r="AJ137" s="892"/>
    </row>
    <row r="138" spans="32:37">
      <c r="AF138" s="906" t="s">
        <v>1866</v>
      </c>
      <c r="AG138" s="906" t="s">
        <v>1866</v>
      </c>
      <c r="AH138" s="892" t="str">
        <f>ASC(【マスター】!$D$55)</f>
        <v>85</v>
      </c>
      <c r="AI138" s="892" t="s">
        <v>888</v>
      </c>
      <c r="AJ138" s="892"/>
    </row>
    <row r="139" spans="32:37">
      <c r="AF139" s="906" t="s">
        <v>823</v>
      </c>
      <c r="AG139" s="906" t="s">
        <v>823</v>
      </c>
      <c r="AH139" s="892" t="str">
        <f>ASC(【マスター】!$D$56)</f>
        <v>20</v>
      </c>
      <c r="AI139" s="892" t="s">
        <v>818</v>
      </c>
      <c r="AJ139" s="892"/>
    </row>
    <row r="140" spans="32:37">
      <c r="AF140" s="906" t="s">
        <v>208</v>
      </c>
      <c r="AG140" s="906" t="s">
        <v>208</v>
      </c>
      <c r="AH140" s="892" t="str">
        <f>ASC(【マスター】!$D$66)</f>
        <v>30</v>
      </c>
      <c r="AI140" s="892" t="s">
        <v>818</v>
      </c>
      <c r="AJ140" s="892"/>
    </row>
    <row r="141" spans="32:37">
      <c r="AF141" s="906" t="s">
        <v>209</v>
      </c>
      <c r="AG141" s="906" t="s">
        <v>209</v>
      </c>
      <c r="AH141" s="892" t="str">
        <f>ASC(【マスター】!$D$67)</f>
        <v>60</v>
      </c>
      <c r="AI141" s="892" t="s">
        <v>818</v>
      </c>
      <c r="AJ141" s="892"/>
    </row>
    <row r="142" spans="32:37">
      <c r="AF142" s="906" t="s">
        <v>1867</v>
      </c>
      <c r="AG142" s="906" t="s">
        <v>1867</v>
      </c>
      <c r="AH142" s="892" t="str">
        <f>ASC(【マスター】!$D$68)</f>
        <v>3</v>
      </c>
      <c r="AI142" s="892" t="s">
        <v>1907</v>
      </c>
      <c r="AJ142" s="892"/>
    </row>
    <row r="143" spans="32:37">
      <c r="AF143" s="906" t="s">
        <v>826</v>
      </c>
      <c r="AG143" s="906" t="s">
        <v>826</v>
      </c>
      <c r="AH143" s="892" t="str">
        <f>ASC(【マスター】!$D$51)</f>
        <v>60</v>
      </c>
      <c r="AI143" s="892" t="s">
        <v>820</v>
      </c>
      <c r="AJ143" s="892"/>
    </row>
    <row r="144" spans="32:37">
      <c r="AF144" s="906" t="s">
        <v>828</v>
      </c>
      <c r="AG144" s="906" t="s">
        <v>828</v>
      </c>
      <c r="AH144" s="892" t="str">
        <f>ASC(【マスター】!$D$52)</f>
        <v>60</v>
      </c>
      <c r="AI144" s="892" t="s">
        <v>820</v>
      </c>
      <c r="AJ144" s="892"/>
    </row>
    <row r="145" spans="32:37">
      <c r="AF145" s="906" t="s">
        <v>831</v>
      </c>
      <c r="AG145" s="906" t="s">
        <v>1964</v>
      </c>
      <c r="AH145" s="892" t="str">
        <f>ASC(【マスター】!$D$60)</f>
        <v>200</v>
      </c>
      <c r="AI145" s="892" t="s">
        <v>778</v>
      </c>
      <c r="AJ145" s="892" t="s">
        <v>832</v>
      </c>
    </row>
    <row r="146" spans="32:37">
      <c r="AF146" s="906" t="s">
        <v>1868</v>
      </c>
      <c r="AG146" s="906" t="s">
        <v>1868</v>
      </c>
      <c r="AH146" s="892" t="str">
        <f>ASC(【マスター】!$D$61)</f>
        <v>50</v>
      </c>
      <c r="AI146" s="892" t="s">
        <v>1869</v>
      </c>
      <c r="AJ146" s="892"/>
    </row>
    <row r="147" spans="32:37">
      <c r="AF147" s="906" t="s">
        <v>2022</v>
      </c>
      <c r="AG147" s="906" t="s">
        <v>1965</v>
      </c>
      <c r="AH147" s="892" t="str">
        <f>ASC(【マスター】!$D$62)</f>
        <v>20</v>
      </c>
      <c r="AI147" s="892" t="s">
        <v>778</v>
      </c>
      <c r="AJ147" s="906" t="s">
        <v>1872</v>
      </c>
    </row>
    <row r="148" spans="32:37">
      <c r="AF148" s="906" t="s">
        <v>2023</v>
      </c>
      <c r="AG148" s="906" t="s">
        <v>1966</v>
      </c>
      <c r="AH148" s="892" t="str">
        <f>ASC(【マスター】!$D$63)</f>
        <v>5</v>
      </c>
      <c r="AI148" s="892" t="s">
        <v>827</v>
      </c>
      <c r="AJ148" s="906" t="s">
        <v>1872</v>
      </c>
    </row>
    <row r="149" spans="32:37">
      <c r="AF149" s="906" t="s">
        <v>1870</v>
      </c>
      <c r="AG149" s="906" t="s">
        <v>1967</v>
      </c>
      <c r="AH149" s="892" t="str">
        <f>ASC(【マスター】!$D$64)</f>
        <v>150</v>
      </c>
      <c r="AI149" s="892" t="s">
        <v>778</v>
      </c>
      <c r="AJ149" s="892" t="s">
        <v>832</v>
      </c>
    </row>
    <row r="150" spans="32:37" ht="19.5">
      <c r="AF150" s="906" t="s">
        <v>1871</v>
      </c>
      <c r="AG150" s="906" t="s">
        <v>1968</v>
      </c>
      <c r="AH150" s="892" t="str">
        <f>ASC(【マスター】!$D$65)</f>
        <v>160</v>
      </c>
      <c r="AI150" s="892" t="s">
        <v>778</v>
      </c>
      <c r="AJ150" s="892" t="s">
        <v>832</v>
      </c>
      <c r="AK150" s="486"/>
    </row>
    <row r="151" spans="32:37">
      <c r="AF151" s="933" t="s">
        <v>2013</v>
      </c>
      <c r="AG151" s="933" t="s">
        <v>2014</v>
      </c>
      <c r="AH151" s="354" t="str">
        <f>ASC(【マスター】!$D$72)</f>
        <v>40</v>
      </c>
      <c r="AI151" s="354" t="s">
        <v>2015</v>
      </c>
      <c r="AJ151" s="354"/>
    </row>
    <row r="152" spans="32:37">
      <c r="AF152" s="906" t="s">
        <v>171</v>
      </c>
      <c r="AG152" s="906" t="s">
        <v>1969</v>
      </c>
      <c r="AH152" s="892" t="str">
        <f>ASC("-"&amp;【マスター】!$K$51)</f>
        <v>-47</v>
      </c>
      <c r="AI152" s="892" t="s">
        <v>778</v>
      </c>
      <c r="AJ152" s="892" t="s">
        <v>836</v>
      </c>
    </row>
    <row r="153" spans="32:37">
      <c r="AF153" s="354" t="s">
        <v>2080</v>
      </c>
      <c r="AG153" s="354" t="s">
        <v>2080</v>
      </c>
      <c r="AH153" s="892" t="str">
        <f>ASC("-"&amp;【マスター】!$K$52)</f>
        <v>-94</v>
      </c>
      <c r="AI153" s="892" t="s">
        <v>2079</v>
      </c>
      <c r="AJ153" s="892"/>
    </row>
    <row r="154" spans="32:37">
      <c r="AF154" s="896" t="s">
        <v>790</v>
      </c>
    </row>
    <row r="155" spans="32:37">
      <c r="AF155" s="900" t="s">
        <v>773</v>
      </c>
      <c r="AG155" s="900" t="s">
        <v>765</v>
      </c>
      <c r="AH155" s="900" t="s">
        <v>766</v>
      </c>
      <c r="AI155" s="900" t="s">
        <v>767</v>
      </c>
      <c r="AJ155" s="900" t="s">
        <v>774</v>
      </c>
    </row>
    <row r="156" spans="32:37">
      <c r="AF156" s="892" t="s">
        <v>889</v>
      </c>
      <c r="AG156" s="892" t="s">
        <v>890</v>
      </c>
      <c r="AH156" s="950">
        <f>$AH$158*0.7</f>
        <v>431.9</v>
      </c>
      <c r="AI156" s="892" t="s">
        <v>827</v>
      </c>
      <c r="AJ156" s="892"/>
      <c r="AK156" s="810"/>
    </row>
    <row r="157" spans="32:37">
      <c r="AF157" s="892" t="s">
        <v>891</v>
      </c>
      <c r="AG157" s="892" t="s">
        <v>892</v>
      </c>
      <c r="AH157" s="950">
        <f>【マスター】!$Z$18</f>
        <v>588</v>
      </c>
      <c r="AI157" s="892" t="s">
        <v>827</v>
      </c>
      <c r="AJ157" s="907"/>
      <c r="AK157" s="923"/>
    </row>
    <row r="158" spans="32:37">
      <c r="AF158" s="892" t="s">
        <v>893</v>
      </c>
      <c r="AG158" s="892" t="s">
        <v>894</v>
      </c>
      <c r="AH158" s="950">
        <f>【マスター】!$AE$18</f>
        <v>617</v>
      </c>
      <c r="AI158" s="892" t="s">
        <v>827</v>
      </c>
      <c r="AJ158" s="892"/>
      <c r="AK158" s="924"/>
    </row>
    <row r="159" spans="32:37">
      <c r="AF159" s="892" t="s">
        <v>895</v>
      </c>
      <c r="AG159" s="899" t="s">
        <v>896</v>
      </c>
      <c r="AH159" s="950">
        <f>【マスター】!$AJ$18</f>
        <v>984</v>
      </c>
      <c r="AI159" s="892" t="s">
        <v>827</v>
      </c>
      <c r="AJ159" s="892"/>
      <c r="AK159" s="925"/>
    </row>
    <row r="160" spans="32:37">
      <c r="AF160" s="892" t="s">
        <v>897</v>
      </c>
      <c r="AG160" s="892" t="s">
        <v>898</v>
      </c>
      <c r="AH160" s="950">
        <f>【マスター】!$AO$18</f>
        <v>1008</v>
      </c>
      <c r="AI160" s="892" t="s">
        <v>827</v>
      </c>
      <c r="AJ160" s="892"/>
      <c r="AK160" s="925"/>
    </row>
    <row r="161" spans="32:37">
      <c r="AF161" s="892" t="s">
        <v>899</v>
      </c>
      <c r="AG161" s="892" t="s">
        <v>900</v>
      </c>
      <c r="AH161" s="950">
        <f>【マスター】!$AT$18</f>
        <v>1148</v>
      </c>
      <c r="AI161" s="892" t="s">
        <v>827</v>
      </c>
      <c r="AJ161" s="892"/>
      <c r="AK161" s="924"/>
    </row>
    <row r="162" spans="32:37">
      <c r="AF162" s="892" t="s">
        <v>901</v>
      </c>
      <c r="AG162" s="892" t="s">
        <v>902</v>
      </c>
      <c r="AH162" s="950">
        <f>【マスター】!$AY$18</f>
        <v>1168</v>
      </c>
      <c r="AI162" s="892" t="s">
        <v>827</v>
      </c>
      <c r="AJ162" s="892"/>
      <c r="AK162" s="925"/>
    </row>
    <row r="163" spans="32:37">
      <c r="AF163" s="906" t="s">
        <v>1970</v>
      </c>
      <c r="AG163" s="892" t="s">
        <v>1953</v>
      </c>
      <c r="AH163" s="950">
        <f>$AH$162+50</f>
        <v>1218</v>
      </c>
      <c r="AI163" s="892" t="s">
        <v>827</v>
      </c>
      <c r="AJ163" s="892"/>
      <c r="AK163" s="810"/>
    </row>
    <row r="164" spans="32:37">
      <c r="AF164" s="906" t="s">
        <v>1971</v>
      </c>
      <c r="AG164" s="892" t="s">
        <v>1955</v>
      </c>
      <c r="AH164" s="950">
        <f>$AH$163+50</f>
        <v>1268</v>
      </c>
      <c r="AI164" s="892" t="s">
        <v>827</v>
      </c>
      <c r="AJ164" s="892"/>
      <c r="AK164" s="810"/>
    </row>
    <row r="165" spans="32:37">
      <c r="AF165" s="906" t="s">
        <v>1972</v>
      </c>
      <c r="AG165" s="892" t="s">
        <v>1957</v>
      </c>
      <c r="AH165" s="950">
        <f>$AH$164+50</f>
        <v>1318</v>
      </c>
      <c r="AI165" s="892" t="s">
        <v>827</v>
      </c>
      <c r="AJ165" s="907"/>
      <c r="AK165" s="810"/>
    </row>
    <row r="166" spans="32:37">
      <c r="AF166" s="906" t="s">
        <v>1973</v>
      </c>
      <c r="AG166" s="892" t="s">
        <v>1959</v>
      </c>
      <c r="AH166" s="950">
        <f>$AH$165+50</f>
        <v>1368</v>
      </c>
      <c r="AI166" s="892" t="s">
        <v>827</v>
      </c>
      <c r="AJ166" s="892"/>
      <c r="AK166" s="810"/>
    </row>
    <row r="167" spans="32:37">
      <c r="AF167" s="906" t="s">
        <v>1974</v>
      </c>
      <c r="AG167" s="892" t="s">
        <v>1961</v>
      </c>
      <c r="AH167" s="950">
        <f>$AH$166+50</f>
        <v>1418</v>
      </c>
      <c r="AI167" s="892" t="s">
        <v>827</v>
      </c>
      <c r="AJ167" s="892"/>
      <c r="AK167" s="810"/>
    </row>
    <row r="168" spans="32:37">
      <c r="AF168" s="906" t="s">
        <v>1861</v>
      </c>
      <c r="AG168" s="892" t="s">
        <v>1861</v>
      </c>
      <c r="AH168" s="892" t="str">
        <f>ASC(【マスター】!$D$49)</f>
        <v>40</v>
      </c>
      <c r="AI168" s="892" t="s">
        <v>1906</v>
      </c>
      <c r="AJ168" s="892"/>
    </row>
    <row r="169" spans="32:37">
      <c r="AF169" s="906" t="s">
        <v>1862</v>
      </c>
      <c r="AG169" s="892" t="s">
        <v>1862</v>
      </c>
      <c r="AH169" s="892" t="str">
        <f>ASC(【マスター】!$D$50)</f>
        <v>55</v>
      </c>
      <c r="AI169" s="892" t="s">
        <v>1906</v>
      </c>
      <c r="AJ169" s="892"/>
    </row>
    <row r="170" spans="32:37">
      <c r="AF170" s="906" t="s">
        <v>817</v>
      </c>
      <c r="AG170" s="892" t="s">
        <v>817</v>
      </c>
      <c r="AH170" s="899" t="str">
        <f>ASC(【マスター】!$D$53)</f>
        <v>45</v>
      </c>
      <c r="AI170" s="892" t="s">
        <v>778</v>
      </c>
      <c r="AJ170" s="899"/>
    </row>
    <row r="171" spans="32:37">
      <c r="AF171" s="906" t="s">
        <v>1863</v>
      </c>
      <c r="AG171" s="906" t="s">
        <v>1962</v>
      </c>
      <c r="AH171" s="892" t="str">
        <f>ASC(【マスター】!$D$69)</f>
        <v>100</v>
      </c>
      <c r="AI171" s="892" t="s">
        <v>818</v>
      </c>
      <c r="AJ171" s="912" t="s">
        <v>1963</v>
      </c>
    </row>
    <row r="172" spans="32:37">
      <c r="AF172" s="906" t="s">
        <v>1864</v>
      </c>
      <c r="AG172" s="906" t="s">
        <v>1864</v>
      </c>
      <c r="AH172" s="892" t="str">
        <f>ASC(【マスター】!$D$70)</f>
        <v>100</v>
      </c>
      <c r="AI172" s="892" t="s">
        <v>818</v>
      </c>
      <c r="AJ172" s="892"/>
    </row>
    <row r="173" spans="32:37">
      <c r="AF173" s="906" t="s">
        <v>1865</v>
      </c>
      <c r="AG173" s="906" t="s">
        <v>1865</v>
      </c>
      <c r="AH173" s="892" t="str">
        <f>ASC(【マスター】!$D$54)</f>
        <v>56</v>
      </c>
      <c r="AI173" s="892" t="s">
        <v>820</v>
      </c>
      <c r="AJ173" s="892"/>
    </row>
    <row r="174" spans="32:37">
      <c r="AF174" s="906" t="s">
        <v>1866</v>
      </c>
      <c r="AG174" s="906" t="s">
        <v>1866</v>
      </c>
      <c r="AH174" s="892" t="str">
        <f>ASC(【マスター】!$D$55)</f>
        <v>85</v>
      </c>
      <c r="AI174" s="892" t="s">
        <v>888</v>
      </c>
      <c r="AJ174" s="892"/>
    </row>
    <row r="175" spans="32:37">
      <c r="AF175" s="906" t="s">
        <v>823</v>
      </c>
      <c r="AG175" s="906" t="s">
        <v>823</v>
      </c>
      <c r="AH175" s="892" t="str">
        <f>ASC(【マスター】!$D$56)</f>
        <v>20</v>
      </c>
      <c r="AI175" s="892" t="s">
        <v>818</v>
      </c>
      <c r="AJ175" s="892"/>
    </row>
    <row r="176" spans="32:37">
      <c r="AF176" s="906" t="s">
        <v>208</v>
      </c>
      <c r="AG176" s="906" t="s">
        <v>208</v>
      </c>
      <c r="AH176" s="892" t="str">
        <f>ASC(【マスター】!$D$66)</f>
        <v>30</v>
      </c>
      <c r="AI176" s="892" t="s">
        <v>818</v>
      </c>
      <c r="AJ176" s="892"/>
    </row>
    <row r="177" spans="32:37">
      <c r="AF177" s="906" t="s">
        <v>209</v>
      </c>
      <c r="AG177" s="906" t="s">
        <v>209</v>
      </c>
      <c r="AH177" s="892" t="str">
        <f>ASC(【マスター】!$D$67)</f>
        <v>60</v>
      </c>
      <c r="AI177" s="892" t="s">
        <v>818</v>
      </c>
      <c r="AJ177" s="892"/>
    </row>
    <row r="178" spans="32:37">
      <c r="AF178" s="906" t="s">
        <v>1867</v>
      </c>
      <c r="AG178" s="906" t="s">
        <v>1867</v>
      </c>
      <c r="AH178" s="892" t="str">
        <f>ASC(【マスター】!$D$68)</f>
        <v>3</v>
      </c>
      <c r="AI178" s="892" t="s">
        <v>1907</v>
      </c>
      <c r="AJ178" s="892"/>
    </row>
    <row r="179" spans="32:37">
      <c r="AF179" s="906" t="s">
        <v>826</v>
      </c>
      <c r="AG179" s="906" t="s">
        <v>826</v>
      </c>
      <c r="AH179" s="892" t="str">
        <f>ASC(【マスター】!$D$51)</f>
        <v>60</v>
      </c>
      <c r="AI179" s="892" t="s">
        <v>820</v>
      </c>
      <c r="AJ179" s="892"/>
    </row>
    <row r="180" spans="32:37">
      <c r="AF180" s="906" t="s">
        <v>828</v>
      </c>
      <c r="AG180" s="906" t="s">
        <v>828</v>
      </c>
      <c r="AH180" s="892" t="str">
        <f>ASC(【マスター】!$D$52)</f>
        <v>60</v>
      </c>
      <c r="AI180" s="892" t="s">
        <v>820</v>
      </c>
      <c r="AJ180" s="892"/>
    </row>
    <row r="181" spans="32:37">
      <c r="AF181" s="906" t="s">
        <v>831</v>
      </c>
      <c r="AG181" s="906" t="s">
        <v>1964</v>
      </c>
      <c r="AH181" s="892" t="str">
        <f>ASC(【マスター】!$D$60)</f>
        <v>200</v>
      </c>
      <c r="AI181" s="892" t="s">
        <v>778</v>
      </c>
      <c r="AJ181" s="892" t="s">
        <v>832</v>
      </c>
    </row>
    <row r="182" spans="32:37">
      <c r="AF182" s="906" t="s">
        <v>1868</v>
      </c>
      <c r="AG182" s="906" t="s">
        <v>1868</v>
      </c>
      <c r="AH182" s="892" t="str">
        <f>ASC(【マスター】!$D$61)</f>
        <v>50</v>
      </c>
      <c r="AI182" s="892" t="s">
        <v>1869</v>
      </c>
      <c r="AJ182" s="892"/>
    </row>
    <row r="183" spans="32:37">
      <c r="AF183" s="906" t="s">
        <v>2022</v>
      </c>
      <c r="AG183" s="906" t="s">
        <v>1965</v>
      </c>
      <c r="AH183" s="892" t="str">
        <f>ASC(【マスター】!$D$62)</f>
        <v>20</v>
      </c>
      <c r="AI183" s="892" t="s">
        <v>778</v>
      </c>
      <c r="AJ183" s="906" t="s">
        <v>1872</v>
      </c>
    </row>
    <row r="184" spans="32:37">
      <c r="AF184" s="906" t="s">
        <v>2023</v>
      </c>
      <c r="AG184" s="906" t="s">
        <v>1966</v>
      </c>
      <c r="AH184" s="892" t="str">
        <f>ASC(【マスター】!$D$63)</f>
        <v>5</v>
      </c>
      <c r="AI184" s="892" t="s">
        <v>827</v>
      </c>
      <c r="AJ184" s="906" t="s">
        <v>1872</v>
      </c>
    </row>
    <row r="185" spans="32:37">
      <c r="AF185" s="906" t="s">
        <v>1870</v>
      </c>
      <c r="AG185" s="906" t="s">
        <v>1967</v>
      </c>
      <c r="AH185" s="892" t="str">
        <f>ASC(【マスター】!$D$64)</f>
        <v>150</v>
      </c>
      <c r="AI185" s="892" t="s">
        <v>778</v>
      </c>
      <c r="AJ185" s="892" t="s">
        <v>832</v>
      </c>
    </row>
    <row r="186" spans="32:37" ht="19.5">
      <c r="AF186" s="906" t="s">
        <v>1871</v>
      </c>
      <c r="AG186" s="906" t="s">
        <v>1968</v>
      </c>
      <c r="AH186" s="892" t="str">
        <f>ASC(【マスター】!$D$65)</f>
        <v>160</v>
      </c>
      <c r="AI186" s="892" t="s">
        <v>778</v>
      </c>
      <c r="AJ186" s="892" t="s">
        <v>832</v>
      </c>
      <c r="AK186" s="486"/>
    </row>
    <row r="187" spans="32:37">
      <c r="AF187" s="933" t="s">
        <v>2013</v>
      </c>
      <c r="AG187" s="933" t="s">
        <v>2014</v>
      </c>
      <c r="AH187" s="354" t="str">
        <f>ASC(【マスター】!$D$72)</f>
        <v>40</v>
      </c>
      <c r="AI187" s="354" t="s">
        <v>2015</v>
      </c>
      <c r="AJ187" s="354"/>
    </row>
    <row r="188" spans="32:37">
      <c r="AF188" s="906" t="s">
        <v>171</v>
      </c>
      <c r="AG188" s="906" t="s">
        <v>1969</v>
      </c>
      <c r="AH188" s="892" t="str">
        <f>ASC("-"&amp;【マスター】!$K$51)</f>
        <v>-47</v>
      </c>
      <c r="AI188" s="892" t="s">
        <v>778</v>
      </c>
      <c r="AJ188" s="892" t="s">
        <v>836</v>
      </c>
    </row>
    <row r="189" spans="32:37">
      <c r="AF189" s="354" t="s">
        <v>2080</v>
      </c>
      <c r="AG189" s="354" t="s">
        <v>2080</v>
      </c>
      <c r="AH189" s="892" t="str">
        <f>ASC("-"&amp;【マスター】!$K$52)</f>
        <v>-94</v>
      </c>
      <c r="AI189" s="892" t="s">
        <v>2079</v>
      </c>
      <c r="AJ189" s="892"/>
    </row>
  </sheetData>
  <sheetProtection selectLockedCells="1"/>
  <mergeCells count="121">
    <mergeCell ref="W20:X22"/>
    <mergeCell ref="T18:X18"/>
    <mergeCell ref="I17:N17"/>
    <mergeCell ref="O17:Q17"/>
    <mergeCell ref="T17:X17"/>
    <mergeCell ref="O18:S18"/>
    <mergeCell ref="AC2:AF2"/>
    <mergeCell ref="A4:X4"/>
    <mergeCell ref="A5:C6"/>
    <mergeCell ref="D5:X5"/>
    <mergeCell ref="A7:C8"/>
    <mergeCell ref="K8:N8"/>
    <mergeCell ref="O6:Q7"/>
    <mergeCell ref="O8:Q8"/>
    <mergeCell ref="R6:T7"/>
    <mergeCell ref="R8:T8"/>
    <mergeCell ref="B10:H10"/>
    <mergeCell ref="A2:X2"/>
    <mergeCell ref="I10:N10"/>
    <mergeCell ref="O10:Q10"/>
    <mergeCell ref="R10:S10"/>
    <mergeCell ref="T10:X10"/>
    <mergeCell ref="U6:X7"/>
    <mergeCell ref="U8:X8"/>
    <mergeCell ref="K6:N7"/>
    <mergeCell ref="D6:F7"/>
    <mergeCell ref="D8:F8"/>
    <mergeCell ref="G6:J7"/>
    <mergeCell ref="G8:J8"/>
    <mergeCell ref="B11:H11"/>
    <mergeCell ref="I11:N11"/>
    <mergeCell ref="O11:Q11"/>
    <mergeCell ref="T11:X11"/>
    <mergeCell ref="B14:H14"/>
    <mergeCell ref="I14:N14"/>
    <mergeCell ref="O14:Q14"/>
    <mergeCell ref="T14:X14"/>
    <mergeCell ref="B12:H12"/>
    <mergeCell ref="I12:N12"/>
    <mergeCell ref="O12:Q12"/>
    <mergeCell ref="T12:X12"/>
    <mergeCell ref="B13:H13"/>
    <mergeCell ref="I13:N13"/>
    <mergeCell ref="O13:Q13"/>
    <mergeCell ref="T13:X13"/>
    <mergeCell ref="B15:H15"/>
    <mergeCell ref="I15:N15"/>
    <mergeCell ref="O15:Q15"/>
    <mergeCell ref="T15:X15"/>
    <mergeCell ref="B16:H16"/>
    <mergeCell ref="I16:N16"/>
    <mergeCell ref="O16:Q16"/>
    <mergeCell ref="T16:X16"/>
    <mergeCell ref="A28:C28"/>
    <mergeCell ref="D28:D30"/>
    <mergeCell ref="A29:C29"/>
    <mergeCell ref="A30:C30"/>
    <mergeCell ref="E28:G28"/>
    <mergeCell ref="H28:H30"/>
    <mergeCell ref="I28:L29"/>
    <mergeCell ref="N28:X28"/>
    <mergeCell ref="E29:G29"/>
    <mergeCell ref="N29:X30"/>
    <mergeCell ref="E30:G30"/>
    <mergeCell ref="I30:L30"/>
    <mergeCell ref="A20:C21"/>
    <mergeCell ref="D20:D22"/>
    <mergeCell ref="A22:C22"/>
    <mergeCell ref="B17:H17"/>
    <mergeCell ref="B33:N33"/>
    <mergeCell ref="O33:Q33"/>
    <mergeCell ref="T33:X33"/>
    <mergeCell ref="B34:N34"/>
    <mergeCell ref="O34:Q34"/>
    <mergeCell ref="T34:X34"/>
    <mergeCell ref="B32:N32"/>
    <mergeCell ref="O32:Q32"/>
    <mergeCell ref="R32:S32"/>
    <mergeCell ref="T32:X32"/>
    <mergeCell ref="B37:N37"/>
    <mergeCell ref="O37:Q37"/>
    <mergeCell ref="T37:X37"/>
    <mergeCell ref="B35:N35"/>
    <mergeCell ref="O35:Q35"/>
    <mergeCell ref="T35:X35"/>
    <mergeCell ref="B36:N36"/>
    <mergeCell ref="O36:Q36"/>
    <mergeCell ref="T36:X36"/>
    <mergeCell ref="O38:S38"/>
    <mergeCell ref="T38:X38"/>
    <mergeCell ref="A40:F40"/>
    <mergeCell ref="G40:G42"/>
    <mergeCell ref="H40:M40"/>
    <mergeCell ref="N40:N42"/>
    <mergeCell ref="O40:X40"/>
    <mergeCell ref="A41:F42"/>
    <mergeCell ref="H41:M42"/>
    <mergeCell ref="O41:X42"/>
    <mergeCell ref="E20:G20"/>
    <mergeCell ref="E21:G21"/>
    <mergeCell ref="E22:G22"/>
    <mergeCell ref="Q22:S22"/>
    <mergeCell ref="H20:J20"/>
    <mergeCell ref="Q20:S21"/>
    <mergeCell ref="T20:V21"/>
    <mergeCell ref="H21:J21"/>
    <mergeCell ref="H22:J22"/>
    <mergeCell ref="N22:P22"/>
    <mergeCell ref="T22:V22"/>
    <mergeCell ref="K22:M22"/>
    <mergeCell ref="K20:M21"/>
    <mergeCell ref="N20:P21"/>
    <mergeCell ref="A24:D25"/>
    <mergeCell ref="E24:E26"/>
    <mergeCell ref="F24:H25"/>
    <mergeCell ref="I24:I26"/>
    <mergeCell ref="J24:L24"/>
    <mergeCell ref="J25:L25"/>
    <mergeCell ref="A26:D26"/>
    <mergeCell ref="F26:H26"/>
    <mergeCell ref="J26:L26"/>
  </mergeCells>
  <phoneticPr fontId="17"/>
  <conditionalFormatting sqref="T18:X18">
    <cfRule type="expression" dxfId="6" priority="6">
      <formula>$T$18&gt;$AC$30</formula>
    </cfRule>
  </conditionalFormatting>
  <dataValidations count="6">
    <dataValidation type="list" allowBlank="1" showInputMessage="1" showErrorMessage="1" sqref="B11:H17" xr:uid="{00000000-0002-0000-0600-000000000000}">
      <formula1>INDIRECT($A$7)</formula1>
    </dataValidation>
    <dataValidation type="list" allowBlank="1" showInputMessage="1" showErrorMessage="1" sqref="AB2" xr:uid="{00000000-0002-0000-0600-000001000000}">
      <formula1>$AB$5:$AB$8</formula1>
    </dataValidation>
    <dataValidation type="list" allowBlank="1" showInputMessage="1" showErrorMessage="1" sqref="AF6" xr:uid="{00000000-0002-0000-0600-000002000000}">
      <formula1>$AB$38:$AB$39</formula1>
    </dataValidation>
    <dataValidation type="list" allowBlank="1" showInputMessage="1" showErrorMessage="1" sqref="B33:N37" xr:uid="{00000000-0002-0000-0600-000003000000}">
      <formula1>$AL$31:$AL$40</formula1>
    </dataValidation>
    <dataValidation type="list" allowBlank="1" showInputMessage="1" showErrorMessage="1" sqref="A7:C8" xr:uid="{00000000-0002-0000-0600-000004000000}">
      <formula1>$AE$12:$AE$16</formula1>
    </dataValidation>
    <dataValidation type="list" allowBlank="1" showInputMessage="1" showErrorMessage="1" sqref="U8" xr:uid="{00000000-0002-0000-0600-000005000000}">
      <formula1>"有,算定なし"</formula1>
    </dataValidation>
  </dataValidations>
  <printOptions horizontalCentered="1" verticalCentered="1"/>
  <pageMargins left="0.59055118110236215" right="0.59055118110236215" top="0.59055118110236215" bottom="0.39370078740157483" header="0.31496062992125984" footer="0.19685039370078741"/>
  <pageSetup paperSize="9" scale="9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D0C7"/>
    <pageSetUpPr fitToPage="1"/>
  </sheetPr>
  <dimension ref="A1:X60"/>
  <sheetViews>
    <sheetView workbookViewId="0"/>
  </sheetViews>
  <sheetFormatPr defaultColWidth="9" defaultRowHeight="15" customHeight="1"/>
  <cols>
    <col min="1" max="20" width="4.625" style="299" customWidth="1"/>
    <col min="21" max="22" width="0" style="299" hidden="1" customWidth="1"/>
    <col min="23" max="23" width="9" style="299"/>
    <col min="24" max="24" width="9" style="313"/>
    <col min="25" max="16384" width="9" style="299"/>
  </cols>
  <sheetData>
    <row r="1" spans="1:24" s="301" customFormat="1" ht="15" customHeight="1">
      <c r="A1" s="558"/>
      <c r="B1" s="558"/>
      <c r="C1" s="558"/>
      <c r="D1" s="558"/>
      <c r="E1" s="558"/>
      <c r="F1" s="558"/>
      <c r="G1" s="558"/>
      <c r="H1" s="558"/>
      <c r="I1" s="558"/>
      <c r="J1" s="558"/>
      <c r="K1" s="558"/>
      <c r="L1" s="558"/>
      <c r="M1" s="558"/>
      <c r="N1" s="558"/>
      <c r="O1" s="558"/>
      <c r="P1" s="558"/>
      <c r="Q1" s="558"/>
      <c r="R1" s="558"/>
      <c r="S1" s="558"/>
      <c r="T1" s="558"/>
      <c r="X1" s="315"/>
    </row>
    <row r="2" spans="1:24" s="301" customFormat="1" ht="15" customHeight="1">
      <c r="A2" s="558"/>
      <c r="B2" s="558"/>
      <c r="C2" s="558"/>
      <c r="D2" s="558"/>
      <c r="E2" s="558"/>
      <c r="F2" s="558"/>
      <c r="G2" s="558"/>
      <c r="H2" s="558"/>
      <c r="I2" s="558"/>
      <c r="J2" s="558"/>
      <c r="K2" s="558"/>
      <c r="L2" s="558"/>
      <c r="M2" s="558"/>
      <c r="N2" s="558"/>
      <c r="O2" s="558"/>
      <c r="P2" s="558"/>
      <c r="Q2" s="558"/>
      <c r="R2" s="558"/>
      <c r="S2" s="558"/>
      <c r="T2" s="558"/>
      <c r="X2" s="315"/>
    </row>
    <row r="3" spans="1:24" s="301" customFormat="1" ht="15" customHeight="1">
      <c r="B3" s="1271" t="s">
        <v>732</v>
      </c>
      <c r="C3" s="1271"/>
      <c r="D3" s="1271"/>
      <c r="E3" s="1271"/>
      <c r="F3" s="1271"/>
      <c r="G3" s="1271"/>
      <c r="H3" s="1271"/>
      <c r="I3" s="1271"/>
      <c r="J3" s="1271"/>
      <c r="K3" s="1271"/>
      <c r="L3" s="1271"/>
      <c r="M3" s="1271"/>
      <c r="N3" s="1271"/>
      <c r="O3" s="1271"/>
      <c r="P3" s="1271"/>
      <c r="Q3" s="1271"/>
      <c r="R3" s="1271"/>
      <c r="S3" s="1271"/>
      <c r="T3" s="1271"/>
      <c r="V3" s="315" t="s">
        <v>733</v>
      </c>
      <c r="X3" s="474"/>
    </row>
    <row r="4" spans="1:24" s="301" customFormat="1" ht="15" customHeight="1">
      <c r="X4" s="315"/>
    </row>
    <row r="5" spans="1:24" s="301" customFormat="1" ht="15" customHeight="1">
      <c r="A5" s="301" t="s">
        <v>734</v>
      </c>
      <c r="X5" s="315"/>
    </row>
    <row r="6" spans="1:24" s="301" customFormat="1" ht="15" customHeight="1">
      <c r="X6" s="315"/>
    </row>
    <row r="7" spans="1:24" s="301" customFormat="1" ht="15" customHeight="1">
      <c r="B7" s="301" t="s">
        <v>735</v>
      </c>
      <c r="H7" s="301" t="s">
        <v>736</v>
      </c>
      <c r="K7" s="1270" t="str">
        <f>DBCS(【マスター】!B162)</f>
        <v/>
      </c>
      <c r="L7" s="1270"/>
      <c r="M7" s="1270"/>
      <c r="N7" s="1270"/>
      <c r="O7" s="1270"/>
      <c r="P7" s="1270"/>
      <c r="Q7" s="1270"/>
      <c r="R7" s="1270"/>
      <c r="S7" s="1270"/>
      <c r="T7" s="1270"/>
      <c r="X7" s="315"/>
    </row>
    <row r="8" spans="1:24" s="301" customFormat="1" ht="15" customHeight="1">
      <c r="K8" s="1270" t="str">
        <f>DBCS(【マスター】!B163)</f>
        <v/>
      </c>
      <c r="L8" s="1270"/>
      <c r="M8" s="1270"/>
      <c r="N8" s="1270"/>
      <c r="O8" s="1270"/>
      <c r="P8" s="1270"/>
      <c r="Q8" s="1270"/>
      <c r="R8" s="1270"/>
      <c r="S8" s="1270"/>
      <c r="T8" s="1270"/>
      <c r="X8" s="315"/>
    </row>
    <row r="9" spans="1:24" s="301" customFormat="1" ht="15" customHeight="1">
      <c r="K9" s="1270"/>
      <c r="L9" s="1270"/>
      <c r="M9" s="1270"/>
      <c r="N9" s="1270"/>
      <c r="O9" s="1270"/>
      <c r="P9" s="1270"/>
      <c r="Q9" s="1270"/>
      <c r="R9" s="1270"/>
      <c r="S9" s="1270"/>
      <c r="T9" s="1270"/>
      <c r="X9" s="315"/>
    </row>
    <row r="10" spans="1:24" s="301" customFormat="1" ht="15" customHeight="1">
      <c r="H10" s="301" t="s">
        <v>737</v>
      </c>
      <c r="K10" s="319"/>
      <c r="L10" s="319"/>
      <c r="M10" s="319"/>
      <c r="N10" s="319"/>
      <c r="O10" s="319"/>
      <c r="P10" s="319"/>
      <c r="Q10" s="319"/>
      <c r="R10" s="319"/>
      <c r="S10" s="319"/>
      <c r="T10" s="320" t="s">
        <v>493</v>
      </c>
      <c r="X10" s="315"/>
    </row>
    <row r="11" spans="1:24" s="301" customFormat="1" ht="15" customHeight="1">
      <c r="X11" s="315"/>
    </row>
    <row r="12" spans="1:24" s="301" customFormat="1" ht="15" customHeight="1">
      <c r="B12" s="301" t="s">
        <v>738</v>
      </c>
      <c r="H12" s="301" t="s">
        <v>736</v>
      </c>
      <c r="K12" s="1270" t="str">
        <f>DBCS(【マスター】!B164)</f>
        <v/>
      </c>
      <c r="L12" s="1270"/>
      <c r="M12" s="1270"/>
      <c r="N12" s="1270"/>
      <c r="O12" s="1270"/>
      <c r="P12" s="1270"/>
      <c r="Q12" s="1270"/>
      <c r="R12" s="1270"/>
      <c r="S12" s="1270"/>
      <c r="T12" s="1270"/>
      <c r="V12" s="315" t="s">
        <v>739</v>
      </c>
      <c r="X12" s="315"/>
    </row>
    <row r="13" spans="1:24" s="301" customFormat="1" ht="15" customHeight="1">
      <c r="B13" s="301" t="s">
        <v>740</v>
      </c>
      <c r="K13" s="1270" t="str">
        <f>DBCS(【マスター】!B165)</f>
        <v/>
      </c>
      <c r="L13" s="1270"/>
      <c r="M13" s="1270"/>
      <c r="N13" s="1270"/>
      <c r="O13" s="1270"/>
      <c r="P13" s="1270"/>
      <c r="Q13" s="1270"/>
      <c r="R13" s="1270"/>
      <c r="S13" s="1270"/>
      <c r="T13" s="1270"/>
      <c r="X13" s="315"/>
    </row>
    <row r="14" spans="1:24" s="301" customFormat="1" ht="15" customHeight="1">
      <c r="K14" s="549"/>
      <c r="L14" s="549"/>
      <c r="M14" s="549"/>
      <c r="N14" s="549"/>
      <c r="O14" s="549"/>
      <c r="P14" s="549"/>
      <c r="Q14" s="549"/>
      <c r="R14" s="549"/>
      <c r="S14" s="549"/>
      <c r="T14" s="549"/>
      <c r="X14" s="315"/>
    </row>
    <row r="15" spans="1:24" s="301" customFormat="1" ht="15" customHeight="1">
      <c r="H15" s="301" t="s">
        <v>737</v>
      </c>
      <c r="K15" s="319"/>
      <c r="L15" s="319"/>
      <c r="M15" s="319"/>
      <c r="N15" s="319"/>
      <c r="O15" s="319"/>
      <c r="P15" s="319"/>
      <c r="Q15" s="319"/>
      <c r="R15" s="319"/>
      <c r="S15" s="319"/>
      <c r="T15" s="320" t="s">
        <v>493</v>
      </c>
      <c r="X15" s="315"/>
    </row>
    <row r="16" spans="1:24" s="301" customFormat="1" ht="15" customHeight="1">
      <c r="N16" s="317" t="s">
        <v>500</v>
      </c>
      <c r="O16" s="559"/>
      <c r="P16" s="559"/>
      <c r="Q16" s="559"/>
      <c r="R16" s="559"/>
      <c r="S16" s="559"/>
      <c r="T16" s="316" t="s">
        <v>501</v>
      </c>
      <c r="U16" s="316" t="s">
        <v>501</v>
      </c>
      <c r="V16" s="301" t="s">
        <v>741</v>
      </c>
      <c r="X16" s="315"/>
    </row>
    <row r="17" spans="2:24" s="5" customFormat="1" ht="15" customHeight="1">
      <c r="X17" s="494"/>
    </row>
    <row r="18" spans="2:24" s="315" customFormat="1" ht="15" customHeight="1">
      <c r="B18" s="301" t="s">
        <v>742</v>
      </c>
      <c r="C18" s="301"/>
      <c r="D18" s="301"/>
      <c r="E18" s="301"/>
      <c r="F18" s="301"/>
      <c r="G18" s="301"/>
      <c r="H18" s="301" t="s">
        <v>736</v>
      </c>
      <c r="I18" s="301"/>
      <c r="J18" s="301"/>
      <c r="K18" s="1270" t="str">
        <f>DBCS(【マスター】!B166)</f>
        <v/>
      </c>
      <c r="L18" s="1270"/>
      <c r="M18" s="1270"/>
      <c r="N18" s="1270"/>
      <c r="O18" s="1270"/>
      <c r="P18" s="1270"/>
      <c r="Q18" s="1270"/>
      <c r="R18" s="1270"/>
      <c r="S18" s="1270"/>
      <c r="T18" s="1270"/>
      <c r="V18" s="315" t="s">
        <v>739</v>
      </c>
    </row>
    <row r="19" spans="2:24" s="315" customFormat="1" ht="15" customHeight="1">
      <c r="B19" s="301"/>
      <c r="C19" s="301"/>
      <c r="D19" s="301"/>
      <c r="E19" s="301"/>
      <c r="F19" s="301"/>
      <c r="G19" s="301"/>
      <c r="H19" s="301"/>
      <c r="I19" s="301"/>
      <c r="J19" s="301"/>
      <c r="K19" s="1270" t="str">
        <f>DBCS(【マスター】!B167)</f>
        <v/>
      </c>
      <c r="L19" s="1270"/>
      <c r="M19" s="1270"/>
      <c r="N19" s="1270"/>
      <c r="O19" s="1270"/>
      <c r="P19" s="1270"/>
      <c r="Q19" s="1270"/>
      <c r="R19" s="1270"/>
      <c r="S19" s="1270"/>
      <c r="T19" s="1270"/>
    </row>
    <row r="20" spans="2:24" s="315" customFormat="1" ht="15" customHeight="1">
      <c r="B20" s="301"/>
      <c r="C20" s="301"/>
      <c r="D20" s="301"/>
      <c r="E20" s="301"/>
      <c r="F20" s="301"/>
      <c r="G20" s="301"/>
      <c r="H20" s="301"/>
      <c r="I20" s="301"/>
      <c r="J20" s="301"/>
      <c r="K20" s="549"/>
      <c r="L20" s="549"/>
      <c r="M20" s="549"/>
      <c r="N20" s="549"/>
      <c r="O20" s="549"/>
      <c r="P20" s="549"/>
      <c r="Q20" s="549"/>
      <c r="R20" s="549"/>
      <c r="S20" s="549"/>
      <c r="T20" s="549"/>
    </row>
    <row r="21" spans="2:24" s="315" customFormat="1" ht="15" customHeight="1">
      <c r="B21" s="301"/>
      <c r="C21" s="301"/>
      <c r="D21" s="301"/>
      <c r="E21" s="301"/>
      <c r="F21" s="301"/>
      <c r="G21" s="301"/>
      <c r="H21" s="301" t="s">
        <v>737</v>
      </c>
      <c r="I21" s="301"/>
      <c r="J21" s="301"/>
      <c r="K21" s="515"/>
      <c r="L21" s="515"/>
      <c r="M21" s="515"/>
      <c r="N21" s="515"/>
      <c r="O21" s="515"/>
      <c r="P21" s="515"/>
      <c r="Q21" s="515"/>
      <c r="R21" s="515"/>
      <c r="S21" s="515"/>
      <c r="T21" s="516" t="s">
        <v>493</v>
      </c>
    </row>
    <row r="22" spans="2:24" s="315" customFormat="1" ht="15" customHeight="1">
      <c r="B22" s="301"/>
      <c r="C22" s="301"/>
      <c r="D22" s="301"/>
      <c r="E22" s="301"/>
      <c r="F22" s="301"/>
      <c r="G22" s="301"/>
      <c r="H22" s="301"/>
      <c r="I22" s="301"/>
      <c r="J22" s="301"/>
      <c r="K22" s="301"/>
      <c r="L22" s="301"/>
      <c r="M22" s="301"/>
      <c r="N22" s="317" t="s">
        <v>500</v>
      </c>
      <c r="O22" s="559"/>
      <c r="P22" s="559"/>
      <c r="Q22" s="559"/>
      <c r="R22" s="559"/>
      <c r="S22" s="559"/>
      <c r="T22" s="316" t="s">
        <v>501</v>
      </c>
      <c r="U22" s="517" t="s">
        <v>501</v>
      </c>
      <c r="V22" s="315" t="s">
        <v>741</v>
      </c>
    </row>
    <row r="23" spans="2:24" s="301" customFormat="1" ht="15" customHeight="1">
      <c r="N23" s="317"/>
      <c r="O23" s="559"/>
      <c r="P23" s="559"/>
      <c r="Q23" s="559"/>
      <c r="R23" s="559"/>
      <c r="S23" s="559"/>
      <c r="T23" s="316"/>
      <c r="U23" s="316"/>
      <c r="X23" s="315"/>
    </row>
    <row r="24" spans="2:24" s="301" customFormat="1" ht="15" customHeight="1">
      <c r="B24" s="301" t="s">
        <v>743</v>
      </c>
      <c r="H24" s="301" t="s">
        <v>736</v>
      </c>
      <c r="K24" s="1270" t="str">
        <f>DBCS(【マスター】!F22)</f>
        <v>愛知県豊川市大堀町２９３番地</v>
      </c>
      <c r="L24" s="1270"/>
      <c r="M24" s="1270"/>
      <c r="N24" s="1270"/>
      <c r="O24" s="1270"/>
      <c r="P24" s="1270"/>
      <c r="Q24" s="1270"/>
      <c r="R24" s="1270"/>
      <c r="S24" s="1270"/>
      <c r="T24" s="1270"/>
      <c r="X24" s="315"/>
    </row>
    <row r="25" spans="2:24" s="301" customFormat="1" ht="15" customHeight="1">
      <c r="H25" s="301" t="s">
        <v>744</v>
      </c>
      <c r="K25" s="1270" t="str">
        <f>DBCS(【マスター】!C21)</f>
        <v>株式会社ケアサポート</v>
      </c>
      <c r="L25" s="1270"/>
      <c r="M25" s="1270"/>
      <c r="N25" s="1270"/>
      <c r="O25" s="1270"/>
      <c r="P25" s="1270"/>
      <c r="Q25" s="1270"/>
      <c r="R25" s="1270"/>
      <c r="S25" s="1270"/>
      <c r="T25" s="1270"/>
      <c r="X25" s="315"/>
    </row>
    <row r="26" spans="2:24" s="301" customFormat="1" ht="15" customHeight="1">
      <c r="H26" s="301" t="s">
        <v>745</v>
      </c>
      <c r="K26" s="1270" t="str">
        <f>DBCS(【マスター】!C25&amp;" "&amp;【マスター】!I25)</f>
        <v>代表取締役　本多康夫</v>
      </c>
      <c r="L26" s="1270"/>
      <c r="M26" s="1270"/>
      <c r="N26" s="1270"/>
      <c r="O26" s="1270"/>
      <c r="P26" s="1270"/>
      <c r="Q26" s="1270"/>
      <c r="R26" s="1270"/>
      <c r="S26" s="1270"/>
      <c r="T26" s="321" t="s">
        <v>493</v>
      </c>
      <c r="X26" s="315"/>
    </row>
    <row r="27" spans="2:24" s="301" customFormat="1" ht="15" customHeight="1">
      <c r="L27" s="549"/>
      <c r="M27" s="549"/>
      <c r="N27" s="549"/>
      <c r="O27" s="549"/>
      <c r="P27" s="549"/>
      <c r="Q27" s="549"/>
      <c r="R27" s="549"/>
      <c r="S27" s="549"/>
      <c r="T27" s="321"/>
      <c r="X27" s="315"/>
    </row>
    <row r="28" spans="2:24" s="301" customFormat="1" ht="15" customHeight="1">
      <c r="L28" s="549"/>
      <c r="M28" s="549"/>
      <c r="N28" s="549"/>
      <c r="O28" s="549"/>
      <c r="P28" s="549"/>
      <c r="Q28" s="549"/>
      <c r="R28" s="549"/>
      <c r="S28" s="549"/>
      <c r="T28" s="321"/>
      <c r="X28" s="315"/>
    </row>
    <row r="29" spans="2:24" s="301" customFormat="1" ht="15" customHeight="1">
      <c r="L29" s="549"/>
      <c r="M29" s="549"/>
      <c r="N29" s="549"/>
      <c r="O29" s="549"/>
      <c r="P29" s="549"/>
      <c r="Q29" s="549"/>
      <c r="R29" s="549"/>
      <c r="S29" s="549"/>
      <c r="T29" s="321"/>
      <c r="X29" s="315"/>
    </row>
    <row r="30" spans="2:24" s="301" customFormat="1" ht="15" customHeight="1">
      <c r="L30" s="549"/>
      <c r="M30" s="549"/>
      <c r="N30" s="549"/>
      <c r="O30" s="549"/>
      <c r="P30" s="549"/>
      <c r="Q30" s="549"/>
      <c r="R30" s="549"/>
      <c r="S30" s="549"/>
      <c r="T30" s="321"/>
      <c r="X30" s="315"/>
    </row>
    <row r="31" spans="2:24" s="301" customFormat="1" ht="15" customHeight="1">
      <c r="L31" s="549"/>
      <c r="M31" s="549"/>
      <c r="N31" s="549"/>
      <c r="O31" s="549"/>
      <c r="P31" s="549"/>
      <c r="Q31" s="549"/>
      <c r="R31" s="549"/>
      <c r="S31" s="549"/>
      <c r="T31" s="321"/>
      <c r="X31" s="315"/>
    </row>
    <row r="32" spans="2:24" s="301" customFormat="1" ht="15" customHeight="1">
      <c r="L32" s="549"/>
      <c r="M32" s="549"/>
      <c r="N32" s="549"/>
      <c r="O32" s="549"/>
      <c r="P32" s="549"/>
      <c r="Q32" s="549"/>
      <c r="R32" s="549"/>
      <c r="S32" s="549"/>
      <c r="T32" s="321"/>
      <c r="X32" s="315"/>
    </row>
    <row r="33" spans="12:24" s="301" customFormat="1" ht="15" customHeight="1">
      <c r="L33" s="549"/>
      <c r="M33" s="549"/>
      <c r="N33" s="549"/>
      <c r="O33" s="549"/>
      <c r="P33" s="549"/>
      <c r="Q33" s="549"/>
      <c r="R33" s="549"/>
      <c r="S33" s="549"/>
      <c r="T33" s="321"/>
      <c r="X33" s="315"/>
    </row>
    <row r="34" spans="12:24" s="301" customFormat="1" ht="15" customHeight="1">
      <c r="L34" s="549"/>
      <c r="M34" s="549"/>
      <c r="N34" s="549"/>
      <c r="O34" s="549"/>
      <c r="P34" s="549"/>
      <c r="Q34" s="549"/>
      <c r="R34" s="549"/>
      <c r="S34" s="549"/>
      <c r="T34" s="321"/>
      <c r="X34" s="315"/>
    </row>
    <row r="35" spans="12:24" s="301" customFormat="1" ht="15" customHeight="1">
      <c r="L35" s="549"/>
      <c r="M35" s="549"/>
      <c r="N35" s="549"/>
      <c r="O35" s="549"/>
      <c r="P35" s="549"/>
      <c r="Q35" s="549"/>
      <c r="R35" s="549"/>
      <c r="S35" s="549"/>
      <c r="T35" s="321"/>
      <c r="X35" s="315"/>
    </row>
    <row r="36" spans="12:24" s="301" customFormat="1" ht="15" customHeight="1">
      <c r="L36" s="549"/>
      <c r="M36" s="549"/>
      <c r="N36" s="549"/>
      <c r="O36" s="549"/>
      <c r="P36" s="549"/>
      <c r="Q36" s="549"/>
      <c r="R36" s="549"/>
      <c r="S36" s="549"/>
      <c r="T36" s="321"/>
      <c r="X36" s="315"/>
    </row>
    <row r="37" spans="12:24" s="301" customFormat="1" ht="15" customHeight="1">
      <c r="L37" s="549"/>
      <c r="M37" s="549"/>
      <c r="N37" s="549"/>
      <c r="O37" s="549"/>
      <c r="P37" s="549"/>
      <c r="Q37" s="549"/>
      <c r="R37" s="549"/>
      <c r="S37" s="549"/>
      <c r="T37" s="321"/>
      <c r="X37" s="315"/>
    </row>
    <row r="38" spans="12:24" s="301" customFormat="1" ht="15" customHeight="1">
      <c r="L38" s="549"/>
      <c r="M38" s="549"/>
      <c r="N38" s="549"/>
      <c r="O38" s="549"/>
      <c r="P38" s="549"/>
      <c r="Q38" s="549"/>
      <c r="R38" s="549"/>
      <c r="S38" s="549"/>
      <c r="T38" s="321"/>
      <c r="X38" s="315"/>
    </row>
    <row r="39" spans="12:24" s="301" customFormat="1" ht="15" customHeight="1">
      <c r="L39" s="549"/>
      <c r="M39" s="549"/>
      <c r="N39" s="549"/>
      <c r="O39" s="549"/>
      <c r="P39" s="549"/>
      <c r="Q39" s="549"/>
      <c r="R39" s="549"/>
      <c r="S39" s="549"/>
      <c r="T39" s="321"/>
      <c r="X39" s="315"/>
    </row>
    <row r="40" spans="12:24" s="301" customFormat="1" ht="15" customHeight="1">
      <c r="L40" s="549"/>
      <c r="M40" s="549"/>
      <c r="N40" s="549"/>
      <c r="O40" s="549"/>
      <c r="P40" s="549"/>
      <c r="Q40" s="549"/>
      <c r="R40" s="549"/>
      <c r="S40" s="549"/>
      <c r="T40" s="321"/>
      <c r="X40" s="315"/>
    </row>
    <row r="41" spans="12:24" s="301" customFormat="1" ht="15" customHeight="1">
      <c r="L41" s="549"/>
      <c r="M41" s="549"/>
      <c r="N41" s="549"/>
      <c r="O41" s="549"/>
      <c r="P41" s="549"/>
      <c r="Q41" s="549"/>
      <c r="R41" s="549"/>
      <c r="S41" s="549"/>
      <c r="T41" s="321"/>
      <c r="X41" s="315"/>
    </row>
    <row r="42" spans="12:24" s="301" customFormat="1" ht="15" customHeight="1">
      <c r="L42" s="549"/>
      <c r="M42" s="549"/>
      <c r="N42" s="549"/>
      <c r="O42" s="549"/>
      <c r="P42" s="549"/>
      <c r="Q42" s="549"/>
      <c r="R42" s="549"/>
      <c r="S42" s="549"/>
      <c r="T42" s="321"/>
      <c r="X42" s="315"/>
    </row>
    <row r="43" spans="12:24" s="301" customFormat="1" ht="15" customHeight="1">
      <c r="L43" s="549"/>
      <c r="M43" s="549"/>
      <c r="N43" s="549"/>
      <c r="O43" s="549"/>
      <c r="P43" s="549"/>
      <c r="Q43" s="549"/>
      <c r="R43" s="549"/>
      <c r="S43" s="549"/>
      <c r="T43" s="321"/>
      <c r="X43" s="315"/>
    </row>
    <row r="44" spans="12:24" s="301" customFormat="1" ht="15" customHeight="1">
      <c r="L44" s="549"/>
      <c r="M44" s="549"/>
      <c r="N44" s="549"/>
      <c r="O44" s="549"/>
      <c r="P44" s="549"/>
      <c r="Q44" s="549"/>
      <c r="R44" s="549"/>
      <c r="S44" s="549"/>
      <c r="T44" s="321"/>
      <c r="X44" s="315"/>
    </row>
    <row r="45" spans="12:24" s="301" customFormat="1" ht="15" customHeight="1">
      <c r="L45" s="549"/>
      <c r="M45" s="549"/>
      <c r="N45" s="549"/>
      <c r="O45" s="549"/>
      <c r="P45" s="549"/>
      <c r="Q45" s="549"/>
      <c r="R45" s="549"/>
      <c r="S45" s="549"/>
      <c r="T45" s="321"/>
      <c r="X45" s="315"/>
    </row>
    <row r="46" spans="12:24" s="301" customFormat="1" ht="15" customHeight="1">
      <c r="L46" s="549"/>
      <c r="M46" s="549"/>
      <c r="N46" s="549"/>
      <c r="O46" s="549"/>
      <c r="P46" s="549"/>
      <c r="Q46" s="549"/>
      <c r="R46" s="549"/>
      <c r="S46" s="549"/>
      <c r="T46" s="321"/>
      <c r="X46" s="315"/>
    </row>
    <row r="47" spans="12:24" s="301" customFormat="1" ht="15" customHeight="1">
      <c r="L47" s="549"/>
      <c r="M47" s="549"/>
      <c r="N47" s="549"/>
      <c r="O47" s="549"/>
      <c r="P47" s="549"/>
      <c r="Q47" s="549"/>
      <c r="R47" s="549"/>
      <c r="S47" s="549"/>
      <c r="T47" s="321"/>
      <c r="X47" s="315"/>
    </row>
    <row r="48" spans="12:24" s="301" customFormat="1" ht="15" customHeight="1">
      <c r="L48" s="549"/>
      <c r="M48" s="549"/>
      <c r="N48" s="549"/>
      <c r="O48" s="549"/>
      <c r="P48" s="549"/>
      <c r="Q48" s="549"/>
      <c r="R48" s="549"/>
      <c r="S48" s="549"/>
      <c r="T48" s="321"/>
      <c r="X48" s="315"/>
    </row>
    <row r="49" spans="1:24" s="301" customFormat="1" ht="15" customHeight="1">
      <c r="L49" s="549"/>
      <c r="M49" s="549"/>
      <c r="N49" s="549"/>
      <c r="O49" s="549"/>
      <c r="P49" s="549"/>
      <c r="Q49" s="549"/>
      <c r="R49" s="549"/>
      <c r="S49" s="549"/>
      <c r="T49" s="321"/>
      <c r="X49" s="315"/>
    </row>
    <row r="50" spans="1:24" s="301" customFormat="1" ht="15" customHeight="1">
      <c r="L50" s="549"/>
      <c r="M50" s="549"/>
      <c r="N50" s="549"/>
      <c r="O50" s="549"/>
      <c r="P50" s="549"/>
      <c r="Q50" s="549"/>
      <c r="R50" s="549"/>
      <c r="S50" s="549"/>
      <c r="T50" s="321"/>
      <c r="X50" s="315"/>
    </row>
    <row r="51" spans="1:24" s="301" customFormat="1" ht="15" customHeight="1">
      <c r="L51" s="549"/>
      <c r="M51" s="549"/>
      <c r="N51" s="549"/>
      <c r="O51" s="549"/>
      <c r="P51" s="549"/>
      <c r="Q51" s="549"/>
      <c r="R51" s="549"/>
      <c r="S51" s="549"/>
      <c r="T51" s="321"/>
      <c r="X51" s="315"/>
    </row>
    <row r="52" spans="1:24" s="301" customFormat="1" ht="15" customHeight="1">
      <c r="L52" s="549"/>
      <c r="M52" s="549"/>
      <c r="N52" s="549"/>
      <c r="O52" s="549"/>
      <c r="P52" s="549"/>
      <c r="Q52" s="549"/>
      <c r="R52" s="549"/>
      <c r="S52" s="549"/>
      <c r="T52" s="321"/>
      <c r="X52" s="315"/>
    </row>
    <row r="53" spans="1:24" s="301" customFormat="1" ht="15" customHeight="1">
      <c r="L53" s="549"/>
      <c r="M53" s="549"/>
      <c r="N53" s="549"/>
      <c r="O53" s="549"/>
      <c r="P53" s="549"/>
      <c r="Q53" s="549"/>
      <c r="R53" s="549"/>
      <c r="S53" s="549"/>
      <c r="T53" s="321"/>
      <c r="X53" s="315"/>
    </row>
    <row r="54" spans="1:24" s="301" customFormat="1" ht="15" customHeight="1">
      <c r="L54" s="549"/>
      <c r="M54" s="549"/>
      <c r="N54" s="549"/>
      <c r="O54" s="549"/>
      <c r="P54" s="549"/>
      <c r="Q54" s="549"/>
      <c r="R54" s="549"/>
      <c r="S54" s="549"/>
      <c r="T54" s="321"/>
      <c r="X54" s="315"/>
    </row>
    <row r="55" spans="1:24" s="301" customFormat="1" ht="15" customHeight="1">
      <c r="L55" s="549"/>
      <c r="M55" s="549"/>
      <c r="N55" s="549"/>
      <c r="O55" s="549"/>
      <c r="P55" s="549"/>
      <c r="Q55" s="549"/>
      <c r="R55" s="549"/>
      <c r="S55" s="549"/>
      <c r="T55" s="321"/>
      <c r="X55" s="315"/>
    </row>
    <row r="56" spans="1:24" s="301" customFormat="1" ht="15" customHeight="1">
      <c r="L56" s="549"/>
      <c r="M56" s="549"/>
      <c r="N56" s="549"/>
      <c r="O56" s="549"/>
      <c r="P56" s="549"/>
      <c r="Q56" s="549"/>
      <c r="R56" s="549"/>
      <c r="S56" s="549"/>
      <c r="T56" s="321"/>
      <c r="X56" s="315"/>
    </row>
    <row r="57" spans="1:24" s="301" customFormat="1" ht="15" customHeight="1">
      <c r="L57" s="549"/>
      <c r="M57" s="549"/>
      <c r="N57" s="549"/>
      <c r="O57" s="549"/>
      <c r="P57" s="549"/>
      <c r="Q57" s="549"/>
      <c r="R57" s="549"/>
      <c r="S57" s="549"/>
      <c r="T57" s="321"/>
      <c r="X57" s="315"/>
    </row>
    <row r="58" spans="1:24" s="301" customFormat="1" ht="15" customHeight="1">
      <c r="L58" s="549"/>
      <c r="M58" s="549"/>
      <c r="N58" s="549"/>
      <c r="O58" s="549"/>
      <c r="P58" s="549"/>
      <c r="Q58" s="549"/>
      <c r="R58" s="549"/>
      <c r="S58" s="549"/>
      <c r="T58" s="321"/>
      <c r="X58" s="315"/>
    </row>
    <row r="59" spans="1:24" s="301" customFormat="1" ht="15" customHeight="1">
      <c r="L59" s="549"/>
      <c r="M59" s="549"/>
      <c r="N59" s="549"/>
      <c r="O59" s="549"/>
      <c r="P59" s="549"/>
      <c r="Q59" s="549"/>
      <c r="R59" s="549"/>
      <c r="S59" s="549"/>
      <c r="T59" s="321"/>
      <c r="X59" s="315"/>
    </row>
    <row r="60" spans="1:24" s="301" customFormat="1" ht="15" customHeight="1">
      <c r="A60" s="558"/>
      <c r="B60" s="558"/>
      <c r="C60" s="558"/>
      <c r="D60" s="558"/>
      <c r="E60" s="558"/>
      <c r="F60" s="558"/>
      <c r="G60" s="558"/>
      <c r="H60" s="558"/>
      <c r="I60" s="558"/>
      <c r="J60" s="558"/>
      <c r="K60" s="558"/>
      <c r="L60" s="558"/>
      <c r="M60" s="558"/>
      <c r="N60" s="558"/>
      <c r="O60" s="558"/>
      <c r="P60" s="558"/>
      <c r="Q60" s="558"/>
      <c r="R60" s="558"/>
      <c r="S60" s="558"/>
      <c r="T60" s="558"/>
      <c r="X60" s="315"/>
    </row>
  </sheetData>
  <sheetProtection selectLockedCells="1"/>
  <mergeCells count="11">
    <mergeCell ref="K24:T24"/>
    <mergeCell ref="K25:T25"/>
    <mergeCell ref="K26:S26"/>
    <mergeCell ref="B3:T3"/>
    <mergeCell ref="K7:T7"/>
    <mergeCell ref="K8:T8"/>
    <mergeCell ref="K9:T9"/>
    <mergeCell ref="K12:T12"/>
    <mergeCell ref="K13:T13"/>
    <mergeCell ref="K18:T18"/>
    <mergeCell ref="K19:T19"/>
  </mergeCells>
  <phoneticPr fontId="17"/>
  <printOptions horizontalCentered="1"/>
  <pageMargins left="0.70866141732283472" right="0.70866141732283472" top="0.74803149606299213" bottom="0.74803149606299213" header="0.31496062992125984" footer="0.31496062992125984"/>
  <pageSetup paperSize="9" scale="95" fitToHeight="0" orientation="portrait" r:id="rId1"/>
  <headerFooter>
    <oddFooter>&amp;L【通所介護_BMC】</oddFooter>
    <firstFooter>&amp;L【通所介護】BMC</firstFooter>
  </headerFooter>
  <rowBreaks count="1" manualBreakCount="1">
    <brk id="59"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DD0C7"/>
    <pageSetUpPr fitToPage="1"/>
  </sheetPr>
  <dimension ref="A1:V63"/>
  <sheetViews>
    <sheetView topLeftCell="A31" workbookViewId="0"/>
  </sheetViews>
  <sheetFormatPr defaultColWidth="9" defaultRowHeight="14.25"/>
  <cols>
    <col min="1" max="20" width="4.625" style="259" customWidth="1"/>
    <col min="21" max="16384" width="9" style="259"/>
  </cols>
  <sheetData>
    <row r="1" spans="1:22">
      <c r="T1" s="560"/>
    </row>
    <row r="2" spans="1:22" ht="15" customHeight="1">
      <c r="A2" s="1791" t="s">
        <v>1000</v>
      </c>
      <c r="B2" s="1791"/>
      <c r="C2" s="1791"/>
      <c r="D2" s="1791"/>
      <c r="E2" s="1791"/>
      <c r="F2" s="1791"/>
      <c r="G2" s="1791"/>
      <c r="H2" s="1791"/>
      <c r="I2" s="1791"/>
      <c r="J2" s="1791"/>
      <c r="K2" s="1791"/>
      <c r="L2" s="1791"/>
      <c r="M2" s="1791"/>
      <c r="N2" s="1791"/>
      <c r="O2" s="1791"/>
      <c r="P2" s="1791"/>
      <c r="Q2" s="1791"/>
      <c r="R2" s="1791"/>
      <c r="S2" s="1791"/>
      <c r="T2" s="1791"/>
    </row>
    <row r="3" spans="1:22" ht="15" customHeight="1">
      <c r="A3" s="1791"/>
      <c r="B3" s="1791"/>
      <c r="C3" s="1791"/>
      <c r="D3" s="1791"/>
      <c r="E3" s="1791"/>
      <c r="F3" s="1791"/>
      <c r="G3" s="1791"/>
      <c r="H3" s="1791"/>
      <c r="I3" s="1791"/>
      <c r="J3" s="1791"/>
      <c r="K3" s="1791"/>
      <c r="L3" s="1791"/>
      <c r="M3" s="1791"/>
      <c r="N3" s="1791"/>
      <c r="O3" s="1791"/>
      <c r="P3" s="1791"/>
      <c r="Q3" s="1791"/>
      <c r="R3" s="1791"/>
      <c r="S3" s="1791"/>
      <c r="T3" s="1791"/>
      <c r="V3" s="474"/>
    </row>
    <row r="4" spans="1:22" ht="15" customHeight="1">
      <c r="A4" s="139" t="str">
        <f>【マスター】!C21</f>
        <v>株式会社ケアサポート</v>
      </c>
      <c r="B4" s="140"/>
      <c r="C4" s="140"/>
      <c r="D4" s="140"/>
      <c r="E4" s="140"/>
      <c r="F4" s="140"/>
      <c r="G4" s="140"/>
      <c r="H4" s="140"/>
      <c r="I4" s="140"/>
      <c r="J4" s="140"/>
      <c r="K4" s="140"/>
      <c r="L4" s="140"/>
      <c r="M4" s="140"/>
      <c r="N4" s="140"/>
      <c r="O4" s="140"/>
      <c r="P4" s="140"/>
      <c r="Q4" s="140"/>
      <c r="R4" s="140"/>
      <c r="S4" s="140"/>
      <c r="T4" s="140"/>
      <c r="V4" s="485"/>
    </row>
    <row r="5" spans="1:22" ht="15" customHeight="1">
      <c r="A5" s="139" t="str">
        <f>【マスター】!C7&amp;【マスター】!E7</f>
        <v>デイサービスさつきの湯</v>
      </c>
      <c r="B5" s="140"/>
      <c r="C5" s="140"/>
      <c r="D5" s="140"/>
      <c r="E5" s="140"/>
      <c r="F5" s="140"/>
      <c r="G5" s="140"/>
      <c r="H5" s="140"/>
      <c r="I5" s="140"/>
      <c r="J5" s="140"/>
      <c r="K5" s="140"/>
      <c r="L5" s="140"/>
      <c r="M5" s="140"/>
      <c r="N5" s="140"/>
      <c r="O5" s="140"/>
      <c r="P5" s="140"/>
      <c r="Q5" s="140"/>
      <c r="R5" s="140"/>
      <c r="S5" s="140"/>
      <c r="T5" s="140"/>
    </row>
    <row r="6" spans="1:22" ht="15" customHeight="1">
      <c r="A6" s="259" t="s">
        <v>1001</v>
      </c>
      <c r="C6" s="139"/>
      <c r="D6" s="140"/>
      <c r="E6" s="140"/>
      <c r="F6" s="140"/>
      <c r="G6" s="140"/>
      <c r="H6" s="140"/>
      <c r="I6" s="140"/>
      <c r="J6" s="140"/>
      <c r="K6" s="140"/>
      <c r="L6" s="140"/>
      <c r="M6" s="140"/>
      <c r="N6" s="140"/>
      <c r="O6" s="140"/>
      <c r="P6" s="140"/>
      <c r="Q6" s="140"/>
      <c r="R6" s="140"/>
      <c r="S6" s="140"/>
      <c r="T6" s="140"/>
    </row>
    <row r="7" spans="1:22" ht="15" customHeight="1">
      <c r="A7" s="139"/>
      <c r="B7" s="140"/>
      <c r="C7" s="140"/>
      <c r="D7" s="140"/>
      <c r="E7" s="140"/>
      <c r="F7" s="140"/>
      <c r="G7" s="140"/>
      <c r="H7" s="140"/>
      <c r="I7" s="140"/>
      <c r="J7" s="140"/>
      <c r="K7" s="140"/>
      <c r="L7" s="140"/>
      <c r="M7" s="140"/>
      <c r="N7" s="140"/>
      <c r="O7" s="140"/>
      <c r="P7" s="140"/>
      <c r="Q7" s="140"/>
      <c r="R7" s="140"/>
      <c r="S7" s="140"/>
      <c r="T7" s="140"/>
    </row>
    <row r="8" spans="1:22" ht="15" customHeight="1">
      <c r="A8" s="1788" t="s">
        <v>1002</v>
      </c>
      <c r="B8" s="1788"/>
      <c r="C8" s="1788"/>
      <c r="D8" s="1788"/>
      <c r="E8" s="1788"/>
      <c r="F8" s="1788"/>
      <c r="G8" s="1788"/>
      <c r="H8" s="1788"/>
      <c r="I8" s="1788"/>
      <c r="J8" s="1788"/>
      <c r="K8" s="1788"/>
      <c r="L8" s="1788"/>
      <c r="M8" s="1788"/>
      <c r="N8" s="1788"/>
      <c r="O8" s="1788"/>
      <c r="P8" s="1788"/>
      <c r="Q8" s="1788"/>
      <c r="R8" s="1788"/>
      <c r="S8" s="1788"/>
      <c r="T8" s="1788"/>
    </row>
    <row r="9" spans="1:22" ht="15" customHeight="1">
      <c r="A9" s="1788"/>
      <c r="B9" s="1788"/>
      <c r="C9" s="1788"/>
      <c r="D9" s="1788"/>
      <c r="E9" s="1788"/>
      <c r="F9" s="1788"/>
      <c r="G9" s="1788"/>
      <c r="H9" s="1788"/>
      <c r="I9" s="1788"/>
      <c r="J9" s="1788"/>
      <c r="K9" s="1788"/>
      <c r="L9" s="1788"/>
      <c r="M9" s="1788"/>
      <c r="N9" s="1788"/>
      <c r="O9" s="1788"/>
      <c r="P9" s="1788"/>
      <c r="Q9" s="1788"/>
      <c r="R9" s="1788"/>
      <c r="S9" s="1788"/>
      <c r="T9" s="1788"/>
    </row>
    <row r="10" spans="1:22" ht="15" customHeight="1">
      <c r="A10" s="562"/>
      <c r="B10" s="562"/>
      <c r="C10" s="562"/>
      <c r="D10" s="562"/>
      <c r="E10" s="562"/>
      <c r="F10" s="562"/>
      <c r="G10" s="562"/>
      <c r="H10" s="562"/>
      <c r="I10" s="562"/>
      <c r="J10" s="562"/>
      <c r="K10" s="562"/>
      <c r="L10" s="562"/>
      <c r="M10" s="562"/>
      <c r="N10" s="562"/>
      <c r="O10" s="562"/>
      <c r="P10" s="562"/>
      <c r="Q10" s="562"/>
      <c r="R10" s="562"/>
      <c r="S10" s="562"/>
      <c r="T10" s="562"/>
    </row>
    <row r="11" spans="1:22" ht="15" customHeight="1">
      <c r="A11" s="1792" t="s">
        <v>1003</v>
      </c>
      <c r="B11" s="1792"/>
      <c r="C11" s="1792"/>
      <c r="D11" s="1792"/>
      <c r="E11" s="1792"/>
      <c r="F11" s="1792"/>
      <c r="G11" s="1792"/>
      <c r="H11" s="1792"/>
      <c r="I11" s="1792"/>
      <c r="J11" s="1792"/>
      <c r="K11" s="1792"/>
      <c r="L11" s="1792"/>
      <c r="M11" s="1792"/>
      <c r="N11" s="1792"/>
      <c r="O11" s="1792"/>
      <c r="P11" s="1792"/>
      <c r="Q11" s="1792"/>
      <c r="R11" s="1792"/>
      <c r="S11" s="1792"/>
      <c r="T11" s="1792"/>
    </row>
    <row r="12" spans="1:22" s="262" customFormat="1" ht="16.350000000000001" customHeight="1">
      <c r="A12" s="1787" t="s">
        <v>1004</v>
      </c>
      <c r="B12" s="1787"/>
      <c r="C12" s="1787"/>
      <c r="D12" s="1787"/>
      <c r="E12" s="1787"/>
      <c r="F12" s="1787"/>
      <c r="G12" s="1787"/>
      <c r="H12" s="1787"/>
      <c r="I12" s="1787"/>
      <c r="J12" s="1787"/>
      <c r="K12" s="1787"/>
      <c r="L12" s="1787"/>
      <c r="M12" s="1787"/>
      <c r="N12" s="1787"/>
      <c r="O12" s="1787"/>
      <c r="P12" s="1787"/>
      <c r="Q12" s="1787"/>
      <c r="R12" s="1787"/>
      <c r="S12" s="1787"/>
      <c r="T12" s="1787"/>
    </row>
    <row r="13" spans="1:22" s="262" customFormat="1" ht="16.350000000000001" customHeight="1">
      <c r="A13" s="1790" t="s">
        <v>599</v>
      </c>
      <c r="B13" s="1790"/>
      <c r="C13" s="262" t="s">
        <v>1005</v>
      </c>
    </row>
    <row r="14" spans="1:22" s="262" customFormat="1" ht="16.350000000000001" customHeight="1">
      <c r="A14" s="1790" t="s">
        <v>980</v>
      </c>
      <c r="B14" s="1790"/>
      <c r="C14" s="1788" t="s">
        <v>1006</v>
      </c>
      <c r="D14" s="1788"/>
      <c r="E14" s="1788"/>
      <c r="F14" s="1788"/>
      <c r="G14" s="1788"/>
      <c r="H14" s="1788"/>
      <c r="I14" s="1788"/>
      <c r="J14" s="1788"/>
      <c r="K14" s="1788"/>
      <c r="L14" s="1788"/>
      <c r="M14" s="1788"/>
      <c r="N14" s="1788"/>
      <c r="O14" s="1788"/>
      <c r="P14" s="1788"/>
      <c r="Q14" s="1788"/>
      <c r="R14" s="1788"/>
      <c r="S14" s="1788"/>
      <c r="T14" s="1788"/>
    </row>
    <row r="15" spans="1:22" s="262" customFormat="1" ht="16.350000000000001" customHeight="1">
      <c r="C15" s="1788"/>
      <c r="D15" s="1788"/>
      <c r="E15" s="1788"/>
      <c r="F15" s="1788"/>
      <c r="G15" s="1788"/>
      <c r="H15" s="1788"/>
      <c r="I15" s="1788"/>
      <c r="J15" s="1788"/>
      <c r="K15" s="1788"/>
      <c r="L15" s="1788"/>
      <c r="M15" s="1788"/>
      <c r="N15" s="1788"/>
      <c r="O15" s="1788"/>
      <c r="P15" s="1788"/>
      <c r="Q15" s="1788"/>
      <c r="R15" s="1788"/>
      <c r="S15" s="1788"/>
      <c r="T15" s="1788"/>
    </row>
    <row r="16" spans="1:22" s="262" customFormat="1" ht="16.350000000000001" customHeight="1">
      <c r="A16" s="1790" t="s">
        <v>981</v>
      </c>
      <c r="B16" s="1790"/>
      <c r="C16" s="262" t="s">
        <v>1007</v>
      </c>
    </row>
    <row r="17" spans="1:20" s="262" customFormat="1" ht="16.350000000000001" customHeight="1">
      <c r="A17" s="1790" t="s">
        <v>983</v>
      </c>
      <c r="B17" s="1790"/>
      <c r="C17" s="262" t="s">
        <v>1008</v>
      </c>
    </row>
    <row r="18" spans="1:20" s="262" customFormat="1" ht="16.350000000000001" customHeight="1">
      <c r="A18" s="1790" t="s">
        <v>657</v>
      </c>
      <c r="B18" s="1790"/>
      <c r="C18" s="262" t="s">
        <v>1009</v>
      </c>
    </row>
    <row r="19" spans="1:20" s="262" customFormat="1" ht="16.350000000000001" customHeight="1">
      <c r="A19" s="1790" t="s">
        <v>1010</v>
      </c>
      <c r="B19" s="1790"/>
      <c r="C19" s="262" t="s">
        <v>1011</v>
      </c>
    </row>
    <row r="20" spans="1:20" s="262" customFormat="1" ht="16.350000000000001" customHeight="1">
      <c r="A20" s="1790" t="s">
        <v>1012</v>
      </c>
      <c r="B20" s="1790"/>
      <c r="C20" s="262" t="s">
        <v>1013</v>
      </c>
    </row>
    <row r="21" spans="1:20" s="262" customFormat="1" ht="16.350000000000001" customHeight="1">
      <c r="A21" s="1790" t="s">
        <v>1014</v>
      </c>
      <c r="B21" s="1790"/>
      <c r="C21" s="262" t="s">
        <v>1015</v>
      </c>
    </row>
    <row r="22" spans="1:20" s="262" customFormat="1" ht="16.350000000000001" customHeight="1">
      <c r="A22" s="1787" t="s">
        <v>1016</v>
      </c>
      <c r="B22" s="1787"/>
      <c r="C22" s="1787"/>
      <c r="D22" s="1787"/>
      <c r="E22" s="1787"/>
      <c r="F22" s="1787"/>
      <c r="G22" s="1787"/>
      <c r="H22" s="1787"/>
      <c r="I22" s="1787"/>
      <c r="J22" s="1787"/>
      <c r="K22" s="1787"/>
      <c r="L22" s="1787"/>
      <c r="M22" s="1787"/>
      <c r="N22" s="1787"/>
      <c r="O22" s="1787"/>
      <c r="P22" s="1787"/>
      <c r="Q22" s="1787"/>
      <c r="R22" s="1787"/>
      <c r="S22" s="1787"/>
      <c r="T22" s="1787"/>
    </row>
    <row r="23" spans="1:20" s="262" customFormat="1" ht="16.350000000000001" customHeight="1">
      <c r="B23" s="561"/>
      <c r="C23" s="561" t="s">
        <v>1017</v>
      </c>
      <c r="D23" s="561"/>
      <c r="E23" s="561"/>
      <c r="F23" s="561"/>
      <c r="G23" s="561"/>
      <c r="H23" s="561"/>
      <c r="I23" s="561"/>
      <c r="J23" s="561"/>
      <c r="K23" s="561"/>
      <c r="L23" s="561"/>
      <c r="M23" s="561"/>
      <c r="N23" s="561"/>
      <c r="O23" s="561"/>
      <c r="P23" s="561"/>
      <c r="Q23" s="561"/>
      <c r="R23" s="561"/>
      <c r="S23" s="561"/>
      <c r="T23" s="561"/>
    </row>
    <row r="24" spans="1:20" s="262" customFormat="1" ht="16.350000000000001" customHeight="1">
      <c r="A24" s="1787" t="s">
        <v>1018</v>
      </c>
      <c r="B24" s="1787"/>
      <c r="C24" s="1787"/>
      <c r="D24" s="1787"/>
      <c r="E24" s="1787"/>
      <c r="F24" s="1787"/>
      <c r="G24" s="1787"/>
      <c r="H24" s="1787"/>
      <c r="I24" s="1787"/>
      <c r="J24" s="1787"/>
      <c r="K24" s="1787"/>
      <c r="L24" s="1787"/>
      <c r="M24" s="1787"/>
      <c r="N24" s="1787"/>
      <c r="O24" s="1787"/>
      <c r="P24" s="1787"/>
      <c r="Q24" s="1787"/>
      <c r="R24" s="1787"/>
      <c r="S24" s="1787"/>
      <c r="T24" s="1787"/>
    </row>
    <row r="25" spans="1:20" s="262" customFormat="1" ht="32.1" customHeight="1">
      <c r="B25" s="263"/>
      <c r="C25" s="1788" t="s">
        <v>1019</v>
      </c>
      <c r="D25" s="1788"/>
      <c r="E25" s="1788"/>
      <c r="F25" s="1788"/>
      <c r="G25" s="1788"/>
      <c r="H25" s="1788"/>
      <c r="I25" s="1788"/>
      <c r="J25" s="1788"/>
      <c r="K25" s="1788"/>
      <c r="L25" s="1788"/>
      <c r="M25" s="1788"/>
      <c r="N25" s="1788"/>
      <c r="O25" s="1788"/>
      <c r="P25" s="1788"/>
      <c r="Q25" s="1788"/>
      <c r="R25" s="1788"/>
      <c r="S25" s="1788"/>
      <c r="T25" s="1788"/>
    </row>
    <row r="26" spans="1:20" s="262" customFormat="1" ht="16.350000000000001" customHeight="1">
      <c r="B26" s="263"/>
      <c r="C26" s="1789" t="s">
        <v>1020</v>
      </c>
      <c r="D26" s="1789"/>
      <c r="E26" s="1789"/>
      <c r="F26" s="1789"/>
      <c r="G26" s="1789"/>
      <c r="H26" s="1789"/>
      <c r="I26" s="1789"/>
      <c r="J26" s="1789"/>
      <c r="K26" s="1789"/>
      <c r="L26" s="1789"/>
      <c r="M26" s="1789"/>
      <c r="N26" s="1789"/>
      <c r="O26" s="1789"/>
      <c r="P26" s="1789"/>
      <c r="Q26" s="1789"/>
      <c r="R26" s="1789"/>
      <c r="S26" s="1789"/>
      <c r="T26" s="1789"/>
    </row>
    <row r="27" spans="1:20" s="262" customFormat="1" ht="16.350000000000001" customHeight="1">
      <c r="B27" s="263"/>
      <c r="C27" s="1789"/>
      <c r="D27" s="1789"/>
      <c r="E27" s="1789"/>
      <c r="F27" s="1789"/>
      <c r="G27" s="1789"/>
      <c r="H27" s="1789"/>
      <c r="I27" s="1789"/>
      <c r="J27" s="1789"/>
      <c r="K27" s="1789"/>
      <c r="L27" s="1789"/>
      <c r="M27" s="1789"/>
      <c r="N27" s="1789"/>
      <c r="O27" s="1789"/>
      <c r="P27" s="1789"/>
      <c r="Q27" s="1789"/>
      <c r="R27" s="1789"/>
      <c r="S27" s="1789"/>
      <c r="T27" s="1789"/>
    </row>
    <row r="28" spans="1:20" s="262" customFormat="1" ht="16.350000000000001" customHeight="1">
      <c r="B28" s="263"/>
      <c r="C28" s="1789"/>
      <c r="D28" s="1789"/>
      <c r="E28" s="1789"/>
      <c r="F28" s="1789"/>
      <c r="G28" s="1789"/>
      <c r="H28" s="1789"/>
      <c r="I28" s="1789"/>
      <c r="J28" s="1789"/>
      <c r="K28" s="1789"/>
      <c r="L28" s="1789"/>
      <c r="M28" s="1789"/>
      <c r="N28" s="1789"/>
      <c r="O28" s="1789"/>
      <c r="P28" s="1789"/>
      <c r="Q28" s="1789"/>
      <c r="R28" s="1789"/>
      <c r="S28" s="1789"/>
      <c r="T28" s="1789"/>
    </row>
    <row r="29" spans="1:20" ht="15" customHeight="1">
      <c r="A29" s="1785" t="s">
        <v>1021</v>
      </c>
      <c r="B29" s="1785"/>
      <c r="C29" s="1785"/>
      <c r="D29" s="1785"/>
      <c r="E29" s="1785" t="s">
        <v>1022</v>
      </c>
      <c r="F29" s="1785"/>
      <c r="G29" s="1785"/>
      <c r="H29" s="1785"/>
      <c r="I29" s="1785"/>
      <c r="J29" s="1785"/>
      <c r="K29" s="1785"/>
      <c r="L29" s="1785"/>
      <c r="M29" s="1785"/>
      <c r="N29" s="1785"/>
      <c r="O29" s="1785" t="s">
        <v>1023</v>
      </c>
      <c r="P29" s="1785"/>
      <c r="Q29" s="1785"/>
      <c r="R29" s="1785"/>
      <c r="S29" s="1785"/>
      <c r="T29" s="1785"/>
    </row>
    <row r="30" spans="1:20" ht="15" customHeight="1">
      <c r="A30" s="1785"/>
      <c r="B30" s="1785"/>
      <c r="C30" s="1785"/>
      <c r="D30" s="1785"/>
      <c r="E30" s="1786"/>
      <c r="F30" s="1786"/>
      <c r="G30" s="1786"/>
      <c r="H30" s="1786"/>
      <c r="I30" s="1786"/>
      <c r="J30" s="1786"/>
      <c r="K30" s="1786"/>
      <c r="L30" s="1786"/>
      <c r="M30" s="1786"/>
      <c r="N30" s="1786"/>
      <c r="O30" s="1785" t="s">
        <v>1024</v>
      </c>
      <c r="P30" s="1785"/>
      <c r="Q30" s="1785"/>
      <c r="R30" s="1785" t="s">
        <v>1025</v>
      </c>
      <c r="S30" s="1785"/>
      <c r="T30" s="1785"/>
    </row>
    <row r="31" spans="1:20" ht="15" customHeight="1">
      <c r="A31" s="1758" t="s">
        <v>1026</v>
      </c>
      <c r="B31" s="1758"/>
      <c r="C31" s="1758"/>
      <c r="D31" s="1766"/>
      <c r="E31" s="1767" t="s">
        <v>1027</v>
      </c>
      <c r="F31" s="1768"/>
      <c r="G31" s="1768"/>
      <c r="H31" s="1768"/>
      <c r="I31" s="1768"/>
      <c r="J31" s="1768"/>
      <c r="K31" s="1768"/>
      <c r="L31" s="1768"/>
      <c r="M31" s="1768"/>
      <c r="N31" s="1769"/>
      <c r="O31" s="1776" t="s">
        <v>1028</v>
      </c>
      <c r="P31" s="1777"/>
      <c r="Q31" s="1778"/>
      <c r="R31" s="1776" t="s">
        <v>1028</v>
      </c>
      <c r="S31" s="1777"/>
      <c r="T31" s="1778"/>
    </row>
    <row r="32" spans="1:20" ht="15" customHeight="1">
      <c r="A32" s="1758"/>
      <c r="B32" s="1758"/>
      <c r="C32" s="1758"/>
      <c r="D32" s="1766"/>
      <c r="E32" s="1770"/>
      <c r="F32" s="1771"/>
      <c r="G32" s="1771"/>
      <c r="H32" s="1771"/>
      <c r="I32" s="1771"/>
      <c r="J32" s="1771"/>
      <c r="K32" s="1771"/>
      <c r="L32" s="1771"/>
      <c r="M32" s="1771"/>
      <c r="N32" s="1772"/>
      <c r="O32" s="1779"/>
      <c r="P32" s="1780"/>
      <c r="Q32" s="1781"/>
      <c r="R32" s="1779"/>
      <c r="S32" s="1780"/>
      <c r="T32" s="1781"/>
    </row>
    <row r="33" spans="1:20" ht="15" customHeight="1">
      <c r="A33" s="1758"/>
      <c r="B33" s="1758"/>
      <c r="C33" s="1758"/>
      <c r="D33" s="1766"/>
      <c r="E33" s="1773"/>
      <c r="F33" s="1774"/>
      <c r="G33" s="1774"/>
      <c r="H33" s="1774"/>
      <c r="I33" s="1774"/>
      <c r="J33" s="1774"/>
      <c r="K33" s="1774"/>
      <c r="L33" s="1774"/>
      <c r="M33" s="1774"/>
      <c r="N33" s="1775"/>
      <c r="O33" s="1782"/>
      <c r="P33" s="1783"/>
      <c r="Q33" s="1784"/>
      <c r="R33" s="1782"/>
      <c r="S33" s="1783"/>
      <c r="T33" s="1784"/>
    </row>
    <row r="34" spans="1:20" ht="15" customHeight="1">
      <c r="A34" s="1785" t="s">
        <v>1021</v>
      </c>
      <c r="B34" s="1785"/>
      <c r="C34" s="1785"/>
      <c r="D34" s="1785"/>
      <c r="E34" s="1785" t="s">
        <v>1022</v>
      </c>
      <c r="F34" s="1785"/>
      <c r="G34" s="1785"/>
      <c r="H34" s="1785"/>
      <c r="I34" s="1785"/>
      <c r="J34" s="1785"/>
      <c r="K34" s="1785"/>
      <c r="L34" s="1785"/>
      <c r="M34" s="1785"/>
      <c r="N34" s="1785"/>
      <c r="O34" s="1785" t="s">
        <v>1023</v>
      </c>
      <c r="P34" s="1785"/>
      <c r="Q34" s="1785"/>
      <c r="R34" s="1785"/>
      <c r="S34" s="1785"/>
      <c r="T34" s="1785"/>
    </row>
    <row r="35" spans="1:20" ht="15" customHeight="1">
      <c r="A35" s="1785"/>
      <c r="B35" s="1785"/>
      <c r="C35" s="1785"/>
      <c r="D35" s="1785"/>
      <c r="E35" s="1786"/>
      <c r="F35" s="1786"/>
      <c r="G35" s="1786"/>
      <c r="H35" s="1786"/>
      <c r="I35" s="1786"/>
      <c r="J35" s="1786"/>
      <c r="K35" s="1786"/>
      <c r="L35" s="1786"/>
      <c r="M35" s="1786"/>
      <c r="N35" s="1786"/>
      <c r="O35" s="1785" t="s">
        <v>1024</v>
      </c>
      <c r="P35" s="1785"/>
      <c r="Q35" s="1785"/>
      <c r="R35" s="1785" t="s">
        <v>1025</v>
      </c>
      <c r="S35" s="1785"/>
      <c r="T35" s="1785"/>
    </row>
    <row r="36" spans="1:20" ht="18" customHeight="1">
      <c r="A36" s="1758" t="s">
        <v>1029</v>
      </c>
      <c r="B36" s="1758"/>
      <c r="C36" s="1758"/>
      <c r="D36" s="1758"/>
      <c r="E36" s="1756" t="s">
        <v>1030</v>
      </c>
      <c r="F36" s="1756"/>
      <c r="G36" s="1756"/>
      <c r="H36" s="1756"/>
      <c r="I36" s="1756"/>
      <c r="J36" s="1756"/>
      <c r="K36" s="1756"/>
      <c r="L36" s="1756"/>
      <c r="M36" s="1756"/>
      <c r="N36" s="1756"/>
      <c r="O36" s="1757" t="s">
        <v>1028</v>
      </c>
      <c r="P36" s="1757"/>
      <c r="Q36" s="1757"/>
      <c r="R36" s="1765"/>
      <c r="S36" s="1765"/>
      <c r="T36" s="1765"/>
    </row>
    <row r="37" spans="1:20" ht="18" customHeight="1">
      <c r="A37" s="1758"/>
      <c r="B37" s="1758"/>
      <c r="C37" s="1758"/>
      <c r="D37" s="1758"/>
      <c r="E37" s="1756" t="s">
        <v>1031</v>
      </c>
      <c r="F37" s="1756"/>
      <c r="G37" s="1756"/>
      <c r="H37" s="1756"/>
      <c r="I37" s="1756"/>
      <c r="J37" s="1756"/>
      <c r="K37" s="1756"/>
      <c r="L37" s="1756"/>
      <c r="M37" s="1756"/>
      <c r="N37" s="1756"/>
      <c r="O37" s="1757" t="s">
        <v>1028</v>
      </c>
      <c r="P37" s="1757"/>
      <c r="Q37" s="1757"/>
      <c r="R37" s="1765"/>
      <c r="S37" s="1765"/>
      <c r="T37" s="1765"/>
    </row>
    <row r="38" spans="1:20" ht="18" customHeight="1">
      <c r="A38" s="1758" t="s">
        <v>1032</v>
      </c>
      <c r="B38" s="1758"/>
      <c r="C38" s="1758"/>
      <c r="D38" s="1758"/>
      <c r="E38" s="1756" t="s">
        <v>1033</v>
      </c>
      <c r="F38" s="1756"/>
      <c r="G38" s="1756"/>
      <c r="H38" s="1756"/>
      <c r="I38" s="1756"/>
      <c r="J38" s="1756"/>
      <c r="K38" s="1756"/>
      <c r="L38" s="1756"/>
      <c r="M38" s="1756"/>
      <c r="N38" s="1756"/>
      <c r="O38" s="1757" t="s">
        <v>1028</v>
      </c>
      <c r="P38" s="1757"/>
      <c r="Q38" s="1757"/>
      <c r="R38" s="1757" t="s">
        <v>1028</v>
      </c>
      <c r="S38" s="1757"/>
      <c r="T38" s="1757"/>
    </row>
    <row r="39" spans="1:20" ht="18" customHeight="1">
      <c r="A39" s="1758"/>
      <c r="B39" s="1758"/>
      <c r="C39" s="1758"/>
      <c r="D39" s="1758"/>
      <c r="E39" s="1759" t="s">
        <v>1034</v>
      </c>
      <c r="F39" s="1760"/>
      <c r="G39" s="1760"/>
      <c r="H39" s="1760"/>
      <c r="I39" s="1760"/>
      <c r="J39" s="1760"/>
      <c r="K39" s="1760"/>
      <c r="L39" s="1760"/>
      <c r="M39" s="1760"/>
      <c r="N39" s="1761"/>
      <c r="O39" s="1762" t="s">
        <v>1028</v>
      </c>
      <c r="P39" s="1763"/>
      <c r="Q39" s="1764"/>
      <c r="R39" s="1762" t="s">
        <v>1028</v>
      </c>
      <c r="S39" s="1763"/>
      <c r="T39" s="1764"/>
    </row>
    <row r="40" spans="1:20" ht="18" customHeight="1">
      <c r="A40" s="1758"/>
      <c r="B40" s="1758"/>
      <c r="C40" s="1758"/>
      <c r="D40" s="1758"/>
      <c r="E40" s="1759" t="s">
        <v>1035</v>
      </c>
      <c r="F40" s="1760"/>
      <c r="G40" s="1760"/>
      <c r="H40" s="1760"/>
      <c r="I40" s="1760"/>
      <c r="J40" s="1760"/>
      <c r="K40" s="1760"/>
      <c r="L40" s="1760"/>
      <c r="M40" s="1760"/>
      <c r="N40" s="1761"/>
      <c r="O40" s="1762" t="s">
        <v>1028</v>
      </c>
      <c r="P40" s="1763"/>
      <c r="Q40" s="1764"/>
      <c r="R40" s="1762" t="s">
        <v>1028</v>
      </c>
      <c r="S40" s="1763"/>
      <c r="T40" s="1764"/>
    </row>
    <row r="41" spans="1:20" ht="18" customHeight="1">
      <c r="A41" s="1758"/>
      <c r="B41" s="1758"/>
      <c r="C41" s="1758"/>
      <c r="D41" s="1758"/>
      <c r="E41" s="1747" t="s">
        <v>1036</v>
      </c>
      <c r="F41" s="526"/>
      <c r="G41" s="1750" t="s">
        <v>1037</v>
      </c>
      <c r="H41" s="1750"/>
      <c r="I41" s="1750"/>
      <c r="J41" s="1750"/>
      <c r="K41" s="1750"/>
      <c r="L41" s="1750"/>
      <c r="M41" s="1750"/>
      <c r="N41" s="1750"/>
      <c r="O41" s="1750"/>
      <c r="P41" s="1750"/>
      <c r="Q41" s="1750"/>
      <c r="R41" s="1750"/>
      <c r="S41" s="1750"/>
      <c r="T41" s="1751"/>
    </row>
    <row r="42" spans="1:20" ht="18" customHeight="1">
      <c r="A42" s="1758"/>
      <c r="B42" s="1758"/>
      <c r="C42" s="1758"/>
      <c r="D42" s="1758"/>
      <c r="E42" s="1748"/>
      <c r="F42" s="264"/>
      <c r="G42" s="1752" t="s">
        <v>1038</v>
      </c>
      <c r="H42" s="1752"/>
      <c r="I42" s="1752"/>
      <c r="J42" s="1752"/>
      <c r="K42" s="1752"/>
      <c r="L42" s="1752"/>
      <c r="M42" s="1752"/>
      <c r="N42" s="1752"/>
      <c r="O42" s="1752"/>
      <c r="P42" s="1752"/>
      <c r="Q42" s="1752"/>
      <c r="R42" s="1752"/>
      <c r="S42" s="1752"/>
      <c r="T42" s="1753"/>
    </row>
    <row r="43" spans="1:20" ht="18" customHeight="1">
      <c r="A43" s="1758"/>
      <c r="B43" s="1758"/>
      <c r="C43" s="1758"/>
      <c r="D43" s="1758"/>
      <c r="E43" s="1749"/>
      <c r="F43" s="265"/>
      <c r="G43" s="1754" t="s">
        <v>1039</v>
      </c>
      <c r="H43" s="1754"/>
      <c r="I43" s="1754"/>
      <c r="J43" s="1754"/>
      <c r="K43" s="1754"/>
      <c r="L43" s="1754"/>
      <c r="M43" s="1754"/>
      <c r="N43" s="1754"/>
      <c r="O43" s="1754"/>
      <c r="P43" s="1754"/>
      <c r="Q43" s="1754"/>
      <c r="R43" s="1754"/>
      <c r="S43" s="1754"/>
      <c r="T43" s="1755"/>
    </row>
    <row r="44" spans="1:20" ht="18" customHeight="1">
      <c r="A44" s="1758"/>
      <c r="B44" s="1758"/>
      <c r="C44" s="1758"/>
      <c r="D44" s="1758"/>
      <c r="E44" s="1756" t="s">
        <v>1040</v>
      </c>
      <c r="F44" s="1756"/>
      <c r="G44" s="1756"/>
      <c r="H44" s="1756"/>
      <c r="I44" s="1756"/>
      <c r="J44" s="1756"/>
      <c r="K44" s="1756"/>
      <c r="L44" s="1756"/>
      <c r="M44" s="1756"/>
      <c r="N44" s="1756"/>
      <c r="O44" s="1757" t="s">
        <v>1028</v>
      </c>
      <c r="P44" s="1757"/>
      <c r="Q44" s="1757"/>
      <c r="R44" s="1757" t="s">
        <v>1028</v>
      </c>
      <c r="S44" s="1757"/>
      <c r="T44" s="1757"/>
    </row>
    <row r="45" spans="1:20" ht="15" customHeight="1">
      <c r="A45" s="259" t="s">
        <v>1041</v>
      </c>
    </row>
    <row r="46" spans="1:20" ht="7.5" customHeight="1"/>
    <row r="47" spans="1:20" ht="15" customHeight="1">
      <c r="A47" s="1746"/>
      <c r="B47" s="1746"/>
      <c r="C47" s="560"/>
      <c r="D47" s="560" t="s">
        <v>851</v>
      </c>
      <c r="E47" s="560"/>
      <c r="F47" s="560" t="s">
        <v>852</v>
      </c>
      <c r="G47" s="560"/>
      <c r="H47" s="560" t="s">
        <v>853</v>
      </c>
    </row>
    <row r="48" spans="1:20" ht="7.5" customHeight="1">
      <c r="A48" s="560"/>
      <c r="B48" s="560"/>
      <c r="C48" s="560"/>
      <c r="D48" s="560"/>
      <c r="E48" s="560"/>
      <c r="F48" s="560"/>
      <c r="G48" s="560"/>
      <c r="H48" s="560"/>
    </row>
    <row r="49" spans="1:20" ht="15" customHeight="1">
      <c r="A49" s="262" t="s">
        <v>1042</v>
      </c>
      <c r="B49" s="262"/>
      <c r="C49" s="262"/>
      <c r="D49" s="262"/>
      <c r="E49" s="262"/>
      <c r="F49" s="262"/>
      <c r="G49" s="262"/>
      <c r="J49" s="521" t="s">
        <v>947</v>
      </c>
      <c r="K49" s="521"/>
      <c r="L49" s="521"/>
      <c r="M49" s="521"/>
      <c r="N49" s="521"/>
      <c r="O49" s="521"/>
      <c r="P49" s="521"/>
      <c r="Q49" s="521"/>
      <c r="R49" s="521"/>
      <c r="S49" s="521"/>
      <c r="T49" s="522" t="s">
        <v>493</v>
      </c>
    </row>
    <row r="50" spans="1:20" ht="15" customHeight="1">
      <c r="A50" s="266"/>
      <c r="B50" s="263"/>
      <c r="C50" s="263"/>
      <c r="D50" s="263"/>
      <c r="E50" s="263"/>
      <c r="F50" s="263"/>
      <c r="G50" s="263"/>
      <c r="J50" s="263"/>
      <c r="K50" s="263"/>
      <c r="L50" s="263"/>
      <c r="M50" s="263"/>
      <c r="N50" s="263"/>
      <c r="O50" s="263"/>
      <c r="P50" s="263"/>
      <c r="Q50" s="263"/>
      <c r="R50" s="263"/>
      <c r="S50" s="263"/>
      <c r="T50" s="263"/>
    </row>
    <row r="51" spans="1:20" ht="15" customHeight="1">
      <c r="A51" s="262" t="s">
        <v>1043</v>
      </c>
      <c r="B51" s="262"/>
      <c r="C51" s="262"/>
      <c r="D51" s="262"/>
      <c r="E51" s="262"/>
      <c r="F51" s="262"/>
      <c r="G51" s="262"/>
      <c r="J51" s="521" t="s">
        <v>947</v>
      </c>
      <c r="K51" s="521"/>
      <c r="L51" s="521"/>
      <c r="M51" s="521"/>
      <c r="N51" s="521"/>
      <c r="O51" s="521"/>
      <c r="P51" s="521"/>
      <c r="Q51" s="521"/>
      <c r="R51" s="521"/>
      <c r="S51" s="521"/>
      <c r="T51" s="522" t="s">
        <v>493</v>
      </c>
    </row>
    <row r="52" spans="1:20" ht="15" customHeight="1">
      <c r="A52" s="266"/>
      <c r="B52" s="263"/>
      <c r="C52" s="263"/>
      <c r="D52" s="263"/>
      <c r="E52" s="263"/>
      <c r="F52" s="263"/>
      <c r="G52" s="263"/>
      <c r="J52" s="263"/>
      <c r="K52" s="263"/>
      <c r="L52" s="263"/>
      <c r="M52" s="263"/>
      <c r="N52" s="263"/>
      <c r="O52" s="263"/>
      <c r="P52" s="263"/>
      <c r="Q52" s="263"/>
      <c r="R52" s="263"/>
      <c r="S52" s="263"/>
      <c r="T52" s="263"/>
    </row>
    <row r="53" spans="1:20" ht="15" customHeight="1">
      <c r="A53" s="262" t="s">
        <v>1044</v>
      </c>
      <c r="B53" s="262"/>
      <c r="C53" s="262"/>
      <c r="D53" s="262"/>
      <c r="E53" s="262"/>
      <c r="F53" s="262"/>
      <c r="G53" s="262"/>
      <c r="J53" s="521" t="s">
        <v>947</v>
      </c>
      <c r="K53" s="521"/>
      <c r="L53" s="521"/>
      <c r="M53" s="521"/>
      <c r="N53" s="521"/>
      <c r="O53" s="521"/>
      <c r="P53" s="521"/>
      <c r="Q53" s="521"/>
      <c r="R53" s="521"/>
      <c r="S53" s="521"/>
      <c r="T53" s="522" t="s">
        <v>493</v>
      </c>
    </row>
    <row r="54" spans="1:20" ht="15" customHeight="1"/>
    <row r="55" spans="1:20" ht="15" customHeight="1"/>
    <row r="56" spans="1:20" ht="15" customHeight="1"/>
    <row r="57" spans="1:20" ht="15" customHeight="1"/>
    <row r="58" spans="1:20" ht="15" customHeight="1"/>
    <row r="59" spans="1:20" ht="15" customHeight="1"/>
    <row r="60" spans="1:20" ht="15" customHeight="1"/>
    <row r="61" spans="1:20" ht="15" customHeight="1"/>
    <row r="62" spans="1:20" ht="15" customHeight="1"/>
    <row r="63" spans="1:20" ht="15" customHeight="1"/>
  </sheetData>
  <sheetProtection selectLockedCells="1"/>
  <mergeCells count="56">
    <mergeCell ref="A21:B21"/>
    <mergeCell ref="A2:T3"/>
    <mergeCell ref="A8:T9"/>
    <mergeCell ref="A11:T11"/>
    <mergeCell ref="A12:T12"/>
    <mergeCell ref="A13:B13"/>
    <mergeCell ref="A14:B14"/>
    <mergeCell ref="C14:T15"/>
    <mergeCell ref="A16:B16"/>
    <mergeCell ref="A17:B17"/>
    <mergeCell ref="A18:B18"/>
    <mergeCell ref="A19:B19"/>
    <mergeCell ref="A20:B20"/>
    <mergeCell ref="A22:T22"/>
    <mergeCell ref="A24:T24"/>
    <mergeCell ref="C25:T25"/>
    <mergeCell ref="C26:T28"/>
    <mergeCell ref="A29:D30"/>
    <mergeCell ref="E29:N30"/>
    <mergeCell ref="O29:T29"/>
    <mergeCell ref="O30:Q30"/>
    <mergeCell ref="R30:T30"/>
    <mergeCell ref="A31:D33"/>
    <mergeCell ref="E31:N33"/>
    <mergeCell ref="O31:Q33"/>
    <mergeCell ref="R31:T33"/>
    <mergeCell ref="A34:D35"/>
    <mergeCell ref="E34:N35"/>
    <mergeCell ref="O34:T34"/>
    <mergeCell ref="O35:Q35"/>
    <mergeCell ref="R35:T35"/>
    <mergeCell ref="O40:Q40"/>
    <mergeCell ref="R40:T40"/>
    <mergeCell ref="A36:D37"/>
    <mergeCell ref="E36:N36"/>
    <mergeCell ref="O36:Q36"/>
    <mergeCell ref="R36:T36"/>
    <mergeCell ref="E37:N37"/>
    <mergeCell ref="O37:Q37"/>
    <mergeCell ref="R37:T37"/>
    <mergeCell ref="A47:B47"/>
    <mergeCell ref="E41:E43"/>
    <mergeCell ref="G41:T41"/>
    <mergeCell ref="G42:T42"/>
    <mergeCell ref="G43:T43"/>
    <mergeCell ref="E44:N44"/>
    <mergeCell ref="O44:Q44"/>
    <mergeCell ref="R44:T44"/>
    <mergeCell ref="A38:D44"/>
    <mergeCell ref="E38:N38"/>
    <mergeCell ref="O38:Q38"/>
    <mergeCell ref="R38:T38"/>
    <mergeCell ref="E39:N39"/>
    <mergeCell ref="O39:Q39"/>
    <mergeCell ref="R39:T39"/>
    <mergeCell ref="E40:N40"/>
  </mergeCells>
  <phoneticPr fontId="17"/>
  <printOptions horizontalCentered="1" verticalCentered="1"/>
  <pageMargins left="0.70866141732283472" right="0.70866141732283472" top="0.55118110236220474" bottom="0.55118110236220474" header="0.31496062992125984" footer="0.31496062992125984"/>
  <pageSetup paperSize="9" scale="95" fitToHeight="0" orientation="portrait" r:id="rId1"/>
  <headerFooter>
    <oddFooter>&amp;L【通所介護】BMC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DD0C7"/>
    <pageSetUpPr fitToPage="1"/>
  </sheetPr>
  <dimension ref="A1:V65"/>
  <sheetViews>
    <sheetView workbookViewId="0"/>
  </sheetViews>
  <sheetFormatPr defaultColWidth="9" defaultRowHeight="14.25"/>
  <cols>
    <col min="1" max="20" width="4.625" style="368" customWidth="1"/>
    <col min="21" max="21" width="5.625" style="368" customWidth="1"/>
    <col min="22" max="16384" width="9" style="368"/>
  </cols>
  <sheetData>
    <row r="1" spans="1:22" ht="15" customHeight="1">
      <c r="T1" s="369"/>
    </row>
    <row r="2" spans="1:22" ht="15" customHeight="1">
      <c r="A2" s="368" t="s">
        <v>1045</v>
      </c>
    </row>
    <row r="3" spans="1:22" ht="15" customHeight="1">
      <c r="A3" s="1793" t="s">
        <v>1046</v>
      </c>
      <c r="B3" s="1793"/>
      <c r="C3" s="1793"/>
      <c r="D3" s="1793"/>
      <c r="E3" s="1793"/>
      <c r="F3" s="1793"/>
      <c r="G3" s="1793"/>
      <c r="H3" s="1793"/>
      <c r="I3" s="1793"/>
      <c r="J3" s="1793"/>
      <c r="K3" s="1793"/>
      <c r="L3" s="1793"/>
      <c r="M3" s="1793"/>
      <c r="N3" s="1793"/>
      <c r="O3" s="1793"/>
      <c r="P3" s="1793"/>
      <c r="Q3" s="1793"/>
      <c r="R3" s="1793"/>
      <c r="S3" s="1793"/>
      <c r="T3" s="1793"/>
    </row>
    <row r="4" spans="1:22" ht="15" customHeight="1">
      <c r="A4" s="1793"/>
      <c r="B4" s="1793"/>
      <c r="C4" s="1793"/>
      <c r="D4" s="1793"/>
      <c r="E4" s="1793"/>
      <c r="F4" s="1793"/>
      <c r="G4" s="1793"/>
      <c r="H4" s="1793"/>
      <c r="I4" s="1793"/>
      <c r="J4" s="1793"/>
      <c r="K4" s="1793"/>
      <c r="L4" s="1793"/>
      <c r="M4" s="1793"/>
      <c r="N4" s="1793"/>
      <c r="O4" s="1793"/>
      <c r="P4" s="1793"/>
      <c r="Q4" s="1793"/>
      <c r="R4" s="1793"/>
      <c r="S4" s="1793"/>
      <c r="T4" s="1793"/>
      <c r="V4" s="474"/>
    </row>
    <row r="5" spans="1:22" ht="15" customHeight="1">
      <c r="A5" s="563"/>
      <c r="B5" s="563"/>
      <c r="C5" s="563"/>
      <c r="D5" s="563"/>
      <c r="E5" s="563"/>
      <c r="F5" s="563"/>
      <c r="G5" s="563"/>
      <c r="H5" s="563"/>
      <c r="I5" s="563"/>
      <c r="J5" s="563"/>
      <c r="K5" s="563"/>
      <c r="L5" s="563"/>
      <c r="M5" s="563"/>
      <c r="N5" s="563"/>
      <c r="O5" s="563"/>
      <c r="P5" s="563"/>
      <c r="Q5" s="563"/>
      <c r="R5" s="563"/>
      <c r="S5" s="563"/>
      <c r="T5" s="563"/>
      <c r="V5" s="485"/>
    </row>
    <row r="6" spans="1:22" ht="15" customHeight="1">
      <c r="A6" s="139" t="str">
        <f>【マスター】!C21</f>
        <v>株式会社ケアサポート</v>
      </c>
      <c r="B6" s="140"/>
      <c r="C6" s="140"/>
      <c r="D6" s="564"/>
      <c r="E6" s="564"/>
      <c r="F6" s="564"/>
      <c r="G6" s="564"/>
      <c r="H6" s="564"/>
      <c r="I6" s="564"/>
      <c r="J6" s="564"/>
      <c r="K6" s="564"/>
      <c r="L6" s="564"/>
      <c r="M6" s="564"/>
      <c r="N6" s="564"/>
      <c r="O6" s="564"/>
      <c r="P6" s="564"/>
      <c r="Q6" s="564"/>
      <c r="R6" s="564"/>
      <c r="S6" s="564"/>
      <c r="T6" s="564"/>
    </row>
    <row r="7" spans="1:22" ht="15" customHeight="1">
      <c r="A7" s="139" t="str">
        <f>【マスター】!C7&amp;【マスター】!E7</f>
        <v>デイサービスさつきの湯</v>
      </c>
      <c r="B7" s="140"/>
      <c r="C7" s="140"/>
    </row>
    <row r="8" spans="1:22" ht="15" customHeight="1">
      <c r="A8" s="259" t="s">
        <v>1001</v>
      </c>
      <c r="B8" s="259"/>
      <c r="C8" s="139"/>
      <c r="D8" s="370"/>
      <c r="E8" s="370"/>
      <c r="F8" s="371"/>
    </row>
    <row r="9" spans="1:22" ht="15" customHeight="1"/>
    <row r="10" spans="1:22" ht="15" customHeight="1"/>
    <row r="11" spans="1:22" ht="15" customHeight="1">
      <c r="B11" s="368" t="str">
        <f>IF(【マスター】!B161="","私、　　　　　　　　　　　が貴事業所に代理を委任する事項は下記の通りです。","私、 "&amp;【マスター】!B161&amp;" が貴事業所に代理を委任する事項は下記の通りです。")</f>
        <v>私、　　　　　　　　　　　が貴事業所に代理を委任する事項は下記の通りです。</v>
      </c>
    </row>
    <row r="12" spans="1:22" ht="15" customHeight="1">
      <c r="A12" s="1794" t="s">
        <v>1047</v>
      </c>
      <c r="B12" s="1794"/>
      <c r="C12" s="1794"/>
      <c r="D12" s="1794"/>
      <c r="E12" s="1794"/>
      <c r="F12" s="1794"/>
      <c r="G12" s="1794"/>
      <c r="H12" s="1794"/>
      <c r="I12" s="1794"/>
      <c r="J12" s="1794"/>
      <c r="K12" s="1794"/>
      <c r="L12" s="1794"/>
      <c r="M12" s="1794"/>
      <c r="N12" s="1794"/>
      <c r="O12" s="1794"/>
      <c r="P12" s="1794"/>
      <c r="Q12" s="1794"/>
      <c r="R12" s="1794"/>
      <c r="S12" s="1794"/>
      <c r="T12" s="1794"/>
    </row>
    <row r="13" spans="1:22" ht="15" customHeight="1">
      <c r="A13" s="1794"/>
      <c r="B13" s="1794"/>
      <c r="C13" s="1794"/>
      <c r="D13" s="1794"/>
      <c r="E13" s="1794"/>
      <c r="F13" s="1794"/>
      <c r="G13" s="1794"/>
      <c r="H13" s="1794"/>
      <c r="I13" s="1794"/>
      <c r="J13" s="1794"/>
      <c r="K13" s="1794"/>
      <c r="L13" s="1794"/>
      <c r="M13" s="1794"/>
      <c r="N13" s="1794"/>
      <c r="O13" s="1794"/>
      <c r="P13" s="1794"/>
      <c r="Q13" s="1794"/>
      <c r="R13" s="1794"/>
      <c r="S13" s="1794"/>
      <c r="T13" s="1794"/>
    </row>
    <row r="14" spans="1:22" ht="15" customHeight="1">
      <c r="A14" s="1794"/>
      <c r="B14" s="1794"/>
      <c r="C14" s="1794"/>
      <c r="D14" s="1794"/>
      <c r="E14" s="1794"/>
      <c r="F14" s="1794"/>
      <c r="G14" s="1794"/>
      <c r="H14" s="1794"/>
      <c r="I14" s="1794"/>
      <c r="J14" s="1794"/>
      <c r="K14" s="1794"/>
      <c r="L14" s="1794"/>
      <c r="M14" s="1794"/>
      <c r="N14" s="1794"/>
      <c r="O14" s="1794"/>
      <c r="P14" s="1794"/>
      <c r="Q14" s="1794"/>
      <c r="R14" s="1794"/>
      <c r="S14" s="1794"/>
      <c r="T14" s="1794"/>
    </row>
    <row r="15" spans="1:22" ht="15" customHeight="1">
      <c r="A15" s="372" t="s">
        <v>1048</v>
      </c>
      <c r="B15" s="368" t="s">
        <v>1049</v>
      </c>
    </row>
    <row r="16" spans="1:22" ht="15" customHeight="1">
      <c r="A16" s="372"/>
    </row>
    <row r="17" spans="1:20" ht="15" customHeight="1"/>
    <row r="18" spans="1:20" ht="15" customHeight="1">
      <c r="A18" s="372" t="s">
        <v>1050</v>
      </c>
      <c r="B18" s="368" t="s">
        <v>1051</v>
      </c>
    </row>
    <row r="19" spans="1:20" ht="15" customHeight="1">
      <c r="A19" s="372"/>
    </row>
    <row r="20" spans="1:20" ht="15" customHeight="1"/>
    <row r="21" spans="1:20" ht="15" customHeight="1">
      <c r="A21" s="372" t="s">
        <v>1052</v>
      </c>
      <c r="B21" s="368" t="s">
        <v>1053</v>
      </c>
    </row>
    <row r="22" spans="1:20" ht="15" customHeight="1">
      <c r="A22" s="372"/>
    </row>
    <row r="23" spans="1:20" ht="15" customHeight="1"/>
    <row r="24" spans="1:20" ht="15" customHeight="1">
      <c r="A24" s="372" t="s">
        <v>1054</v>
      </c>
      <c r="B24" s="368" t="s">
        <v>1055</v>
      </c>
    </row>
    <row r="25" spans="1:20" ht="15" customHeight="1">
      <c r="A25" s="372"/>
    </row>
    <row r="26" spans="1:20" ht="15" customHeight="1">
      <c r="A26" s="372"/>
    </row>
    <row r="27" spans="1:20" ht="15" customHeight="1">
      <c r="A27" s="372" t="s">
        <v>1056</v>
      </c>
      <c r="B27" s="368" t="s">
        <v>1057</v>
      </c>
    </row>
    <row r="28" spans="1:20" ht="15" customHeight="1">
      <c r="A28" s="372"/>
    </row>
    <row r="29" spans="1:20" ht="15" customHeight="1">
      <c r="A29" s="372"/>
    </row>
    <row r="30" spans="1:20" ht="15" customHeight="1">
      <c r="A30" s="1795" t="s">
        <v>1058</v>
      </c>
      <c r="B30" s="1795"/>
      <c r="C30" s="1795"/>
      <c r="D30" s="1795"/>
      <c r="E30" s="1797"/>
      <c r="F30" s="1797"/>
      <c r="G30" s="1797"/>
      <c r="H30" s="1797"/>
      <c r="I30" s="1797"/>
      <c r="J30" s="1797"/>
      <c r="K30" s="1797"/>
      <c r="L30" s="1797"/>
      <c r="M30" s="1797"/>
      <c r="N30" s="1797"/>
      <c r="O30" s="1797"/>
      <c r="P30" s="1797"/>
      <c r="Q30" s="1797"/>
      <c r="R30" s="1797"/>
      <c r="S30" s="1797"/>
      <c r="T30" s="1797"/>
    </row>
    <row r="31" spans="1:20" ht="15" customHeight="1">
      <c r="A31" s="1795"/>
      <c r="B31" s="1795"/>
      <c r="C31" s="1795"/>
      <c r="D31" s="1795"/>
      <c r="E31" s="1797"/>
      <c r="F31" s="1797"/>
      <c r="G31" s="1797"/>
      <c r="H31" s="1797"/>
      <c r="I31" s="1797"/>
      <c r="J31" s="1797"/>
      <c r="K31" s="1797"/>
      <c r="L31" s="1797"/>
      <c r="M31" s="1797"/>
      <c r="N31" s="1797"/>
      <c r="O31" s="1797"/>
      <c r="P31" s="1797"/>
      <c r="Q31" s="1797"/>
      <c r="R31" s="1797"/>
      <c r="S31" s="1797"/>
      <c r="T31" s="1797"/>
    </row>
    <row r="32" spans="1:20" ht="15" customHeight="1">
      <c r="A32" s="1796"/>
      <c r="B32" s="1796"/>
      <c r="C32" s="1796"/>
      <c r="D32" s="1796"/>
      <c r="E32" s="1798"/>
      <c r="F32" s="1798"/>
      <c r="G32" s="1798"/>
      <c r="H32" s="1798"/>
      <c r="I32" s="1798"/>
      <c r="J32" s="1798"/>
      <c r="K32" s="1798"/>
      <c r="L32" s="1798"/>
      <c r="M32" s="1798"/>
      <c r="N32" s="1798"/>
      <c r="O32" s="1798"/>
      <c r="P32" s="1798"/>
      <c r="Q32" s="1798"/>
      <c r="R32" s="1798"/>
      <c r="S32" s="1798"/>
      <c r="T32" s="1798"/>
    </row>
    <row r="33" spans="1:22" ht="15" customHeight="1">
      <c r="A33" s="372"/>
    </row>
    <row r="34" spans="1:22" ht="15" customHeight="1">
      <c r="A34" s="1799" t="s">
        <v>1059</v>
      </c>
      <c r="B34" s="1799"/>
      <c r="C34" s="1799"/>
      <c r="D34" s="1799"/>
      <c r="E34" s="1799"/>
      <c r="F34" s="1799"/>
      <c r="G34" s="1799"/>
      <c r="H34" s="1799"/>
      <c r="I34" s="1799"/>
      <c r="J34" s="1799"/>
      <c r="K34" s="1799"/>
      <c r="L34" s="1799"/>
      <c r="M34" s="1799"/>
      <c r="N34" s="1799"/>
      <c r="O34" s="1799"/>
      <c r="P34" s="1799"/>
      <c r="Q34" s="1799"/>
      <c r="R34" s="1799"/>
      <c r="S34" s="1799"/>
      <c r="T34" s="1799"/>
    </row>
    <row r="35" spans="1:22" ht="15" customHeight="1">
      <c r="A35" s="1799"/>
      <c r="B35" s="1799"/>
      <c r="C35" s="1799"/>
      <c r="D35" s="1799"/>
      <c r="E35" s="1799"/>
      <c r="F35" s="1799"/>
      <c r="G35" s="1799"/>
      <c r="H35" s="1799"/>
      <c r="I35" s="1799"/>
      <c r="J35" s="1799"/>
      <c r="K35" s="1799"/>
      <c r="L35" s="1799"/>
      <c r="M35" s="1799"/>
      <c r="N35" s="1799"/>
      <c r="O35" s="1799"/>
      <c r="P35" s="1799"/>
      <c r="Q35" s="1799"/>
      <c r="R35" s="1799"/>
      <c r="S35" s="1799"/>
      <c r="T35" s="1799"/>
    </row>
    <row r="36" spans="1:22" ht="15" customHeight="1">
      <c r="A36" s="1799" t="s">
        <v>1060</v>
      </c>
      <c r="B36" s="1799"/>
      <c r="C36" s="1799"/>
      <c r="D36" s="1799"/>
      <c r="E36" s="1799"/>
      <c r="F36" s="1799"/>
      <c r="G36" s="1799"/>
      <c r="H36" s="1799"/>
      <c r="I36" s="1799"/>
      <c r="J36" s="1799"/>
      <c r="K36" s="1799"/>
      <c r="L36" s="1799"/>
      <c r="M36" s="1799"/>
      <c r="N36" s="1799"/>
      <c r="O36" s="1799"/>
      <c r="P36" s="1799"/>
      <c r="Q36" s="1799"/>
      <c r="R36" s="1799"/>
      <c r="S36" s="1799"/>
      <c r="T36" s="1799"/>
    </row>
    <row r="37" spans="1:22" ht="15" customHeight="1">
      <c r="A37" s="1799"/>
      <c r="B37" s="1799"/>
      <c r="C37" s="1799"/>
      <c r="D37" s="1799"/>
      <c r="E37" s="1799"/>
      <c r="F37" s="1799"/>
      <c r="G37" s="1799"/>
      <c r="H37" s="1799"/>
      <c r="I37" s="1799"/>
      <c r="J37" s="1799"/>
      <c r="K37" s="1799"/>
      <c r="L37" s="1799"/>
      <c r="M37" s="1799"/>
      <c r="N37" s="1799"/>
      <c r="O37" s="1799"/>
      <c r="P37" s="1799"/>
      <c r="Q37" s="1799"/>
      <c r="R37" s="1799"/>
      <c r="S37" s="1799"/>
      <c r="T37" s="1799"/>
    </row>
    <row r="38" spans="1:22" ht="15" customHeight="1">
      <c r="A38" s="139"/>
      <c r="B38" s="139"/>
      <c r="C38" s="139"/>
      <c r="D38" s="370"/>
      <c r="E38" s="370"/>
      <c r="F38" s="371"/>
    </row>
    <row r="39" spans="1:22" ht="15" customHeight="1">
      <c r="A39" s="139"/>
      <c r="B39" s="139"/>
      <c r="C39" s="139"/>
      <c r="D39" s="370"/>
      <c r="E39" s="370"/>
      <c r="F39" s="371"/>
    </row>
    <row r="40" spans="1:22" ht="15" customHeight="1"/>
    <row r="41" spans="1:22" ht="15" customHeight="1">
      <c r="A41" s="1746"/>
      <c r="B41" s="1746"/>
      <c r="C41" s="260"/>
      <c r="D41" s="560" t="s">
        <v>851</v>
      </c>
      <c r="E41" s="260"/>
      <c r="F41" s="560" t="s">
        <v>852</v>
      </c>
      <c r="G41" s="260"/>
      <c r="H41" s="560" t="s">
        <v>853</v>
      </c>
    </row>
    <row r="42" spans="1:22" ht="15" customHeight="1">
      <c r="A42" s="560"/>
      <c r="B42" s="560"/>
      <c r="C42" s="560"/>
      <c r="D42" s="560"/>
      <c r="E42" s="560"/>
      <c r="F42" s="560"/>
      <c r="G42" s="560"/>
      <c r="H42" s="560"/>
    </row>
    <row r="43" spans="1:22" ht="15" customHeight="1">
      <c r="C43" s="135" t="s">
        <v>1061</v>
      </c>
      <c r="H43" s="261" t="s">
        <v>490</v>
      </c>
      <c r="J43" s="368" t="str">
        <f>DBCS(【マスター】!B162)</f>
        <v/>
      </c>
      <c r="V43" s="477"/>
    </row>
    <row r="44" spans="1:22" s="94" customFormat="1" ht="15" customHeight="1">
      <c r="B44" s="135"/>
      <c r="H44" s="261"/>
      <c r="J44" s="523" t="str">
        <f>DBCS(【マスター】!B163)</f>
        <v/>
      </c>
      <c r="K44" s="524"/>
      <c r="L44" s="524"/>
      <c r="M44" s="524"/>
      <c r="N44" s="524"/>
      <c r="O44" s="524"/>
      <c r="P44" s="524"/>
      <c r="Q44" s="524"/>
      <c r="R44" s="524"/>
      <c r="S44" s="524"/>
      <c r="T44" s="524"/>
    </row>
    <row r="45" spans="1:22" s="94" customFormat="1" ht="15" customHeight="1">
      <c r="B45" s="157"/>
      <c r="C45" s="157"/>
      <c r="D45" s="157"/>
      <c r="E45" s="157"/>
      <c r="F45" s="157"/>
      <c r="G45" s="157"/>
      <c r="H45" s="157"/>
      <c r="I45" s="157"/>
      <c r="J45" s="157"/>
    </row>
    <row r="46" spans="1:22" s="94" customFormat="1" ht="15" customHeight="1">
      <c r="B46" s="157"/>
      <c r="C46" s="157"/>
      <c r="D46" s="157"/>
      <c r="E46" s="157"/>
      <c r="F46" s="157"/>
      <c r="G46" s="157"/>
      <c r="H46" s="135" t="s">
        <v>497</v>
      </c>
      <c r="I46" s="157"/>
      <c r="J46" s="524"/>
      <c r="K46" s="524"/>
      <c r="L46" s="524"/>
      <c r="M46" s="524"/>
      <c r="N46" s="524"/>
      <c r="O46" s="524"/>
      <c r="P46" s="524"/>
      <c r="Q46" s="524"/>
      <c r="R46" s="524"/>
      <c r="S46" s="524"/>
      <c r="T46" s="525" t="s">
        <v>493</v>
      </c>
    </row>
    <row r="47" spans="1:22" s="94" customFormat="1" ht="15" customHeight="1">
      <c r="B47" s="135"/>
      <c r="C47" s="135"/>
    </row>
    <row r="48" spans="1:22" s="94" customFormat="1" ht="15" customHeight="1">
      <c r="B48" s="135"/>
      <c r="C48" s="135" t="s">
        <v>1062</v>
      </c>
    </row>
    <row r="49" spans="1:22" s="94" customFormat="1" ht="15" customHeight="1">
      <c r="B49" s="135"/>
      <c r="C49" s="135"/>
      <c r="H49" s="261" t="s">
        <v>490</v>
      </c>
      <c r="J49" s="368" t="str">
        <f>DBCS(【マスター】!B164)</f>
        <v/>
      </c>
      <c r="V49" s="477"/>
    </row>
    <row r="50" spans="1:22" s="94" customFormat="1" ht="15" customHeight="1">
      <c r="B50" s="135"/>
      <c r="C50" s="135"/>
      <c r="H50" s="261"/>
      <c r="J50" s="523" t="str">
        <f>DBCS(【マスター】!B165)</f>
        <v/>
      </c>
      <c r="K50" s="524"/>
      <c r="L50" s="524"/>
      <c r="M50" s="524"/>
      <c r="N50" s="524"/>
      <c r="O50" s="524"/>
      <c r="P50" s="524"/>
      <c r="Q50" s="524"/>
      <c r="R50" s="524"/>
      <c r="S50" s="524"/>
      <c r="T50" s="524"/>
    </row>
    <row r="51" spans="1:22" s="94" customFormat="1" ht="15" customHeight="1">
      <c r="B51" s="135"/>
      <c r="C51" s="135"/>
      <c r="H51" s="157"/>
    </row>
    <row r="52" spans="1:22" s="94" customFormat="1" ht="15" customHeight="1">
      <c r="B52" s="135"/>
      <c r="C52" s="135"/>
      <c r="H52" s="135" t="s">
        <v>497</v>
      </c>
      <c r="J52" s="524"/>
      <c r="K52" s="524"/>
      <c r="L52" s="524"/>
      <c r="M52" s="524"/>
      <c r="N52" s="524"/>
      <c r="O52" s="524"/>
      <c r="P52" s="524"/>
      <c r="Q52" s="524"/>
      <c r="R52" s="524"/>
      <c r="S52" s="524"/>
      <c r="T52" s="525" t="s">
        <v>493</v>
      </c>
    </row>
    <row r="53" spans="1:22" ht="20.100000000000001" customHeight="1">
      <c r="A53" s="372"/>
    </row>
    <row r="54" spans="1:22" ht="20.100000000000001" customHeight="1">
      <c r="A54" s="372"/>
    </row>
    <row r="55" spans="1:22" ht="20.100000000000001" customHeight="1">
      <c r="A55" s="372"/>
    </row>
    <row r="56" spans="1:22" ht="20.100000000000001" customHeight="1">
      <c r="A56" s="372"/>
    </row>
    <row r="57" spans="1:22" ht="20.100000000000001" customHeight="1"/>
    <row r="58" spans="1:22" ht="20.100000000000001" customHeight="1"/>
    <row r="59" spans="1:22" ht="20.100000000000001" customHeight="1"/>
    <row r="60" spans="1:22" ht="20.100000000000001" customHeight="1"/>
    <row r="61" spans="1:22" ht="20.100000000000001" customHeight="1"/>
    <row r="62" spans="1:22" ht="20.100000000000001" customHeight="1"/>
    <row r="63" spans="1:22" ht="20.100000000000001" customHeight="1"/>
    <row r="64" spans="1:22" ht="20.100000000000001" customHeight="1"/>
    <row r="65" ht="20.100000000000001" customHeight="1"/>
  </sheetData>
  <sheetProtection selectLockedCells="1"/>
  <mergeCells count="7">
    <mergeCell ref="A41:B41"/>
    <mergeCell ref="A3:T4"/>
    <mergeCell ref="A12:T14"/>
    <mergeCell ref="A30:D32"/>
    <mergeCell ref="E30:T32"/>
    <mergeCell ref="A34:T35"/>
    <mergeCell ref="A36:T37"/>
  </mergeCells>
  <phoneticPr fontId="17"/>
  <printOptions horizontalCentered="1" verticalCentered="1"/>
  <pageMargins left="0.70866141732283472" right="0.70866141732283472" top="0.55118110236220474" bottom="0.55118110236220474" header="0.31496062992125984" footer="0.31496062992125984"/>
  <pageSetup paperSize="9" scale="95" fitToHeight="0" orientation="portrait" r:id="rId1"/>
  <headerFooter>
    <oddFooter>&amp;L【通所介護】BMC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rgb="FFFDD0C7"/>
    <pageSetUpPr fitToPage="1"/>
  </sheetPr>
  <dimension ref="A1:AJ61"/>
  <sheetViews>
    <sheetView topLeftCell="A34" workbookViewId="0"/>
  </sheetViews>
  <sheetFormatPr defaultColWidth="8.875" defaultRowHeight="13.5"/>
  <cols>
    <col min="1" max="1" width="1.625" style="136" customWidth="1"/>
    <col min="2" max="31" width="3.125" style="136" customWidth="1"/>
    <col min="32" max="32" width="1.625" style="136" customWidth="1"/>
    <col min="33" max="127" width="3" style="136" customWidth="1"/>
    <col min="128" max="256" width="9" style="136"/>
    <col min="257" max="257" width="1.875" style="136" customWidth="1"/>
    <col min="258" max="264" width="3" style="136" customWidth="1"/>
    <col min="265" max="265" width="3.625" style="136" customWidth="1"/>
    <col min="266" max="266" width="2.625" style="136" customWidth="1"/>
    <col min="267" max="267" width="3.625" style="136" customWidth="1"/>
    <col min="268" max="268" width="2.625" style="136" customWidth="1"/>
    <col min="269" max="269" width="3.625" style="136" customWidth="1"/>
    <col min="270" max="270" width="2.625" style="136" customWidth="1"/>
    <col min="271" max="287" width="3" style="136" customWidth="1"/>
    <col min="288" max="288" width="1.875" style="136" customWidth="1"/>
    <col min="289" max="383" width="3" style="136" customWidth="1"/>
    <col min="384" max="512" width="9" style="136"/>
    <col min="513" max="513" width="1.875" style="136" customWidth="1"/>
    <col min="514" max="520" width="3" style="136" customWidth="1"/>
    <col min="521" max="521" width="3.625" style="136" customWidth="1"/>
    <col min="522" max="522" width="2.625" style="136" customWidth="1"/>
    <col min="523" max="523" width="3.625" style="136" customWidth="1"/>
    <col min="524" max="524" width="2.625" style="136" customWidth="1"/>
    <col min="525" max="525" width="3.625" style="136" customWidth="1"/>
    <col min="526" max="526" width="2.625" style="136" customWidth="1"/>
    <col min="527" max="543" width="3" style="136" customWidth="1"/>
    <col min="544" max="544" width="1.875" style="136" customWidth="1"/>
    <col min="545" max="639" width="3" style="136" customWidth="1"/>
    <col min="640" max="768" width="9" style="136"/>
    <col min="769" max="769" width="1.875" style="136" customWidth="1"/>
    <col min="770" max="776" width="3" style="136" customWidth="1"/>
    <col min="777" max="777" width="3.625" style="136" customWidth="1"/>
    <col min="778" max="778" width="2.625" style="136" customWidth="1"/>
    <col min="779" max="779" width="3.625" style="136" customWidth="1"/>
    <col min="780" max="780" width="2.625" style="136" customWidth="1"/>
    <col min="781" max="781" width="3.625" style="136" customWidth="1"/>
    <col min="782" max="782" width="2.625" style="136" customWidth="1"/>
    <col min="783" max="799" width="3" style="136" customWidth="1"/>
    <col min="800" max="800" width="1.875" style="136" customWidth="1"/>
    <col min="801" max="895" width="3" style="136" customWidth="1"/>
    <col min="896" max="1024" width="9" style="136"/>
    <col min="1025" max="1025" width="1.875" style="136" customWidth="1"/>
    <col min="1026" max="1032" width="3" style="136" customWidth="1"/>
    <col min="1033" max="1033" width="3.625" style="136" customWidth="1"/>
    <col min="1034" max="1034" width="2.625" style="136" customWidth="1"/>
    <col min="1035" max="1035" width="3.625" style="136" customWidth="1"/>
    <col min="1036" max="1036" width="2.625" style="136" customWidth="1"/>
    <col min="1037" max="1037" width="3.625" style="136" customWidth="1"/>
    <col min="1038" max="1038" width="2.625" style="136" customWidth="1"/>
    <col min="1039" max="1055" width="3" style="136" customWidth="1"/>
    <col min="1056" max="1056" width="1.875" style="136" customWidth="1"/>
    <col min="1057" max="1151" width="3" style="136" customWidth="1"/>
    <col min="1152" max="1280" width="9" style="136"/>
    <col min="1281" max="1281" width="1.875" style="136" customWidth="1"/>
    <col min="1282" max="1288" width="3" style="136" customWidth="1"/>
    <col min="1289" max="1289" width="3.625" style="136" customWidth="1"/>
    <col min="1290" max="1290" width="2.625" style="136" customWidth="1"/>
    <col min="1291" max="1291" width="3.625" style="136" customWidth="1"/>
    <col min="1292" max="1292" width="2.625" style="136" customWidth="1"/>
    <col min="1293" max="1293" width="3.625" style="136" customWidth="1"/>
    <col min="1294" max="1294" width="2.625" style="136" customWidth="1"/>
    <col min="1295" max="1311" width="3" style="136" customWidth="1"/>
    <col min="1312" max="1312" width="1.875" style="136" customWidth="1"/>
    <col min="1313" max="1407" width="3" style="136" customWidth="1"/>
    <col min="1408" max="1536" width="9" style="136"/>
    <col min="1537" max="1537" width="1.875" style="136" customWidth="1"/>
    <col min="1538" max="1544" width="3" style="136" customWidth="1"/>
    <col min="1545" max="1545" width="3.625" style="136" customWidth="1"/>
    <col min="1546" max="1546" width="2.625" style="136" customWidth="1"/>
    <col min="1547" max="1547" width="3.625" style="136" customWidth="1"/>
    <col min="1548" max="1548" width="2.625" style="136" customWidth="1"/>
    <col min="1549" max="1549" width="3.625" style="136" customWidth="1"/>
    <col min="1550" max="1550" width="2.625" style="136" customWidth="1"/>
    <col min="1551" max="1567" width="3" style="136" customWidth="1"/>
    <col min="1568" max="1568" width="1.875" style="136" customWidth="1"/>
    <col min="1569" max="1663" width="3" style="136" customWidth="1"/>
    <col min="1664" max="1792" width="9" style="136"/>
    <col min="1793" max="1793" width="1.875" style="136" customWidth="1"/>
    <col min="1794" max="1800" width="3" style="136" customWidth="1"/>
    <col min="1801" max="1801" width="3.625" style="136" customWidth="1"/>
    <col min="1802" max="1802" width="2.625" style="136" customWidth="1"/>
    <col min="1803" max="1803" width="3.625" style="136" customWidth="1"/>
    <col min="1804" max="1804" width="2.625" style="136" customWidth="1"/>
    <col min="1805" max="1805" width="3.625" style="136" customWidth="1"/>
    <col min="1806" max="1806" width="2.625" style="136" customWidth="1"/>
    <col min="1807" max="1823" width="3" style="136" customWidth="1"/>
    <col min="1824" max="1824" width="1.875" style="136" customWidth="1"/>
    <col min="1825" max="1919" width="3" style="136" customWidth="1"/>
    <col min="1920" max="2048" width="9" style="136"/>
    <col min="2049" max="2049" width="1.875" style="136" customWidth="1"/>
    <col min="2050" max="2056" width="3" style="136" customWidth="1"/>
    <col min="2057" max="2057" width="3.625" style="136" customWidth="1"/>
    <col min="2058" max="2058" width="2.625" style="136" customWidth="1"/>
    <col min="2059" max="2059" width="3.625" style="136" customWidth="1"/>
    <col min="2060" max="2060" width="2.625" style="136" customWidth="1"/>
    <col min="2061" max="2061" width="3.625" style="136" customWidth="1"/>
    <col min="2062" max="2062" width="2.625" style="136" customWidth="1"/>
    <col min="2063" max="2079" width="3" style="136" customWidth="1"/>
    <col min="2080" max="2080" width="1.875" style="136" customWidth="1"/>
    <col min="2081" max="2175" width="3" style="136" customWidth="1"/>
    <col min="2176" max="2304" width="9" style="136"/>
    <col min="2305" max="2305" width="1.875" style="136" customWidth="1"/>
    <col min="2306" max="2312" width="3" style="136" customWidth="1"/>
    <col min="2313" max="2313" width="3.625" style="136" customWidth="1"/>
    <col min="2314" max="2314" width="2.625" style="136" customWidth="1"/>
    <col min="2315" max="2315" width="3.625" style="136" customWidth="1"/>
    <col min="2316" max="2316" width="2.625" style="136" customWidth="1"/>
    <col min="2317" max="2317" width="3.625" style="136" customWidth="1"/>
    <col min="2318" max="2318" width="2.625" style="136" customWidth="1"/>
    <col min="2319" max="2335" width="3" style="136" customWidth="1"/>
    <col min="2336" max="2336" width="1.875" style="136" customWidth="1"/>
    <col min="2337" max="2431" width="3" style="136" customWidth="1"/>
    <col min="2432" max="2560" width="9" style="136"/>
    <col min="2561" max="2561" width="1.875" style="136" customWidth="1"/>
    <col min="2562" max="2568" width="3" style="136" customWidth="1"/>
    <col min="2569" max="2569" width="3.625" style="136" customWidth="1"/>
    <col min="2570" max="2570" width="2.625" style="136" customWidth="1"/>
    <col min="2571" max="2571" width="3.625" style="136" customWidth="1"/>
    <col min="2572" max="2572" width="2.625" style="136" customWidth="1"/>
    <col min="2573" max="2573" width="3.625" style="136" customWidth="1"/>
    <col min="2574" max="2574" width="2.625" style="136" customWidth="1"/>
    <col min="2575" max="2591" width="3" style="136" customWidth="1"/>
    <col min="2592" max="2592" width="1.875" style="136" customWidth="1"/>
    <col min="2593" max="2687" width="3" style="136" customWidth="1"/>
    <col min="2688" max="2816" width="9" style="136"/>
    <col min="2817" max="2817" width="1.875" style="136" customWidth="1"/>
    <col min="2818" max="2824" width="3" style="136" customWidth="1"/>
    <col min="2825" max="2825" width="3.625" style="136" customWidth="1"/>
    <col min="2826" max="2826" width="2.625" style="136" customWidth="1"/>
    <col min="2827" max="2827" width="3.625" style="136" customWidth="1"/>
    <col min="2828" max="2828" width="2.625" style="136" customWidth="1"/>
    <col min="2829" max="2829" width="3.625" style="136" customWidth="1"/>
    <col min="2830" max="2830" width="2.625" style="136" customWidth="1"/>
    <col min="2831" max="2847" width="3" style="136" customWidth="1"/>
    <col min="2848" max="2848" width="1.875" style="136" customWidth="1"/>
    <col min="2849" max="2943" width="3" style="136" customWidth="1"/>
    <col min="2944" max="3072" width="9" style="136"/>
    <col min="3073" max="3073" width="1.875" style="136" customWidth="1"/>
    <col min="3074" max="3080" width="3" style="136" customWidth="1"/>
    <col min="3081" max="3081" width="3.625" style="136" customWidth="1"/>
    <col min="3082" max="3082" width="2.625" style="136" customWidth="1"/>
    <col min="3083" max="3083" width="3.625" style="136" customWidth="1"/>
    <col min="3084" max="3084" width="2.625" style="136" customWidth="1"/>
    <col min="3085" max="3085" width="3.625" style="136" customWidth="1"/>
    <col min="3086" max="3086" width="2.625" style="136" customWidth="1"/>
    <col min="3087" max="3103" width="3" style="136" customWidth="1"/>
    <col min="3104" max="3104" width="1.875" style="136" customWidth="1"/>
    <col min="3105" max="3199" width="3" style="136" customWidth="1"/>
    <col min="3200" max="3328" width="9" style="136"/>
    <col min="3329" max="3329" width="1.875" style="136" customWidth="1"/>
    <col min="3330" max="3336" width="3" style="136" customWidth="1"/>
    <col min="3337" max="3337" width="3.625" style="136" customWidth="1"/>
    <col min="3338" max="3338" width="2.625" style="136" customWidth="1"/>
    <col min="3339" max="3339" width="3.625" style="136" customWidth="1"/>
    <col min="3340" max="3340" width="2.625" style="136" customWidth="1"/>
    <col min="3341" max="3341" width="3.625" style="136" customWidth="1"/>
    <col min="3342" max="3342" width="2.625" style="136" customWidth="1"/>
    <col min="3343" max="3359" width="3" style="136" customWidth="1"/>
    <col min="3360" max="3360" width="1.875" style="136" customWidth="1"/>
    <col min="3361" max="3455" width="3" style="136" customWidth="1"/>
    <col min="3456" max="3584" width="9" style="136"/>
    <col min="3585" max="3585" width="1.875" style="136" customWidth="1"/>
    <col min="3586" max="3592" width="3" style="136" customWidth="1"/>
    <col min="3593" max="3593" width="3.625" style="136" customWidth="1"/>
    <col min="3594" max="3594" width="2.625" style="136" customWidth="1"/>
    <col min="3595" max="3595" width="3.625" style="136" customWidth="1"/>
    <col min="3596" max="3596" width="2.625" style="136" customWidth="1"/>
    <col min="3597" max="3597" width="3.625" style="136" customWidth="1"/>
    <col min="3598" max="3598" width="2.625" style="136" customWidth="1"/>
    <col min="3599" max="3615" width="3" style="136" customWidth="1"/>
    <col min="3616" max="3616" width="1.875" style="136" customWidth="1"/>
    <col min="3617" max="3711" width="3" style="136" customWidth="1"/>
    <col min="3712" max="3840" width="9" style="136"/>
    <col min="3841" max="3841" width="1.875" style="136" customWidth="1"/>
    <col min="3842" max="3848" width="3" style="136" customWidth="1"/>
    <col min="3849" max="3849" width="3.625" style="136" customWidth="1"/>
    <col min="3850" max="3850" width="2.625" style="136" customWidth="1"/>
    <col min="3851" max="3851" width="3.625" style="136" customWidth="1"/>
    <col min="3852" max="3852" width="2.625" style="136" customWidth="1"/>
    <col min="3853" max="3853" width="3.625" style="136" customWidth="1"/>
    <col min="3854" max="3854" width="2.625" style="136" customWidth="1"/>
    <col min="3855" max="3871" width="3" style="136" customWidth="1"/>
    <col min="3872" max="3872" width="1.875" style="136" customWidth="1"/>
    <col min="3873" max="3967" width="3" style="136" customWidth="1"/>
    <col min="3968" max="4096" width="9" style="136"/>
    <col min="4097" max="4097" width="1.875" style="136" customWidth="1"/>
    <col min="4098" max="4104" width="3" style="136" customWidth="1"/>
    <col min="4105" max="4105" width="3.625" style="136" customWidth="1"/>
    <col min="4106" max="4106" width="2.625" style="136" customWidth="1"/>
    <col min="4107" max="4107" width="3.625" style="136" customWidth="1"/>
    <col min="4108" max="4108" width="2.625" style="136" customWidth="1"/>
    <col min="4109" max="4109" width="3.625" style="136" customWidth="1"/>
    <col min="4110" max="4110" width="2.625" style="136" customWidth="1"/>
    <col min="4111" max="4127" width="3" style="136" customWidth="1"/>
    <col min="4128" max="4128" width="1.875" style="136" customWidth="1"/>
    <col min="4129" max="4223" width="3" style="136" customWidth="1"/>
    <col min="4224" max="4352" width="9" style="136"/>
    <col min="4353" max="4353" width="1.875" style="136" customWidth="1"/>
    <col min="4354" max="4360" width="3" style="136" customWidth="1"/>
    <col min="4361" max="4361" width="3.625" style="136" customWidth="1"/>
    <col min="4362" max="4362" width="2.625" style="136" customWidth="1"/>
    <col min="4363" max="4363" width="3.625" style="136" customWidth="1"/>
    <col min="4364" max="4364" width="2.625" style="136" customWidth="1"/>
    <col min="4365" max="4365" width="3.625" style="136" customWidth="1"/>
    <col min="4366" max="4366" width="2.625" style="136" customWidth="1"/>
    <col min="4367" max="4383" width="3" style="136" customWidth="1"/>
    <col min="4384" max="4384" width="1.875" style="136" customWidth="1"/>
    <col min="4385" max="4479" width="3" style="136" customWidth="1"/>
    <col min="4480" max="4608" width="9" style="136"/>
    <col min="4609" max="4609" width="1.875" style="136" customWidth="1"/>
    <col min="4610" max="4616" width="3" style="136" customWidth="1"/>
    <col min="4617" max="4617" width="3.625" style="136" customWidth="1"/>
    <col min="4618" max="4618" width="2.625" style="136" customWidth="1"/>
    <col min="4619" max="4619" width="3.625" style="136" customWidth="1"/>
    <col min="4620" max="4620" width="2.625" style="136" customWidth="1"/>
    <col min="4621" max="4621" width="3.625" style="136" customWidth="1"/>
    <col min="4622" max="4622" width="2.625" style="136" customWidth="1"/>
    <col min="4623" max="4639" width="3" style="136" customWidth="1"/>
    <col min="4640" max="4640" width="1.875" style="136" customWidth="1"/>
    <col min="4641" max="4735" width="3" style="136" customWidth="1"/>
    <col min="4736" max="4864" width="9" style="136"/>
    <col min="4865" max="4865" width="1.875" style="136" customWidth="1"/>
    <col min="4866" max="4872" width="3" style="136" customWidth="1"/>
    <col min="4873" max="4873" width="3.625" style="136" customWidth="1"/>
    <col min="4874" max="4874" width="2.625" style="136" customWidth="1"/>
    <col min="4875" max="4875" width="3.625" style="136" customWidth="1"/>
    <col min="4876" max="4876" width="2.625" style="136" customWidth="1"/>
    <col min="4877" max="4877" width="3.625" style="136" customWidth="1"/>
    <col min="4878" max="4878" width="2.625" style="136" customWidth="1"/>
    <col min="4879" max="4895" width="3" style="136" customWidth="1"/>
    <col min="4896" max="4896" width="1.875" style="136" customWidth="1"/>
    <col min="4897" max="4991" width="3" style="136" customWidth="1"/>
    <col min="4992" max="5120" width="9" style="136"/>
    <col min="5121" max="5121" width="1.875" style="136" customWidth="1"/>
    <col min="5122" max="5128" width="3" style="136" customWidth="1"/>
    <col min="5129" max="5129" width="3.625" style="136" customWidth="1"/>
    <col min="5130" max="5130" width="2.625" style="136" customWidth="1"/>
    <col min="5131" max="5131" width="3.625" style="136" customWidth="1"/>
    <col min="5132" max="5132" width="2.625" style="136" customWidth="1"/>
    <col min="5133" max="5133" width="3.625" style="136" customWidth="1"/>
    <col min="5134" max="5134" width="2.625" style="136" customWidth="1"/>
    <col min="5135" max="5151" width="3" style="136" customWidth="1"/>
    <col min="5152" max="5152" width="1.875" style="136" customWidth="1"/>
    <col min="5153" max="5247" width="3" style="136" customWidth="1"/>
    <col min="5248" max="5376" width="9" style="136"/>
    <col min="5377" max="5377" width="1.875" style="136" customWidth="1"/>
    <col min="5378" max="5384" width="3" style="136" customWidth="1"/>
    <col min="5385" max="5385" width="3.625" style="136" customWidth="1"/>
    <col min="5386" max="5386" width="2.625" style="136" customWidth="1"/>
    <col min="5387" max="5387" width="3.625" style="136" customWidth="1"/>
    <col min="5388" max="5388" width="2.625" style="136" customWidth="1"/>
    <col min="5389" max="5389" width="3.625" style="136" customWidth="1"/>
    <col min="5390" max="5390" width="2.625" style="136" customWidth="1"/>
    <col min="5391" max="5407" width="3" style="136" customWidth="1"/>
    <col min="5408" max="5408" width="1.875" style="136" customWidth="1"/>
    <col min="5409" max="5503" width="3" style="136" customWidth="1"/>
    <col min="5504" max="5632" width="9" style="136"/>
    <col min="5633" max="5633" width="1.875" style="136" customWidth="1"/>
    <col min="5634" max="5640" width="3" style="136" customWidth="1"/>
    <col min="5641" max="5641" width="3.625" style="136" customWidth="1"/>
    <col min="5642" max="5642" width="2.625" style="136" customWidth="1"/>
    <col min="5643" max="5643" width="3.625" style="136" customWidth="1"/>
    <col min="5644" max="5644" width="2.625" style="136" customWidth="1"/>
    <col min="5645" max="5645" width="3.625" style="136" customWidth="1"/>
    <col min="5646" max="5646" width="2.625" style="136" customWidth="1"/>
    <col min="5647" max="5663" width="3" style="136" customWidth="1"/>
    <col min="5664" max="5664" width="1.875" style="136" customWidth="1"/>
    <col min="5665" max="5759" width="3" style="136" customWidth="1"/>
    <col min="5760" max="5888" width="9" style="136"/>
    <col min="5889" max="5889" width="1.875" style="136" customWidth="1"/>
    <col min="5890" max="5896" width="3" style="136" customWidth="1"/>
    <col min="5897" max="5897" width="3.625" style="136" customWidth="1"/>
    <col min="5898" max="5898" width="2.625" style="136" customWidth="1"/>
    <col min="5899" max="5899" width="3.625" style="136" customWidth="1"/>
    <col min="5900" max="5900" width="2.625" style="136" customWidth="1"/>
    <col min="5901" max="5901" width="3.625" style="136" customWidth="1"/>
    <col min="5902" max="5902" width="2.625" style="136" customWidth="1"/>
    <col min="5903" max="5919" width="3" style="136" customWidth="1"/>
    <col min="5920" max="5920" width="1.875" style="136" customWidth="1"/>
    <col min="5921" max="6015" width="3" style="136" customWidth="1"/>
    <col min="6016" max="6144" width="9" style="136"/>
    <col min="6145" max="6145" width="1.875" style="136" customWidth="1"/>
    <col min="6146" max="6152" width="3" style="136" customWidth="1"/>
    <col min="6153" max="6153" width="3.625" style="136" customWidth="1"/>
    <col min="6154" max="6154" width="2.625" style="136" customWidth="1"/>
    <col min="6155" max="6155" width="3.625" style="136" customWidth="1"/>
    <col min="6156" max="6156" width="2.625" style="136" customWidth="1"/>
    <col min="6157" max="6157" width="3.625" style="136" customWidth="1"/>
    <col min="6158" max="6158" width="2.625" style="136" customWidth="1"/>
    <col min="6159" max="6175" width="3" style="136" customWidth="1"/>
    <col min="6176" max="6176" width="1.875" style="136" customWidth="1"/>
    <col min="6177" max="6271" width="3" style="136" customWidth="1"/>
    <col min="6272" max="6400" width="9" style="136"/>
    <col min="6401" max="6401" width="1.875" style="136" customWidth="1"/>
    <col min="6402" max="6408" width="3" style="136" customWidth="1"/>
    <col min="6409" max="6409" width="3.625" style="136" customWidth="1"/>
    <col min="6410" max="6410" width="2.625" style="136" customWidth="1"/>
    <col min="6411" max="6411" width="3.625" style="136" customWidth="1"/>
    <col min="6412" max="6412" width="2.625" style="136" customWidth="1"/>
    <col min="6413" max="6413" width="3.625" style="136" customWidth="1"/>
    <col min="6414" max="6414" width="2.625" style="136" customWidth="1"/>
    <col min="6415" max="6431" width="3" style="136" customWidth="1"/>
    <col min="6432" max="6432" width="1.875" style="136" customWidth="1"/>
    <col min="6433" max="6527" width="3" style="136" customWidth="1"/>
    <col min="6528" max="6656" width="9" style="136"/>
    <col min="6657" max="6657" width="1.875" style="136" customWidth="1"/>
    <col min="6658" max="6664" width="3" style="136" customWidth="1"/>
    <col min="6665" max="6665" width="3.625" style="136" customWidth="1"/>
    <col min="6666" max="6666" width="2.625" style="136" customWidth="1"/>
    <col min="6667" max="6667" width="3.625" style="136" customWidth="1"/>
    <col min="6668" max="6668" width="2.625" style="136" customWidth="1"/>
    <col min="6669" max="6669" width="3.625" style="136" customWidth="1"/>
    <col min="6670" max="6670" width="2.625" style="136" customWidth="1"/>
    <col min="6671" max="6687" width="3" style="136" customWidth="1"/>
    <col min="6688" max="6688" width="1.875" style="136" customWidth="1"/>
    <col min="6689" max="6783" width="3" style="136" customWidth="1"/>
    <col min="6784" max="6912" width="9" style="136"/>
    <col min="6913" max="6913" width="1.875" style="136" customWidth="1"/>
    <col min="6914" max="6920" width="3" style="136" customWidth="1"/>
    <col min="6921" max="6921" width="3.625" style="136" customWidth="1"/>
    <col min="6922" max="6922" width="2.625" style="136" customWidth="1"/>
    <col min="6923" max="6923" width="3.625" style="136" customWidth="1"/>
    <col min="6924" max="6924" width="2.625" style="136" customWidth="1"/>
    <col min="6925" max="6925" width="3.625" style="136" customWidth="1"/>
    <col min="6926" max="6926" width="2.625" style="136" customWidth="1"/>
    <col min="6927" max="6943" width="3" style="136" customWidth="1"/>
    <col min="6944" max="6944" width="1.875" style="136" customWidth="1"/>
    <col min="6945" max="7039" width="3" style="136" customWidth="1"/>
    <col min="7040" max="7168" width="9" style="136"/>
    <col min="7169" max="7169" width="1.875" style="136" customWidth="1"/>
    <col min="7170" max="7176" width="3" style="136" customWidth="1"/>
    <col min="7177" max="7177" width="3.625" style="136" customWidth="1"/>
    <col min="7178" max="7178" width="2.625" style="136" customWidth="1"/>
    <col min="7179" max="7179" width="3.625" style="136" customWidth="1"/>
    <col min="7180" max="7180" width="2.625" style="136" customWidth="1"/>
    <col min="7181" max="7181" width="3.625" style="136" customWidth="1"/>
    <col min="7182" max="7182" width="2.625" style="136" customWidth="1"/>
    <col min="7183" max="7199" width="3" style="136" customWidth="1"/>
    <col min="7200" max="7200" width="1.875" style="136" customWidth="1"/>
    <col min="7201" max="7295" width="3" style="136" customWidth="1"/>
    <col min="7296" max="7424" width="9" style="136"/>
    <col min="7425" max="7425" width="1.875" style="136" customWidth="1"/>
    <col min="7426" max="7432" width="3" style="136" customWidth="1"/>
    <col min="7433" max="7433" width="3.625" style="136" customWidth="1"/>
    <col min="7434" max="7434" width="2.625" style="136" customWidth="1"/>
    <col min="7435" max="7435" width="3.625" style="136" customWidth="1"/>
    <col min="7436" max="7436" width="2.625" style="136" customWidth="1"/>
    <col min="7437" max="7437" width="3.625" style="136" customWidth="1"/>
    <col min="7438" max="7438" width="2.625" style="136" customWidth="1"/>
    <col min="7439" max="7455" width="3" style="136" customWidth="1"/>
    <col min="7456" max="7456" width="1.875" style="136" customWidth="1"/>
    <col min="7457" max="7551" width="3" style="136" customWidth="1"/>
    <col min="7552" max="7680" width="9" style="136"/>
    <col min="7681" max="7681" width="1.875" style="136" customWidth="1"/>
    <col min="7682" max="7688" width="3" style="136" customWidth="1"/>
    <col min="7689" max="7689" width="3.625" style="136" customWidth="1"/>
    <col min="7690" max="7690" width="2.625" style="136" customWidth="1"/>
    <col min="7691" max="7691" width="3.625" style="136" customWidth="1"/>
    <col min="7692" max="7692" width="2.625" style="136" customWidth="1"/>
    <col min="7693" max="7693" width="3.625" style="136" customWidth="1"/>
    <col min="7694" max="7694" width="2.625" style="136" customWidth="1"/>
    <col min="7695" max="7711" width="3" style="136" customWidth="1"/>
    <col min="7712" max="7712" width="1.875" style="136" customWidth="1"/>
    <col min="7713" max="7807" width="3" style="136" customWidth="1"/>
    <col min="7808" max="7936" width="9" style="136"/>
    <col min="7937" max="7937" width="1.875" style="136" customWidth="1"/>
    <col min="7938" max="7944" width="3" style="136" customWidth="1"/>
    <col min="7945" max="7945" width="3.625" style="136" customWidth="1"/>
    <col min="7946" max="7946" width="2.625" style="136" customWidth="1"/>
    <col min="7947" max="7947" width="3.625" style="136" customWidth="1"/>
    <col min="7948" max="7948" width="2.625" style="136" customWidth="1"/>
    <col min="7949" max="7949" width="3.625" style="136" customWidth="1"/>
    <col min="7950" max="7950" width="2.625" style="136" customWidth="1"/>
    <col min="7951" max="7967" width="3" style="136" customWidth="1"/>
    <col min="7968" max="7968" width="1.875" style="136" customWidth="1"/>
    <col min="7969" max="8063" width="3" style="136" customWidth="1"/>
    <col min="8064" max="8192" width="9" style="136"/>
    <col min="8193" max="8193" width="1.875" style="136" customWidth="1"/>
    <col min="8194" max="8200" width="3" style="136" customWidth="1"/>
    <col min="8201" max="8201" width="3.625" style="136" customWidth="1"/>
    <col min="8202" max="8202" width="2.625" style="136" customWidth="1"/>
    <col min="8203" max="8203" width="3.625" style="136" customWidth="1"/>
    <col min="8204" max="8204" width="2.625" style="136" customWidth="1"/>
    <col min="8205" max="8205" width="3.625" style="136" customWidth="1"/>
    <col min="8206" max="8206" width="2.625" style="136" customWidth="1"/>
    <col min="8207" max="8223" width="3" style="136" customWidth="1"/>
    <col min="8224" max="8224" width="1.875" style="136" customWidth="1"/>
    <col min="8225" max="8319" width="3" style="136" customWidth="1"/>
    <col min="8320" max="8448" width="9" style="136"/>
    <col min="8449" max="8449" width="1.875" style="136" customWidth="1"/>
    <col min="8450" max="8456" width="3" style="136" customWidth="1"/>
    <col min="8457" max="8457" width="3.625" style="136" customWidth="1"/>
    <col min="8458" max="8458" width="2.625" style="136" customWidth="1"/>
    <col min="8459" max="8459" width="3.625" style="136" customWidth="1"/>
    <col min="8460" max="8460" width="2.625" style="136" customWidth="1"/>
    <col min="8461" max="8461" width="3.625" style="136" customWidth="1"/>
    <col min="8462" max="8462" width="2.625" style="136" customWidth="1"/>
    <col min="8463" max="8479" width="3" style="136" customWidth="1"/>
    <col min="8480" max="8480" width="1.875" style="136" customWidth="1"/>
    <col min="8481" max="8575" width="3" style="136" customWidth="1"/>
    <col min="8576" max="8704" width="9" style="136"/>
    <col min="8705" max="8705" width="1.875" style="136" customWidth="1"/>
    <col min="8706" max="8712" width="3" style="136" customWidth="1"/>
    <col min="8713" max="8713" width="3.625" style="136" customWidth="1"/>
    <col min="8714" max="8714" width="2.625" style="136" customWidth="1"/>
    <col min="8715" max="8715" width="3.625" style="136" customWidth="1"/>
    <col min="8716" max="8716" width="2.625" style="136" customWidth="1"/>
    <col min="8717" max="8717" width="3.625" style="136" customWidth="1"/>
    <col min="8718" max="8718" width="2.625" style="136" customWidth="1"/>
    <col min="8719" max="8735" width="3" style="136" customWidth="1"/>
    <col min="8736" max="8736" width="1.875" style="136" customWidth="1"/>
    <col min="8737" max="8831" width="3" style="136" customWidth="1"/>
    <col min="8832" max="8960" width="9" style="136"/>
    <col min="8961" max="8961" width="1.875" style="136" customWidth="1"/>
    <col min="8962" max="8968" width="3" style="136" customWidth="1"/>
    <col min="8969" max="8969" width="3.625" style="136" customWidth="1"/>
    <col min="8970" max="8970" width="2.625" style="136" customWidth="1"/>
    <col min="8971" max="8971" width="3.625" style="136" customWidth="1"/>
    <col min="8972" max="8972" width="2.625" style="136" customWidth="1"/>
    <col min="8973" max="8973" width="3.625" style="136" customWidth="1"/>
    <col min="8974" max="8974" width="2.625" style="136" customWidth="1"/>
    <col min="8975" max="8991" width="3" style="136" customWidth="1"/>
    <col min="8992" max="8992" width="1.875" style="136" customWidth="1"/>
    <col min="8993" max="9087" width="3" style="136" customWidth="1"/>
    <col min="9088" max="9216" width="9" style="136"/>
    <col min="9217" max="9217" width="1.875" style="136" customWidth="1"/>
    <col min="9218" max="9224" width="3" style="136" customWidth="1"/>
    <col min="9225" max="9225" width="3.625" style="136" customWidth="1"/>
    <col min="9226" max="9226" width="2.625" style="136" customWidth="1"/>
    <col min="9227" max="9227" width="3.625" style="136" customWidth="1"/>
    <col min="9228" max="9228" width="2.625" style="136" customWidth="1"/>
    <col min="9229" max="9229" width="3.625" style="136" customWidth="1"/>
    <col min="9230" max="9230" width="2.625" style="136" customWidth="1"/>
    <col min="9231" max="9247" width="3" style="136" customWidth="1"/>
    <col min="9248" max="9248" width="1.875" style="136" customWidth="1"/>
    <col min="9249" max="9343" width="3" style="136" customWidth="1"/>
    <col min="9344" max="9472" width="9" style="136"/>
    <col min="9473" max="9473" width="1.875" style="136" customWidth="1"/>
    <col min="9474" max="9480" width="3" style="136" customWidth="1"/>
    <col min="9481" max="9481" width="3.625" style="136" customWidth="1"/>
    <col min="9482" max="9482" width="2.625" style="136" customWidth="1"/>
    <col min="9483" max="9483" width="3.625" style="136" customWidth="1"/>
    <col min="9484" max="9484" width="2.625" style="136" customWidth="1"/>
    <col min="9485" max="9485" width="3.625" style="136" customWidth="1"/>
    <col min="9486" max="9486" width="2.625" style="136" customWidth="1"/>
    <col min="9487" max="9503" width="3" style="136" customWidth="1"/>
    <col min="9504" max="9504" width="1.875" style="136" customWidth="1"/>
    <col min="9505" max="9599" width="3" style="136" customWidth="1"/>
    <col min="9600" max="9728" width="9" style="136"/>
    <col min="9729" max="9729" width="1.875" style="136" customWidth="1"/>
    <col min="9730" max="9736" width="3" style="136" customWidth="1"/>
    <col min="9737" max="9737" width="3.625" style="136" customWidth="1"/>
    <col min="9738" max="9738" width="2.625" style="136" customWidth="1"/>
    <col min="9739" max="9739" width="3.625" style="136" customWidth="1"/>
    <col min="9740" max="9740" width="2.625" style="136" customWidth="1"/>
    <col min="9741" max="9741" width="3.625" style="136" customWidth="1"/>
    <col min="9742" max="9742" width="2.625" style="136" customWidth="1"/>
    <col min="9743" max="9759" width="3" style="136" customWidth="1"/>
    <col min="9760" max="9760" width="1.875" style="136" customWidth="1"/>
    <col min="9761" max="9855" width="3" style="136" customWidth="1"/>
    <col min="9856" max="9984" width="9" style="136"/>
    <col min="9985" max="9985" width="1.875" style="136" customWidth="1"/>
    <col min="9986" max="9992" width="3" style="136" customWidth="1"/>
    <col min="9993" max="9993" width="3.625" style="136" customWidth="1"/>
    <col min="9994" max="9994" width="2.625" style="136" customWidth="1"/>
    <col min="9995" max="9995" width="3.625" style="136" customWidth="1"/>
    <col min="9996" max="9996" width="2.625" style="136" customWidth="1"/>
    <col min="9997" max="9997" width="3.625" style="136" customWidth="1"/>
    <col min="9998" max="9998" width="2.625" style="136" customWidth="1"/>
    <col min="9999" max="10015" width="3" style="136" customWidth="1"/>
    <col min="10016" max="10016" width="1.875" style="136" customWidth="1"/>
    <col min="10017" max="10111" width="3" style="136" customWidth="1"/>
    <col min="10112" max="10240" width="9" style="136"/>
    <col min="10241" max="10241" width="1.875" style="136" customWidth="1"/>
    <col min="10242" max="10248" width="3" style="136" customWidth="1"/>
    <col min="10249" max="10249" width="3.625" style="136" customWidth="1"/>
    <col min="10250" max="10250" width="2.625" style="136" customWidth="1"/>
    <col min="10251" max="10251" width="3.625" style="136" customWidth="1"/>
    <col min="10252" max="10252" width="2.625" style="136" customWidth="1"/>
    <col min="10253" max="10253" width="3.625" style="136" customWidth="1"/>
    <col min="10254" max="10254" width="2.625" style="136" customWidth="1"/>
    <col min="10255" max="10271" width="3" style="136" customWidth="1"/>
    <col min="10272" max="10272" width="1.875" style="136" customWidth="1"/>
    <col min="10273" max="10367" width="3" style="136" customWidth="1"/>
    <col min="10368" max="10496" width="9" style="136"/>
    <col min="10497" max="10497" width="1.875" style="136" customWidth="1"/>
    <col min="10498" max="10504" width="3" style="136" customWidth="1"/>
    <col min="10505" max="10505" width="3.625" style="136" customWidth="1"/>
    <col min="10506" max="10506" width="2.625" style="136" customWidth="1"/>
    <col min="10507" max="10507" width="3.625" style="136" customWidth="1"/>
    <col min="10508" max="10508" width="2.625" style="136" customWidth="1"/>
    <col min="10509" max="10509" width="3.625" style="136" customWidth="1"/>
    <col min="10510" max="10510" width="2.625" style="136" customWidth="1"/>
    <col min="10511" max="10527" width="3" style="136" customWidth="1"/>
    <col min="10528" max="10528" width="1.875" style="136" customWidth="1"/>
    <col min="10529" max="10623" width="3" style="136" customWidth="1"/>
    <col min="10624" max="10752" width="9" style="136"/>
    <col min="10753" max="10753" width="1.875" style="136" customWidth="1"/>
    <col min="10754" max="10760" width="3" style="136" customWidth="1"/>
    <col min="10761" max="10761" width="3.625" style="136" customWidth="1"/>
    <col min="10762" max="10762" width="2.625" style="136" customWidth="1"/>
    <col min="10763" max="10763" width="3.625" style="136" customWidth="1"/>
    <col min="10764" max="10764" width="2.625" style="136" customWidth="1"/>
    <col min="10765" max="10765" width="3.625" style="136" customWidth="1"/>
    <col min="10766" max="10766" width="2.625" style="136" customWidth="1"/>
    <col min="10767" max="10783" width="3" style="136" customWidth="1"/>
    <col min="10784" max="10784" width="1.875" style="136" customWidth="1"/>
    <col min="10785" max="10879" width="3" style="136" customWidth="1"/>
    <col min="10880" max="11008" width="9" style="136"/>
    <col min="11009" max="11009" width="1.875" style="136" customWidth="1"/>
    <col min="11010" max="11016" width="3" style="136" customWidth="1"/>
    <col min="11017" max="11017" width="3.625" style="136" customWidth="1"/>
    <col min="11018" max="11018" width="2.625" style="136" customWidth="1"/>
    <col min="11019" max="11019" width="3.625" style="136" customWidth="1"/>
    <col min="11020" max="11020" width="2.625" style="136" customWidth="1"/>
    <col min="11021" max="11021" width="3.625" style="136" customWidth="1"/>
    <col min="11022" max="11022" width="2.625" style="136" customWidth="1"/>
    <col min="11023" max="11039" width="3" style="136" customWidth="1"/>
    <col min="11040" max="11040" width="1.875" style="136" customWidth="1"/>
    <col min="11041" max="11135" width="3" style="136" customWidth="1"/>
    <col min="11136" max="11264" width="9" style="136"/>
    <col min="11265" max="11265" width="1.875" style="136" customWidth="1"/>
    <col min="11266" max="11272" width="3" style="136" customWidth="1"/>
    <col min="11273" max="11273" width="3.625" style="136" customWidth="1"/>
    <col min="11274" max="11274" width="2.625" style="136" customWidth="1"/>
    <col min="11275" max="11275" width="3.625" style="136" customWidth="1"/>
    <col min="11276" max="11276" width="2.625" style="136" customWidth="1"/>
    <col min="11277" max="11277" width="3.625" style="136" customWidth="1"/>
    <col min="11278" max="11278" width="2.625" style="136" customWidth="1"/>
    <col min="11279" max="11295" width="3" style="136" customWidth="1"/>
    <col min="11296" max="11296" width="1.875" style="136" customWidth="1"/>
    <col min="11297" max="11391" width="3" style="136" customWidth="1"/>
    <col min="11392" max="11520" width="9" style="136"/>
    <col min="11521" max="11521" width="1.875" style="136" customWidth="1"/>
    <col min="11522" max="11528" width="3" style="136" customWidth="1"/>
    <col min="11529" max="11529" width="3.625" style="136" customWidth="1"/>
    <col min="11530" max="11530" width="2.625" style="136" customWidth="1"/>
    <col min="11531" max="11531" width="3.625" style="136" customWidth="1"/>
    <col min="11532" max="11532" width="2.625" style="136" customWidth="1"/>
    <col min="11533" max="11533" width="3.625" style="136" customWidth="1"/>
    <col min="11534" max="11534" width="2.625" style="136" customWidth="1"/>
    <col min="11535" max="11551" width="3" style="136" customWidth="1"/>
    <col min="11552" max="11552" width="1.875" style="136" customWidth="1"/>
    <col min="11553" max="11647" width="3" style="136" customWidth="1"/>
    <col min="11648" max="11776" width="9" style="136"/>
    <col min="11777" max="11777" width="1.875" style="136" customWidth="1"/>
    <col min="11778" max="11784" width="3" style="136" customWidth="1"/>
    <col min="11785" max="11785" width="3.625" style="136" customWidth="1"/>
    <col min="11786" max="11786" width="2.625" style="136" customWidth="1"/>
    <col min="11787" max="11787" width="3.625" style="136" customWidth="1"/>
    <col min="11788" max="11788" width="2.625" style="136" customWidth="1"/>
    <col min="11789" max="11789" width="3.625" style="136" customWidth="1"/>
    <col min="11790" max="11790" width="2.625" style="136" customWidth="1"/>
    <col min="11791" max="11807" width="3" style="136" customWidth="1"/>
    <col min="11808" max="11808" width="1.875" style="136" customWidth="1"/>
    <col min="11809" max="11903" width="3" style="136" customWidth="1"/>
    <col min="11904" max="12032" width="9" style="136"/>
    <col min="12033" max="12033" width="1.875" style="136" customWidth="1"/>
    <col min="12034" max="12040" width="3" style="136" customWidth="1"/>
    <col min="12041" max="12041" width="3.625" style="136" customWidth="1"/>
    <col min="12042" max="12042" width="2.625" style="136" customWidth="1"/>
    <col min="12043" max="12043" width="3.625" style="136" customWidth="1"/>
    <col min="12044" max="12044" width="2.625" style="136" customWidth="1"/>
    <col min="12045" max="12045" width="3.625" style="136" customWidth="1"/>
    <col min="12046" max="12046" width="2.625" style="136" customWidth="1"/>
    <col min="12047" max="12063" width="3" style="136" customWidth="1"/>
    <col min="12064" max="12064" width="1.875" style="136" customWidth="1"/>
    <col min="12065" max="12159" width="3" style="136" customWidth="1"/>
    <col min="12160" max="12288" width="9" style="136"/>
    <col min="12289" max="12289" width="1.875" style="136" customWidth="1"/>
    <col min="12290" max="12296" width="3" style="136" customWidth="1"/>
    <col min="12297" max="12297" width="3.625" style="136" customWidth="1"/>
    <col min="12298" max="12298" width="2.625" style="136" customWidth="1"/>
    <col min="12299" max="12299" width="3.625" style="136" customWidth="1"/>
    <col min="12300" max="12300" width="2.625" style="136" customWidth="1"/>
    <col min="12301" max="12301" width="3.625" style="136" customWidth="1"/>
    <col min="12302" max="12302" width="2.625" style="136" customWidth="1"/>
    <col min="12303" max="12319" width="3" style="136" customWidth="1"/>
    <col min="12320" max="12320" width="1.875" style="136" customWidth="1"/>
    <col min="12321" max="12415" width="3" style="136" customWidth="1"/>
    <col min="12416" max="12544" width="9" style="136"/>
    <col min="12545" max="12545" width="1.875" style="136" customWidth="1"/>
    <col min="12546" max="12552" width="3" style="136" customWidth="1"/>
    <col min="12553" max="12553" width="3.625" style="136" customWidth="1"/>
    <col min="12554" max="12554" width="2.625" style="136" customWidth="1"/>
    <col min="12555" max="12555" width="3.625" style="136" customWidth="1"/>
    <col min="12556" max="12556" width="2.625" style="136" customWidth="1"/>
    <col min="12557" max="12557" width="3.625" style="136" customWidth="1"/>
    <col min="12558" max="12558" width="2.625" style="136" customWidth="1"/>
    <col min="12559" max="12575" width="3" style="136" customWidth="1"/>
    <col min="12576" max="12576" width="1.875" style="136" customWidth="1"/>
    <col min="12577" max="12671" width="3" style="136" customWidth="1"/>
    <col min="12672" max="12800" width="9" style="136"/>
    <col min="12801" max="12801" width="1.875" style="136" customWidth="1"/>
    <col min="12802" max="12808" width="3" style="136" customWidth="1"/>
    <col min="12809" max="12809" width="3.625" style="136" customWidth="1"/>
    <col min="12810" max="12810" width="2.625" style="136" customWidth="1"/>
    <col min="12811" max="12811" width="3.625" style="136" customWidth="1"/>
    <col min="12812" max="12812" width="2.625" style="136" customWidth="1"/>
    <col min="12813" max="12813" width="3.625" style="136" customWidth="1"/>
    <col min="12814" max="12814" width="2.625" style="136" customWidth="1"/>
    <col min="12815" max="12831" width="3" style="136" customWidth="1"/>
    <col min="12832" max="12832" width="1.875" style="136" customWidth="1"/>
    <col min="12833" max="12927" width="3" style="136" customWidth="1"/>
    <col min="12928" max="13056" width="9" style="136"/>
    <col min="13057" max="13057" width="1.875" style="136" customWidth="1"/>
    <col min="13058" max="13064" width="3" style="136" customWidth="1"/>
    <col min="13065" max="13065" width="3.625" style="136" customWidth="1"/>
    <col min="13066" max="13066" width="2.625" style="136" customWidth="1"/>
    <col min="13067" max="13067" width="3.625" style="136" customWidth="1"/>
    <col min="13068" max="13068" width="2.625" style="136" customWidth="1"/>
    <col min="13069" max="13069" width="3.625" style="136" customWidth="1"/>
    <col min="13070" max="13070" width="2.625" style="136" customWidth="1"/>
    <col min="13071" max="13087" width="3" style="136" customWidth="1"/>
    <col min="13088" max="13088" width="1.875" style="136" customWidth="1"/>
    <col min="13089" max="13183" width="3" style="136" customWidth="1"/>
    <col min="13184" max="13312" width="9" style="136"/>
    <col min="13313" max="13313" width="1.875" style="136" customWidth="1"/>
    <col min="13314" max="13320" width="3" style="136" customWidth="1"/>
    <col min="13321" max="13321" width="3.625" style="136" customWidth="1"/>
    <col min="13322" max="13322" width="2.625" style="136" customWidth="1"/>
    <col min="13323" max="13323" width="3.625" style="136" customWidth="1"/>
    <col min="13324" max="13324" width="2.625" style="136" customWidth="1"/>
    <col min="13325" max="13325" width="3.625" style="136" customWidth="1"/>
    <col min="13326" max="13326" width="2.625" style="136" customWidth="1"/>
    <col min="13327" max="13343" width="3" style="136" customWidth="1"/>
    <col min="13344" max="13344" width="1.875" style="136" customWidth="1"/>
    <col min="13345" max="13439" width="3" style="136" customWidth="1"/>
    <col min="13440" max="13568" width="9" style="136"/>
    <col min="13569" max="13569" width="1.875" style="136" customWidth="1"/>
    <col min="13570" max="13576" width="3" style="136" customWidth="1"/>
    <col min="13577" max="13577" width="3.625" style="136" customWidth="1"/>
    <col min="13578" max="13578" width="2.625" style="136" customWidth="1"/>
    <col min="13579" max="13579" width="3.625" style="136" customWidth="1"/>
    <col min="13580" max="13580" width="2.625" style="136" customWidth="1"/>
    <col min="13581" max="13581" width="3.625" style="136" customWidth="1"/>
    <col min="13582" max="13582" width="2.625" style="136" customWidth="1"/>
    <col min="13583" max="13599" width="3" style="136" customWidth="1"/>
    <col min="13600" max="13600" width="1.875" style="136" customWidth="1"/>
    <col min="13601" max="13695" width="3" style="136" customWidth="1"/>
    <col min="13696" max="13824" width="9" style="136"/>
    <col min="13825" max="13825" width="1.875" style="136" customWidth="1"/>
    <col min="13826" max="13832" width="3" style="136" customWidth="1"/>
    <col min="13833" max="13833" width="3.625" style="136" customWidth="1"/>
    <col min="13834" max="13834" width="2.625" style="136" customWidth="1"/>
    <col min="13835" max="13835" width="3.625" style="136" customWidth="1"/>
    <col min="13836" max="13836" width="2.625" style="136" customWidth="1"/>
    <col min="13837" max="13837" width="3.625" style="136" customWidth="1"/>
    <col min="13838" max="13838" width="2.625" style="136" customWidth="1"/>
    <col min="13839" max="13855" width="3" style="136" customWidth="1"/>
    <col min="13856" max="13856" width="1.875" style="136" customWidth="1"/>
    <col min="13857" max="13951" width="3" style="136" customWidth="1"/>
    <col min="13952" max="14080" width="9" style="136"/>
    <col min="14081" max="14081" width="1.875" style="136" customWidth="1"/>
    <col min="14082" max="14088" width="3" style="136" customWidth="1"/>
    <col min="14089" max="14089" width="3.625" style="136" customWidth="1"/>
    <col min="14090" max="14090" width="2.625" style="136" customWidth="1"/>
    <col min="14091" max="14091" width="3.625" style="136" customWidth="1"/>
    <col min="14092" max="14092" width="2.625" style="136" customWidth="1"/>
    <col min="14093" max="14093" width="3.625" style="136" customWidth="1"/>
    <col min="14094" max="14094" width="2.625" style="136" customWidth="1"/>
    <col min="14095" max="14111" width="3" style="136" customWidth="1"/>
    <col min="14112" max="14112" width="1.875" style="136" customWidth="1"/>
    <col min="14113" max="14207" width="3" style="136" customWidth="1"/>
    <col min="14208" max="14336" width="9" style="136"/>
    <col min="14337" max="14337" width="1.875" style="136" customWidth="1"/>
    <col min="14338" max="14344" width="3" style="136" customWidth="1"/>
    <col min="14345" max="14345" width="3.625" style="136" customWidth="1"/>
    <col min="14346" max="14346" width="2.625" style="136" customWidth="1"/>
    <col min="14347" max="14347" width="3.625" style="136" customWidth="1"/>
    <col min="14348" max="14348" width="2.625" style="136" customWidth="1"/>
    <col min="14349" max="14349" width="3.625" style="136" customWidth="1"/>
    <col min="14350" max="14350" width="2.625" style="136" customWidth="1"/>
    <col min="14351" max="14367" width="3" style="136" customWidth="1"/>
    <col min="14368" max="14368" width="1.875" style="136" customWidth="1"/>
    <col min="14369" max="14463" width="3" style="136" customWidth="1"/>
    <col min="14464" max="14592" width="9" style="136"/>
    <col min="14593" max="14593" width="1.875" style="136" customWidth="1"/>
    <col min="14594" max="14600" width="3" style="136" customWidth="1"/>
    <col min="14601" max="14601" width="3.625" style="136" customWidth="1"/>
    <col min="14602" max="14602" width="2.625" style="136" customWidth="1"/>
    <col min="14603" max="14603" width="3.625" style="136" customWidth="1"/>
    <col min="14604" max="14604" width="2.625" style="136" customWidth="1"/>
    <col min="14605" max="14605" width="3.625" style="136" customWidth="1"/>
    <col min="14606" max="14606" width="2.625" style="136" customWidth="1"/>
    <col min="14607" max="14623" width="3" style="136" customWidth="1"/>
    <col min="14624" max="14624" width="1.875" style="136" customWidth="1"/>
    <col min="14625" max="14719" width="3" style="136" customWidth="1"/>
    <col min="14720" max="14848" width="9" style="136"/>
    <col min="14849" max="14849" width="1.875" style="136" customWidth="1"/>
    <col min="14850" max="14856" width="3" style="136" customWidth="1"/>
    <col min="14857" max="14857" width="3.625" style="136" customWidth="1"/>
    <col min="14858" max="14858" width="2.625" style="136" customWidth="1"/>
    <col min="14859" max="14859" width="3.625" style="136" customWidth="1"/>
    <col min="14860" max="14860" width="2.625" style="136" customWidth="1"/>
    <col min="14861" max="14861" width="3.625" style="136" customWidth="1"/>
    <col min="14862" max="14862" width="2.625" style="136" customWidth="1"/>
    <col min="14863" max="14879" width="3" style="136" customWidth="1"/>
    <col min="14880" max="14880" width="1.875" style="136" customWidth="1"/>
    <col min="14881" max="14975" width="3" style="136" customWidth="1"/>
    <col min="14976" max="15104" width="9" style="136"/>
    <col min="15105" max="15105" width="1.875" style="136" customWidth="1"/>
    <col min="15106" max="15112" width="3" style="136" customWidth="1"/>
    <col min="15113" max="15113" width="3.625" style="136" customWidth="1"/>
    <col min="15114" max="15114" width="2.625" style="136" customWidth="1"/>
    <col min="15115" max="15115" width="3.625" style="136" customWidth="1"/>
    <col min="15116" max="15116" width="2.625" style="136" customWidth="1"/>
    <col min="15117" max="15117" width="3.625" style="136" customWidth="1"/>
    <col min="15118" max="15118" width="2.625" style="136" customWidth="1"/>
    <col min="15119" max="15135" width="3" style="136" customWidth="1"/>
    <col min="15136" max="15136" width="1.875" style="136" customWidth="1"/>
    <col min="15137" max="15231" width="3" style="136" customWidth="1"/>
    <col min="15232" max="15360" width="9" style="136"/>
    <col min="15361" max="15361" width="1.875" style="136" customWidth="1"/>
    <col min="15362" max="15368" width="3" style="136" customWidth="1"/>
    <col min="15369" max="15369" width="3.625" style="136" customWidth="1"/>
    <col min="15370" max="15370" width="2.625" style="136" customWidth="1"/>
    <col min="15371" max="15371" width="3.625" style="136" customWidth="1"/>
    <col min="15372" max="15372" width="2.625" style="136" customWidth="1"/>
    <col min="15373" max="15373" width="3.625" style="136" customWidth="1"/>
    <col min="15374" max="15374" width="2.625" style="136" customWidth="1"/>
    <col min="15375" max="15391" width="3" style="136" customWidth="1"/>
    <col min="15392" max="15392" width="1.875" style="136" customWidth="1"/>
    <col min="15393" max="15487" width="3" style="136" customWidth="1"/>
    <col min="15488" max="15616" width="9" style="136"/>
    <col min="15617" max="15617" width="1.875" style="136" customWidth="1"/>
    <col min="15618" max="15624" width="3" style="136" customWidth="1"/>
    <col min="15625" max="15625" width="3.625" style="136" customWidth="1"/>
    <col min="15626" max="15626" width="2.625" style="136" customWidth="1"/>
    <col min="15627" max="15627" width="3.625" style="136" customWidth="1"/>
    <col min="15628" max="15628" width="2.625" style="136" customWidth="1"/>
    <col min="15629" max="15629" width="3.625" style="136" customWidth="1"/>
    <col min="15630" max="15630" width="2.625" style="136" customWidth="1"/>
    <col min="15631" max="15647" width="3" style="136" customWidth="1"/>
    <col min="15648" max="15648" width="1.875" style="136" customWidth="1"/>
    <col min="15649" max="15743" width="3" style="136" customWidth="1"/>
    <col min="15744" max="15872" width="9" style="136"/>
    <col min="15873" max="15873" width="1.875" style="136" customWidth="1"/>
    <col min="15874" max="15880" width="3" style="136" customWidth="1"/>
    <col min="15881" max="15881" width="3.625" style="136" customWidth="1"/>
    <col min="15882" max="15882" width="2.625" style="136" customWidth="1"/>
    <col min="15883" max="15883" width="3.625" style="136" customWidth="1"/>
    <col min="15884" max="15884" width="2.625" style="136" customWidth="1"/>
    <col min="15885" max="15885" width="3.625" style="136" customWidth="1"/>
    <col min="15886" max="15886" width="2.625" style="136" customWidth="1"/>
    <col min="15887" max="15903" width="3" style="136" customWidth="1"/>
    <col min="15904" max="15904" width="1.875" style="136" customWidth="1"/>
    <col min="15905" max="15999" width="3" style="136" customWidth="1"/>
    <col min="16000" max="16128" width="9" style="136"/>
    <col min="16129" max="16129" width="1.875" style="136" customWidth="1"/>
    <col min="16130" max="16136" width="3" style="136" customWidth="1"/>
    <col min="16137" max="16137" width="3.625" style="136" customWidth="1"/>
    <col min="16138" max="16138" width="2.625" style="136" customWidth="1"/>
    <col min="16139" max="16139" width="3.625" style="136" customWidth="1"/>
    <col min="16140" max="16140" width="2.625" style="136" customWidth="1"/>
    <col min="16141" max="16141" width="3.625" style="136" customWidth="1"/>
    <col min="16142" max="16142" width="2.625" style="136" customWidth="1"/>
    <col min="16143" max="16159" width="3" style="136" customWidth="1"/>
    <col min="16160" max="16160" width="1.875" style="136" customWidth="1"/>
    <col min="16161" max="16255" width="3" style="136" customWidth="1"/>
    <col min="16256" max="16384" width="9" style="136"/>
  </cols>
  <sheetData>
    <row r="1" spans="1:36" ht="14.25" thickBot="1">
      <c r="AF1" s="138"/>
    </row>
    <row r="2" spans="1:36" ht="17.25">
      <c r="A2" s="238"/>
      <c r="B2" s="1932" t="s">
        <v>1063</v>
      </c>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239"/>
    </row>
    <row r="3" spans="1:36" ht="17.25">
      <c r="A3" s="240"/>
      <c r="B3" s="1933"/>
      <c r="C3" s="1933"/>
      <c r="D3" s="1933"/>
      <c r="E3" s="1933"/>
      <c r="F3" s="1933"/>
      <c r="G3" s="1933"/>
      <c r="H3" s="1933"/>
      <c r="I3" s="1933"/>
      <c r="J3" s="1933"/>
      <c r="K3" s="1933"/>
      <c r="L3" s="1933"/>
      <c r="M3" s="1933"/>
      <c r="N3" s="1933"/>
      <c r="O3" s="1933"/>
      <c r="P3" s="1933"/>
      <c r="Q3" s="1933"/>
      <c r="R3" s="1933"/>
      <c r="S3" s="1933"/>
      <c r="T3" s="1933"/>
      <c r="U3" s="1933"/>
      <c r="V3" s="1933"/>
      <c r="W3" s="1933"/>
      <c r="X3" s="1933"/>
      <c r="Y3" s="1933"/>
      <c r="Z3" s="1933"/>
      <c r="AA3" s="1933"/>
      <c r="AB3" s="1933"/>
      <c r="AC3" s="1933"/>
      <c r="AD3" s="1933"/>
      <c r="AE3" s="1933"/>
      <c r="AF3" s="241"/>
    </row>
    <row r="4" spans="1:36" ht="15.75" customHeight="1">
      <c r="A4" s="240"/>
      <c r="B4" s="136" t="s">
        <v>1064</v>
      </c>
      <c r="C4" s="136" t="s">
        <v>1065</v>
      </c>
      <c r="AF4" s="242"/>
      <c r="AJ4" s="474"/>
    </row>
    <row r="5" spans="1:36" ht="15.75" customHeight="1">
      <c r="A5" s="240"/>
      <c r="C5" s="1961" t="str">
        <f>【マスター】!C7&amp;【マスター】!E7&amp;"("&amp;【マスター】!C9&amp;")までお知らせ下さい。"</f>
        <v>デイサービスさつきの湯(0533-56-7087)までお知らせ下さい。</v>
      </c>
      <c r="D5" s="1961"/>
      <c r="E5" s="1961"/>
      <c r="F5" s="1961"/>
      <c r="G5" s="1961"/>
      <c r="H5" s="1961"/>
      <c r="I5" s="1961"/>
      <c r="J5" s="1961"/>
      <c r="K5" s="1961"/>
      <c r="L5" s="1961"/>
      <c r="M5" s="1961"/>
      <c r="N5" s="1961"/>
      <c r="O5" s="1961"/>
      <c r="P5" s="1961"/>
      <c r="Q5" s="1961"/>
      <c r="R5" s="1961"/>
      <c r="S5" s="1961"/>
      <c r="T5" s="1961"/>
      <c r="U5" s="1961"/>
      <c r="V5" s="1961"/>
      <c r="W5" s="1961"/>
      <c r="X5" s="1961"/>
      <c r="Y5" s="1961"/>
      <c r="Z5" s="1961"/>
      <c r="AA5" s="1961"/>
      <c r="AB5" s="1961"/>
      <c r="AC5" s="1961"/>
      <c r="AD5" s="1961"/>
      <c r="AE5" s="1961"/>
      <c r="AF5" s="242"/>
      <c r="AJ5" s="485"/>
    </row>
    <row r="6" spans="1:36">
      <c r="A6" s="240"/>
      <c r="B6" s="136" t="s">
        <v>1064</v>
      </c>
      <c r="C6" s="136" t="s">
        <v>1066</v>
      </c>
      <c r="T6" s="1934" t="s">
        <v>1067</v>
      </c>
      <c r="U6" s="1934"/>
      <c r="V6" s="1934"/>
      <c r="W6" s="1934"/>
      <c r="X6" s="1934"/>
      <c r="Y6" s="1934"/>
      <c r="Z6" s="1934"/>
      <c r="AA6" s="1934"/>
      <c r="AB6" s="1934"/>
      <c r="AC6" s="1934"/>
      <c r="AD6" s="1934"/>
      <c r="AE6" s="1934"/>
      <c r="AF6" s="243"/>
    </row>
    <row r="7" spans="1:36" ht="14.25" thickBot="1">
      <c r="A7" s="240"/>
      <c r="T7" s="1934"/>
      <c r="U7" s="1934"/>
      <c r="V7" s="1934"/>
      <c r="W7" s="1934"/>
      <c r="X7" s="1934"/>
      <c r="Y7" s="1934"/>
      <c r="Z7" s="1934"/>
      <c r="AA7" s="1934"/>
      <c r="AB7" s="1934"/>
      <c r="AC7" s="1934"/>
      <c r="AD7" s="1934"/>
      <c r="AE7" s="1934"/>
      <c r="AF7" s="243"/>
    </row>
    <row r="8" spans="1:36" ht="17.25" customHeight="1">
      <c r="A8" s="240"/>
      <c r="B8" s="1935" t="s">
        <v>1068</v>
      </c>
      <c r="C8" s="1936"/>
      <c r="D8" s="1936"/>
      <c r="E8" s="1936"/>
      <c r="F8" s="1941"/>
      <c r="G8" s="1942"/>
      <c r="H8" s="1942"/>
      <c r="I8" s="1942"/>
      <c r="J8" s="1942"/>
      <c r="K8" s="1942"/>
      <c r="L8" s="1942"/>
      <c r="M8" s="1942"/>
      <c r="N8" s="1942"/>
      <c r="O8" s="1942"/>
      <c r="P8" s="1942"/>
      <c r="Q8" s="1942"/>
      <c r="R8" s="244" t="s">
        <v>1069</v>
      </c>
      <c r="S8" s="1878" t="s">
        <v>1070</v>
      </c>
      <c r="T8" s="1879"/>
      <c r="U8" s="1880"/>
      <c r="V8" s="1946"/>
      <c r="W8" s="1947"/>
      <c r="X8" s="1947"/>
      <c r="Y8" s="1947"/>
      <c r="Z8" s="1947"/>
      <c r="AA8" s="1947"/>
      <c r="AB8" s="1947"/>
      <c r="AC8" s="1948" t="s">
        <v>1071</v>
      </c>
      <c r="AD8" s="1948"/>
      <c r="AE8" s="245" t="s">
        <v>1069</v>
      </c>
      <c r="AF8" s="242"/>
    </row>
    <row r="9" spans="1:36" ht="17.25" customHeight="1">
      <c r="A9" s="240"/>
      <c r="B9" s="1937"/>
      <c r="C9" s="1938"/>
      <c r="D9" s="1938"/>
      <c r="E9" s="1938"/>
      <c r="F9" s="1955" t="str">
        <f>IF(【マスター】!B161="","",【マスター】!B161)</f>
        <v/>
      </c>
      <c r="G9" s="1956"/>
      <c r="H9" s="1956"/>
      <c r="I9" s="1956"/>
      <c r="J9" s="1956"/>
      <c r="K9" s="1956"/>
      <c r="L9" s="1956"/>
      <c r="M9" s="1956"/>
      <c r="N9" s="1956"/>
      <c r="O9" s="1956"/>
      <c r="P9" s="1959" t="s">
        <v>1072</v>
      </c>
      <c r="Q9" s="1959"/>
      <c r="R9" s="567" t="s">
        <v>1073</v>
      </c>
      <c r="S9" s="1943"/>
      <c r="T9" s="1944"/>
      <c r="U9" s="1945"/>
      <c r="V9" s="1949"/>
      <c r="W9" s="1950"/>
      <c r="X9" s="1950"/>
      <c r="Y9" s="1950"/>
      <c r="Z9" s="1950"/>
      <c r="AA9" s="1950"/>
      <c r="AB9" s="1950"/>
      <c r="AC9" s="1953"/>
      <c r="AD9" s="1953"/>
      <c r="AE9" s="568" t="s">
        <v>1073</v>
      </c>
      <c r="AF9" s="242"/>
      <c r="AG9" s="136" t="s">
        <v>1074</v>
      </c>
    </row>
    <row r="10" spans="1:36" ht="17.25" customHeight="1">
      <c r="A10" s="240"/>
      <c r="B10" s="1939"/>
      <c r="C10" s="1940"/>
      <c r="D10" s="1940"/>
      <c r="E10" s="1940"/>
      <c r="F10" s="1957"/>
      <c r="G10" s="1958"/>
      <c r="H10" s="1958"/>
      <c r="I10" s="1958"/>
      <c r="J10" s="1958"/>
      <c r="K10" s="1958"/>
      <c r="L10" s="1958"/>
      <c r="M10" s="1958"/>
      <c r="N10" s="1958"/>
      <c r="O10" s="1958"/>
      <c r="P10" s="1960"/>
      <c r="Q10" s="1960"/>
      <c r="R10" s="246" t="s">
        <v>1075</v>
      </c>
      <c r="S10" s="1881"/>
      <c r="T10" s="1882"/>
      <c r="U10" s="1883"/>
      <c r="V10" s="1951"/>
      <c r="W10" s="1952"/>
      <c r="X10" s="1952"/>
      <c r="Y10" s="1952"/>
      <c r="Z10" s="1952"/>
      <c r="AA10" s="1952"/>
      <c r="AB10" s="1952"/>
      <c r="AC10" s="1954"/>
      <c r="AD10" s="1954"/>
      <c r="AE10" s="247" t="s">
        <v>1075</v>
      </c>
      <c r="AF10" s="242"/>
    </row>
    <row r="11" spans="1:36" ht="17.25" customHeight="1">
      <c r="A11" s="240"/>
      <c r="B11" s="1909" t="s">
        <v>1076</v>
      </c>
      <c r="C11" s="1910"/>
      <c r="D11" s="1910"/>
      <c r="E11" s="1911"/>
      <c r="F11" s="1915" t="s">
        <v>1077</v>
      </c>
      <c r="G11" s="1916"/>
      <c r="H11" s="1917"/>
      <c r="I11" s="1917"/>
      <c r="J11" s="1920" t="s">
        <v>1078</v>
      </c>
      <c r="K11" s="1917"/>
      <c r="L11" s="1920" t="s">
        <v>1079</v>
      </c>
      <c r="M11" s="1917"/>
      <c r="N11" s="1920" t="s">
        <v>888</v>
      </c>
      <c r="O11" s="1922" t="s">
        <v>1080</v>
      </c>
      <c r="P11" s="1924"/>
      <c r="Q11" s="1924"/>
      <c r="R11" s="1928" t="s">
        <v>1081</v>
      </c>
      <c r="S11" s="1915" t="s">
        <v>1082</v>
      </c>
      <c r="T11" s="1916"/>
      <c r="U11" s="1916"/>
      <c r="V11" s="1917"/>
      <c r="W11" s="1920" t="s">
        <v>1078</v>
      </c>
      <c r="X11" s="1917"/>
      <c r="Y11" s="1920" t="s">
        <v>1079</v>
      </c>
      <c r="Z11" s="1917"/>
      <c r="AA11" s="1920" t="s">
        <v>888</v>
      </c>
      <c r="AB11" s="1922" t="s">
        <v>1080</v>
      </c>
      <c r="AC11" s="1924"/>
      <c r="AD11" s="1924"/>
      <c r="AE11" s="1926" t="s">
        <v>1081</v>
      </c>
      <c r="AF11" s="242"/>
    </row>
    <row r="12" spans="1:36" ht="17.25" customHeight="1">
      <c r="A12" s="240"/>
      <c r="B12" s="1912"/>
      <c r="C12" s="1913"/>
      <c r="D12" s="1913"/>
      <c r="E12" s="1914"/>
      <c r="F12" s="1918"/>
      <c r="G12" s="1919"/>
      <c r="H12" s="1919"/>
      <c r="I12" s="1919"/>
      <c r="J12" s="1921"/>
      <c r="K12" s="1919"/>
      <c r="L12" s="1921"/>
      <c r="M12" s="1919"/>
      <c r="N12" s="1921"/>
      <c r="O12" s="1923"/>
      <c r="P12" s="1925"/>
      <c r="Q12" s="1925"/>
      <c r="R12" s="1929"/>
      <c r="S12" s="1930"/>
      <c r="T12" s="1931"/>
      <c r="U12" s="1931"/>
      <c r="V12" s="1919"/>
      <c r="W12" s="1921"/>
      <c r="X12" s="1919"/>
      <c r="Y12" s="1921"/>
      <c r="Z12" s="1919"/>
      <c r="AA12" s="1921"/>
      <c r="AB12" s="1923"/>
      <c r="AC12" s="1925"/>
      <c r="AD12" s="1925"/>
      <c r="AE12" s="1927"/>
      <c r="AF12" s="242"/>
    </row>
    <row r="13" spans="1:36" ht="17.25" customHeight="1">
      <c r="A13" s="240"/>
      <c r="B13" s="1893" t="s">
        <v>1083</v>
      </c>
      <c r="C13" s="1894"/>
      <c r="D13" s="1894"/>
      <c r="E13" s="1894"/>
      <c r="F13" s="1897" t="str">
        <f>IF(【マスター】!B162="","",【マスター】!B162&amp;【マスター】!B163)</f>
        <v/>
      </c>
      <c r="G13" s="1897"/>
      <c r="H13" s="1897"/>
      <c r="I13" s="1897"/>
      <c r="J13" s="1897"/>
      <c r="K13" s="1897"/>
      <c r="L13" s="1897"/>
      <c r="M13" s="1897"/>
      <c r="N13" s="1897"/>
      <c r="O13" s="1897"/>
      <c r="P13" s="1897"/>
      <c r="Q13" s="1897"/>
      <c r="R13" s="1897"/>
      <c r="S13" s="1894" t="s">
        <v>1084</v>
      </c>
      <c r="T13" s="1894"/>
      <c r="U13" s="1807"/>
      <c r="V13" s="1899"/>
      <c r="W13" s="1885"/>
      <c r="X13" s="1901" t="s">
        <v>789</v>
      </c>
      <c r="Y13" s="1885"/>
      <c r="Z13" s="1885"/>
      <c r="AA13" s="1885"/>
      <c r="AB13" s="1901" t="s">
        <v>789</v>
      </c>
      <c r="AC13" s="1885"/>
      <c r="AD13" s="1885"/>
      <c r="AE13" s="1886"/>
      <c r="AF13" s="242"/>
      <c r="AG13" s="136" t="s">
        <v>1085</v>
      </c>
    </row>
    <row r="14" spans="1:36" ht="17.25" customHeight="1" thickBot="1">
      <c r="A14" s="240"/>
      <c r="B14" s="1895"/>
      <c r="C14" s="1896"/>
      <c r="D14" s="1896"/>
      <c r="E14" s="1896"/>
      <c r="F14" s="1834"/>
      <c r="G14" s="1834"/>
      <c r="H14" s="1834"/>
      <c r="I14" s="1834"/>
      <c r="J14" s="1834"/>
      <c r="K14" s="1834"/>
      <c r="L14" s="1834"/>
      <c r="M14" s="1834"/>
      <c r="N14" s="1834"/>
      <c r="O14" s="1834"/>
      <c r="P14" s="1834"/>
      <c r="Q14" s="1834"/>
      <c r="R14" s="1834"/>
      <c r="S14" s="1896"/>
      <c r="T14" s="1896"/>
      <c r="U14" s="1898"/>
      <c r="V14" s="1900"/>
      <c r="W14" s="1887"/>
      <c r="X14" s="1902"/>
      <c r="Y14" s="1887"/>
      <c r="Z14" s="1887"/>
      <c r="AA14" s="1887"/>
      <c r="AB14" s="1902"/>
      <c r="AC14" s="1887"/>
      <c r="AD14" s="1887"/>
      <c r="AE14" s="1888"/>
      <c r="AF14" s="242"/>
    </row>
    <row r="15" spans="1:36" ht="17.25" customHeight="1">
      <c r="A15" s="240"/>
      <c r="B15" s="1848" t="s">
        <v>1086</v>
      </c>
      <c r="C15" s="1849"/>
      <c r="D15" s="1849"/>
      <c r="E15" s="1849"/>
      <c r="F15" s="1833"/>
      <c r="G15" s="1833"/>
      <c r="H15" s="1833"/>
      <c r="I15" s="1833"/>
      <c r="J15" s="1833"/>
      <c r="K15" s="1833"/>
      <c r="L15" s="1833"/>
      <c r="M15" s="1833"/>
      <c r="N15" s="1833"/>
      <c r="O15" s="1833"/>
      <c r="P15" s="1833"/>
      <c r="Q15" s="1849" t="s">
        <v>1087</v>
      </c>
      <c r="R15" s="1849"/>
      <c r="S15" s="1849"/>
      <c r="T15" s="1889"/>
      <c r="U15" s="1890" t="s">
        <v>1088</v>
      </c>
      <c r="V15" s="1891"/>
      <c r="W15" s="1891"/>
      <c r="X15" s="1891"/>
      <c r="Y15" s="1891"/>
      <c r="Z15" s="1891"/>
      <c r="AA15" s="1891"/>
      <c r="AB15" s="1891"/>
      <c r="AC15" s="1891"/>
      <c r="AD15" s="1891"/>
      <c r="AE15" s="1892"/>
      <c r="AF15" s="242"/>
    </row>
    <row r="16" spans="1:36" ht="17.25" customHeight="1">
      <c r="A16" s="240"/>
      <c r="B16" s="1848"/>
      <c r="C16" s="1849"/>
      <c r="D16" s="1849"/>
      <c r="E16" s="1849"/>
      <c r="F16" s="1833"/>
      <c r="G16" s="1833"/>
      <c r="H16" s="1833"/>
      <c r="I16" s="1833"/>
      <c r="J16" s="1833"/>
      <c r="K16" s="1833"/>
      <c r="L16" s="1833"/>
      <c r="M16" s="1833"/>
      <c r="N16" s="1833"/>
      <c r="O16" s="1833"/>
      <c r="P16" s="1833"/>
      <c r="Q16" s="1849"/>
      <c r="R16" s="1849"/>
      <c r="S16" s="1849"/>
      <c r="T16" s="1889"/>
      <c r="U16" s="1807" t="s">
        <v>1089</v>
      </c>
      <c r="V16" s="1808"/>
      <c r="W16" s="248"/>
      <c r="X16" s="248"/>
      <c r="Y16" s="248"/>
      <c r="Z16" s="248"/>
      <c r="AA16" s="248"/>
      <c r="AB16" s="248"/>
      <c r="AC16" s="248"/>
      <c r="AD16" s="248"/>
      <c r="AE16" s="249"/>
      <c r="AF16" s="242"/>
    </row>
    <row r="17" spans="1:32" ht="17.25" customHeight="1">
      <c r="A17" s="240"/>
      <c r="B17" s="1848" t="s">
        <v>1090</v>
      </c>
      <c r="C17" s="1849"/>
      <c r="D17" s="1849"/>
      <c r="E17" s="1849"/>
      <c r="F17" s="1833"/>
      <c r="G17" s="1833"/>
      <c r="H17" s="1833"/>
      <c r="I17" s="1833"/>
      <c r="J17" s="1833"/>
      <c r="K17" s="1833"/>
      <c r="L17" s="1833"/>
      <c r="M17" s="1833"/>
      <c r="N17" s="1833"/>
      <c r="O17" s="1833"/>
      <c r="P17" s="1833"/>
      <c r="Q17" s="1849" t="s">
        <v>1091</v>
      </c>
      <c r="R17" s="1849"/>
      <c r="S17" s="1849"/>
      <c r="T17" s="1849"/>
      <c r="U17" s="1890" t="s">
        <v>1092</v>
      </c>
      <c r="V17" s="1891"/>
      <c r="W17" s="1891"/>
      <c r="X17" s="1891"/>
      <c r="Y17" s="1891"/>
      <c r="Z17" s="1891"/>
      <c r="AA17" s="1891"/>
      <c r="AB17" s="1891"/>
      <c r="AC17" s="1891"/>
      <c r="AD17" s="1891"/>
      <c r="AE17" s="1892"/>
      <c r="AF17" s="242"/>
    </row>
    <row r="18" spans="1:32" ht="17.25" customHeight="1">
      <c r="A18" s="240"/>
      <c r="B18" s="1848"/>
      <c r="C18" s="1849"/>
      <c r="D18" s="1849"/>
      <c r="E18" s="1849"/>
      <c r="F18" s="1833"/>
      <c r="G18" s="1833"/>
      <c r="H18" s="1833"/>
      <c r="I18" s="1833"/>
      <c r="J18" s="1833"/>
      <c r="K18" s="1833"/>
      <c r="L18" s="1833"/>
      <c r="M18" s="1833"/>
      <c r="N18" s="1833"/>
      <c r="O18" s="1833"/>
      <c r="P18" s="1833"/>
      <c r="Q18" s="1849"/>
      <c r="R18" s="1849"/>
      <c r="S18" s="1849"/>
      <c r="T18" s="1849"/>
      <c r="U18" s="1903"/>
      <c r="V18" s="1904"/>
      <c r="W18" s="1904"/>
      <c r="X18" s="1904"/>
      <c r="Y18" s="1904"/>
      <c r="Z18" s="1904"/>
      <c r="AA18" s="1904"/>
      <c r="AB18" s="1904"/>
      <c r="AC18" s="1904"/>
      <c r="AD18" s="1904"/>
      <c r="AE18" s="1905"/>
      <c r="AF18" s="242"/>
    </row>
    <row r="19" spans="1:32" ht="17.25" customHeight="1">
      <c r="A19" s="240"/>
      <c r="B19" s="1848"/>
      <c r="C19" s="1849"/>
      <c r="D19" s="1849"/>
      <c r="E19" s="1849"/>
      <c r="F19" s="1833"/>
      <c r="G19" s="1833"/>
      <c r="H19" s="1833"/>
      <c r="I19" s="1833"/>
      <c r="J19" s="1833"/>
      <c r="K19" s="1833"/>
      <c r="L19" s="1833"/>
      <c r="M19" s="1833"/>
      <c r="N19" s="1833"/>
      <c r="O19" s="1833"/>
      <c r="P19" s="1833"/>
      <c r="Q19" s="1849"/>
      <c r="R19" s="1849"/>
      <c r="S19" s="1849"/>
      <c r="T19" s="1849"/>
      <c r="U19" s="1906"/>
      <c r="V19" s="1907"/>
      <c r="W19" s="1907"/>
      <c r="X19" s="1907"/>
      <c r="Y19" s="1907"/>
      <c r="Z19" s="1907"/>
      <c r="AA19" s="1907"/>
      <c r="AB19" s="1907"/>
      <c r="AC19" s="1907"/>
      <c r="AD19" s="1907"/>
      <c r="AE19" s="1908"/>
      <c r="AF19" s="242"/>
    </row>
    <row r="20" spans="1:32" ht="17.25" customHeight="1">
      <c r="A20" s="240"/>
      <c r="B20" s="1858" t="s">
        <v>1093</v>
      </c>
      <c r="C20" s="1851"/>
      <c r="D20" s="1851"/>
      <c r="E20" s="1851"/>
      <c r="F20" s="1835"/>
      <c r="G20" s="1818"/>
      <c r="H20" s="1818"/>
      <c r="I20" s="1818"/>
      <c r="J20" s="1818"/>
      <c r="K20" s="1818"/>
      <c r="L20" s="1818"/>
      <c r="M20" s="1818"/>
      <c r="N20" s="1818"/>
      <c r="O20" s="1818"/>
      <c r="P20" s="1818"/>
      <c r="Q20" s="1818"/>
      <c r="R20" s="1818"/>
      <c r="S20" s="1818"/>
      <c r="T20" s="1818"/>
      <c r="U20" s="1818"/>
      <c r="V20" s="1818"/>
      <c r="W20" s="1818"/>
      <c r="X20" s="1818"/>
      <c r="Y20" s="1818"/>
      <c r="Z20" s="1818"/>
      <c r="AA20" s="1818"/>
      <c r="AB20" s="1818"/>
      <c r="AC20" s="1818"/>
      <c r="AD20" s="1818"/>
      <c r="AE20" s="1820"/>
      <c r="AF20" s="242"/>
    </row>
    <row r="21" spans="1:32" ht="17.25" customHeight="1" thickBot="1">
      <c r="A21" s="240"/>
      <c r="B21" s="1859"/>
      <c r="C21" s="1860"/>
      <c r="D21" s="1860"/>
      <c r="E21" s="1860"/>
      <c r="F21" s="1836"/>
      <c r="G21" s="1819"/>
      <c r="H21" s="1819"/>
      <c r="I21" s="1819"/>
      <c r="J21" s="1819"/>
      <c r="K21" s="1819"/>
      <c r="L21" s="1819"/>
      <c r="M21" s="1819"/>
      <c r="N21" s="1819"/>
      <c r="O21" s="1819"/>
      <c r="P21" s="1819"/>
      <c r="Q21" s="1819"/>
      <c r="R21" s="1819"/>
      <c r="S21" s="1819"/>
      <c r="T21" s="1819"/>
      <c r="U21" s="1819"/>
      <c r="V21" s="1819"/>
      <c r="W21" s="1819"/>
      <c r="X21" s="1819"/>
      <c r="Y21" s="1819"/>
      <c r="Z21" s="1819"/>
      <c r="AA21" s="1819"/>
      <c r="AB21" s="1819"/>
      <c r="AC21" s="1819"/>
      <c r="AD21" s="1819"/>
      <c r="AE21" s="1821"/>
      <c r="AF21" s="242"/>
    </row>
    <row r="22" spans="1:32" ht="17.25" customHeight="1">
      <c r="A22" s="240"/>
      <c r="B22" s="1872" t="s">
        <v>1094</v>
      </c>
      <c r="C22" s="1873"/>
      <c r="D22" s="1873"/>
      <c r="E22" s="1873"/>
      <c r="F22" s="1876"/>
      <c r="G22" s="1876"/>
      <c r="H22" s="1876"/>
      <c r="I22" s="1876"/>
      <c r="J22" s="1876"/>
      <c r="K22" s="1876"/>
      <c r="L22" s="1876"/>
      <c r="M22" s="1876"/>
      <c r="N22" s="1876"/>
      <c r="O22" s="1876"/>
      <c r="P22" s="1876"/>
      <c r="Q22" s="1878" t="s">
        <v>1095</v>
      </c>
      <c r="R22" s="1879"/>
      <c r="S22" s="1879"/>
      <c r="T22" s="1880"/>
      <c r="U22" s="1884"/>
      <c r="V22" s="1856"/>
      <c r="W22" s="1856"/>
      <c r="X22" s="1854" t="s">
        <v>789</v>
      </c>
      <c r="Y22" s="1856"/>
      <c r="Z22" s="1856"/>
      <c r="AA22" s="1856"/>
      <c r="AB22" s="1854" t="s">
        <v>789</v>
      </c>
      <c r="AC22" s="1856"/>
      <c r="AD22" s="1856"/>
      <c r="AE22" s="1857"/>
      <c r="AF22" s="242"/>
    </row>
    <row r="23" spans="1:32" ht="17.25" customHeight="1">
      <c r="A23" s="240"/>
      <c r="B23" s="1874"/>
      <c r="C23" s="1875"/>
      <c r="D23" s="1875"/>
      <c r="E23" s="1875"/>
      <c r="F23" s="1877"/>
      <c r="G23" s="1877"/>
      <c r="H23" s="1877"/>
      <c r="I23" s="1877"/>
      <c r="J23" s="1877"/>
      <c r="K23" s="1877"/>
      <c r="L23" s="1877"/>
      <c r="M23" s="1877"/>
      <c r="N23" s="1877"/>
      <c r="O23" s="1877"/>
      <c r="P23" s="1877"/>
      <c r="Q23" s="1881"/>
      <c r="R23" s="1882"/>
      <c r="S23" s="1882"/>
      <c r="T23" s="1883"/>
      <c r="U23" s="1837"/>
      <c r="V23" s="1838"/>
      <c r="W23" s="1838"/>
      <c r="X23" s="1855"/>
      <c r="Y23" s="1838"/>
      <c r="Z23" s="1838"/>
      <c r="AA23" s="1838"/>
      <c r="AB23" s="1855"/>
      <c r="AC23" s="1838"/>
      <c r="AD23" s="1838"/>
      <c r="AE23" s="1840"/>
      <c r="AF23" s="242"/>
    </row>
    <row r="24" spans="1:32" ht="17.25" customHeight="1">
      <c r="A24" s="240"/>
      <c r="B24" s="1858" t="s">
        <v>1096</v>
      </c>
      <c r="C24" s="1851"/>
      <c r="D24" s="1851"/>
      <c r="E24" s="1851"/>
      <c r="F24" s="1861"/>
      <c r="G24" s="1816"/>
      <c r="H24" s="1816"/>
      <c r="I24" s="1816"/>
      <c r="J24" s="1816"/>
      <c r="K24" s="1816"/>
      <c r="L24" s="1816"/>
      <c r="M24" s="1816"/>
      <c r="N24" s="1816"/>
      <c r="O24" s="1816"/>
      <c r="P24" s="1862"/>
      <c r="Q24" s="1851" t="s">
        <v>1097</v>
      </c>
      <c r="R24" s="1851"/>
      <c r="S24" s="1851"/>
      <c r="T24" s="1851"/>
      <c r="U24" s="1868" t="s">
        <v>1098</v>
      </c>
      <c r="V24" s="1868"/>
      <c r="W24" s="1868"/>
      <c r="X24" s="250" t="s">
        <v>1099</v>
      </c>
      <c r="Y24" s="251" t="s">
        <v>1073</v>
      </c>
      <c r="Z24" s="250" t="s">
        <v>1100</v>
      </c>
      <c r="AA24" s="137" t="s">
        <v>1101</v>
      </c>
      <c r="AB24" s="137"/>
      <c r="AC24" s="137"/>
      <c r="AD24" s="137"/>
      <c r="AE24" s="252"/>
      <c r="AF24" s="242"/>
    </row>
    <row r="25" spans="1:32" ht="17.25" customHeight="1">
      <c r="A25" s="240"/>
      <c r="B25" s="1858"/>
      <c r="C25" s="1851"/>
      <c r="D25" s="1851"/>
      <c r="E25" s="1851"/>
      <c r="F25" s="1863"/>
      <c r="G25" s="1864"/>
      <c r="H25" s="1864"/>
      <c r="I25" s="1864"/>
      <c r="J25" s="1864"/>
      <c r="K25" s="1864"/>
      <c r="L25" s="1864"/>
      <c r="M25" s="1864"/>
      <c r="N25" s="1864"/>
      <c r="O25" s="1864"/>
      <c r="P25" s="1865"/>
      <c r="Q25" s="1851"/>
      <c r="R25" s="1851"/>
      <c r="S25" s="1851"/>
      <c r="T25" s="1851"/>
      <c r="U25" s="1869"/>
      <c r="V25" s="1870"/>
      <c r="W25" s="1870"/>
      <c r="X25" s="1870"/>
      <c r="Y25" s="1870"/>
      <c r="Z25" s="1870"/>
      <c r="AA25" s="1870"/>
      <c r="AB25" s="1870"/>
      <c r="AC25" s="1870"/>
      <c r="AD25" s="1870"/>
      <c r="AE25" s="1871"/>
      <c r="AF25" s="242"/>
    </row>
    <row r="26" spans="1:32" ht="17.25" customHeight="1" thickBot="1">
      <c r="A26" s="240"/>
      <c r="B26" s="1859"/>
      <c r="C26" s="1860"/>
      <c r="D26" s="1860"/>
      <c r="E26" s="1860"/>
      <c r="F26" s="1866"/>
      <c r="G26" s="1817"/>
      <c r="H26" s="1817"/>
      <c r="I26" s="1817"/>
      <c r="J26" s="1817"/>
      <c r="K26" s="1817"/>
      <c r="L26" s="1817"/>
      <c r="M26" s="1817"/>
      <c r="N26" s="1817"/>
      <c r="O26" s="1817"/>
      <c r="P26" s="1867"/>
      <c r="Q26" s="1860"/>
      <c r="R26" s="1860"/>
      <c r="S26" s="1860"/>
      <c r="T26" s="1860"/>
      <c r="U26" s="1836"/>
      <c r="V26" s="1819"/>
      <c r="W26" s="1819"/>
      <c r="X26" s="1819"/>
      <c r="Y26" s="1819"/>
      <c r="Z26" s="1819"/>
      <c r="AA26" s="1819"/>
      <c r="AB26" s="1819"/>
      <c r="AC26" s="1819"/>
      <c r="AD26" s="1819"/>
      <c r="AE26" s="1821"/>
      <c r="AF26" s="242"/>
    </row>
    <row r="27" spans="1:32" ht="10.35" customHeight="1">
      <c r="A27" s="240"/>
      <c r="AF27" s="242"/>
    </row>
    <row r="28" spans="1:32" s="254" customFormat="1" ht="23.25" customHeight="1">
      <c r="A28" s="253"/>
      <c r="B28" s="254" t="s">
        <v>1102</v>
      </c>
      <c r="C28" s="254" t="s">
        <v>1103</v>
      </c>
      <c r="S28" s="1844" t="s">
        <v>1104</v>
      </c>
      <c r="T28" s="1844"/>
      <c r="U28" s="1844"/>
      <c r="V28" s="1844"/>
      <c r="W28" s="1844"/>
      <c r="X28" s="1844"/>
      <c r="Y28" s="1844"/>
      <c r="Z28" s="1844"/>
      <c r="AA28" s="1844"/>
      <c r="AB28" s="1844"/>
      <c r="AC28" s="1844"/>
      <c r="AF28" s="255"/>
    </row>
    <row r="29" spans="1:32" ht="10.35" customHeight="1">
      <c r="A29" s="240"/>
      <c r="AF29" s="242"/>
    </row>
    <row r="30" spans="1:32" ht="15.75" customHeight="1">
      <c r="A30" s="253"/>
      <c r="B30" s="1845" t="s">
        <v>1105</v>
      </c>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255"/>
    </row>
    <row r="31" spans="1:32" ht="10.35" customHeight="1" thickBot="1">
      <c r="A31" s="240"/>
      <c r="AF31" s="242"/>
    </row>
    <row r="32" spans="1:32" ht="18" customHeight="1">
      <c r="A32" s="240"/>
      <c r="B32" s="1846" t="s">
        <v>1106</v>
      </c>
      <c r="C32" s="1847"/>
      <c r="D32" s="1847" t="s">
        <v>1107</v>
      </c>
      <c r="E32" s="1847"/>
      <c r="F32" s="1847"/>
      <c r="G32" s="1847"/>
      <c r="H32" s="1847"/>
      <c r="I32" s="1847"/>
      <c r="J32" s="1847"/>
      <c r="K32" s="1847"/>
      <c r="L32" s="1850" t="s">
        <v>1108</v>
      </c>
      <c r="M32" s="1850"/>
      <c r="N32" s="1850"/>
      <c r="O32" s="1847" t="s">
        <v>1109</v>
      </c>
      <c r="P32" s="1847"/>
      <c r="Q32" s="1847"/>
      <c r="R32" s="1847"/>
      <c r="S32" s="1847"/>
      <c r="T32" s="1847"/>
      <c r="U32" s="1847"/>
      <c r="V32" s="1847"/>
      <c r="W32" s="1847" t="s">
        <v>1084</v>
      </c>
      <c r="X32" s="1847"/>
      <c r="Y32" s="1847"/>
      <c r="Z32" s="1847"/>
      <c r="AA32" s="1847"/>
      <c r="AB32" s="1847"/>
      <c r="AC32" s="1847"/>
      <c r="AD32" s="1847"/>
      <c r="AE32" s="1852"/>
      <c r="AF32" s="242"/>
    </row>
    <row r="33" spans="1:32" ht="18" customHeight="1">
      <c r="A33" s="240"/>
      <c r="B33" s="1848"/>
      <c r="C33" s="1849"/>
      <c r="D33" s="1849"/>
      <c r="E33" s="1849"/>
      <c r="F33" s="1849"/>
      <c r="G33" s="1849"/>
      <c r="H33" s="1849"/>
      <c r="I33" s="1849"/>
      <c r="J33" s="1849"/>
      <c r="K33" s="1849"/>
      <c r="L33" s="1851"/>
      <c r="M33" s="1851"/>
      <c r="N33" s="1851"/>
      <c r="O33" s="1849"/>
      <c r="P33" s="1849"/>
      <c r="Q33" s="1849"/>
      <c r="R33" s="1849"/>
      <c r="S33" s="1849"/>
      <c r="T33" s="1849"/>
      <c r="U33" s="1849"/>
      <c r="V33" s="1849"/>
      <c r="W33" s="1849"/>
      <c r="X33" s="1849"/>
      <c r="Y33" s="1849"/>
      <c r="Z33" s="1849"/>
      <c r="AA33" s="1849"/>
      <c r="AB33" s="1849"/>
      <c r="AC33" s="1849"/>
      <c r="AD33" s="1849"/>
      <c r="AE33" s="1853"/>
      <c r="AF33" s="242"/>
    </row>
    <row r="34" spans="1:32" ht="12" customHeight="1">
      <c r="A34" s="240"/>
      <c r="B34" s="1825" t="s">
        <v>1110</v>
      </c>
      <c r="C34" s="1826"/>
      <c r="D34" s="1829" t="s">
        <v>1111</v>
      </c>
      <c r="E34" s="1830"/>
      <c r="F34" s="1831"/>
      <c r="G34" s="1831"/>
      <c r="H34" s="1831"/>
      <c r="I34" s="1831"/>
      <c r="J34" s="1831"/>
      <c r="K34" s="1832"/>
      <c r="L34" s="1833"/>
      <c r="M34" s="1833"/>
      <c r="N34" s="1833"/>
      <c r="O34" s="1833"/>
      <c r="P34" s="1833"/>
      <c r="Q34" s="1833"/>
      <c r="R34" s="1833"/>
      <c r="S34" s="1833"/>
      <c r="T34" s="1833"/>
      <c r="U34" s="1833"/>
      <c r="V34" s="1833"/>
      <c r="W34" s="1835"/>
      <c r="X34" s="1818"/>
      <c r="Y34" s="1816" t="s">
        <v>789</v>
      </c>
      <c r="Z34" s="1818"/>
      <c r="AA34" s="1818"/>
      <c r="AB34" s="1816" t="s">
        <v>789</v>
      </c>
      <c r="AC34" s="1818"/>
      <c r="AD34" s="1818"/>
      <c r="AE34" s="1820"/>
      <c r="AF34" s="242"/>
    </row>
    <row r="35" spans="1:32" ht="24" customHeight="1">
      <c r="A35" s="240"/>
      <c r="B35" s="1825"/>
      <c r="C35" s="1826"/>
      <c r="D35" s="1841"/>
      <c r="E35" s="1842"/>
      <c r="F35" s="1842"/>
      <c r="G35" s="1842"/>
      <c r="H35" s="1842"/>
      <c r="I35" s="1842"/>
      <c r="J35" s="1842"/>
      <c r="K35" s="1843"/>
      <c r="L35" s="1833"/>
      <c r="M35" s="1833"/>
      <c r="N35" s="1833"/>
      <c r="O35" s="1833"/>
      <c r="P35" s="1833"/>
      <c r="Q35" s="1833"/>
      <c r="R35" s="1833"/>
      <c r="S35" s="1833"/>
      <c r="T35" s="1833"/>
      <c r="U35" s="1833"/>
      <c r="V35" s="1833"/>
      <c r="W35" s="1837"/>
      <c r="X35" s="1838"/>
      <c r="Y35" s="1839"/>
      <c r="Z35" s="1838"/>
      <c r="AA35" s="1838"/>
      <c r="AB35" s="1839"/>
      <c r="AC35" s="1838"/>
      <c r="AD35" s="1838"/>
      <c r="AE35" s="1840"/>
      <c r="AF35" s="242"/>
    </row>
    <row r="36" spans="1:32" ht="12" customHeight="1">
      <c r="A36" s="240"/>
      <c r="B36" s="1825" t="s">
        <v>1112</v>
      </c>
      <c r="C36" s="1826"/>
      <c r="D36" s="1829" t="s">
        <v>1111</v>
      </c>
      <c r="E36" s="1830"/>
      <c r="F36" s="1831"/>
      <c r="G36" s="1831"/>
      <c r="H36" s="1831"/>
      <c r="I36" s="1831"/>
      <c r="J36" s="1831"/>
      <c r="K36" s="1832"/>
      <c r="L36" s="1833"/>
      <c r="M36" s="1833"/>
      <c r="N36" s="1833"/>
      <c r="O36" s="1833"/>
      <c r="P36" s="1833"/>
      <c r="Q36" s="1833"/>
      <c r="R36" s="1833"/>
      <c r="S36" s="1833"/>
      <c r="T36" s="1833"/>
      <c r="U36" s="1833"/>
      <c r="V36" s="1833"/>
      <c r="W36" s="1835"/>
      <c r="X36" s="1818"/>
      <c r="Y36" s="1816" t="s">
        <v>789</v>
      </c>
      <c r="Z36" s="1818"/>
      <c r="AA36" s="1818"/>
      <c r="AB36" s="1816" t="s">
        <v>789</v>
      </c>
      <c r="AC36" s="1818"/>
      <c r="AD36" s="1818"/>
      <c r="AE36" s="1820"/>
      <c r="AF36" s="242"/>
    </row>
    <row r="37" spans="1:32" ht="24" customHeight="1">
      <c r="A37" s="240"/>
      <c r="B37" s="1825"/>
      <c r="C37" s="1826"/>
      <c r="D37" s="1841"/>
      <c r="E37" s="1842"/>
      <c r="F37" s="1842"/>
      <c r="G37" s="1842"/>
      <c r="H37" s="1842"/>
      <c r="I37" s="1842"/>
      <c r="J37" s="1842"/>
      <c r="K37" s="1843"/>
      <c r="L37" s="1833"/>
      <c r="M37" s="1833"/>
      <c r="N37" s="1833"/>
      <c r="O37" s="1833"/>
      <c r="P37" s="1833"/>
      <c r="Q37" s="1833"/>
      <c r="R37" s="1833"/>
      <c r="S37" s="1833"/>
      <c r="T37" s="1833"/>
      <c r="U37" s="1833"/>
      <c r="V37" s="1833"/>
      <c r="W37" s="1837"/>
      <c r="X37" s="1838"/>
      <c r="Y37" s="1839"/>
      <c r="Z37" s="1838"/>
      <c r="AA37" s="1838"/>
      <c r="AB37" s="1839"/>
      <c r="AC37" s="1838"/>
      <c r="AD37" s="1838"/>
      <c r="AE37" s="1840"/>
      <c r="AF37" s="242"/>
    </row>
    <row r="38" spans="1:32" ht="12" customHeight="1">
      <c r="A38" s="240"/>
      <c r="B38" s="1825" t="s">
        <v>1113</v>
      </c>
      <c r="C38" s="1826"/>
      <c r="D38" s="1829" t="s">
        <v>1111</v>
      </c>
      <c r="E38" s="1830"/>
      <c r="F38" s="1831"/>
      <c r="G38" s="1831"/>
      <c r="H38" s="1831"/>
      <c r="I38" s="1831"/>
      <c r="J38" s="1831"/>
      <c r="K38" s="1832"/>
      <c r="L38" s="1833"/>
      <c r="M38" s="1833"/>
      <c r="N38" s="1833"/>
      <c r="O38" s="1833"/>
      <c r="P38" s="1833"/>
      <c r="Q38" s="1833"/>
      <c r="R38" s="1833"/>
      <c r="S38" s="1833"/>
      <c r="T38" s="1833"/>
      <c r="U38" s="1833"/>
      <c r="V38" s="1833"/>
      <c r="W38" s="1835"/>
      <c r="X38" s="1818"/>
      <c r="Y38" s="1816" t="s">
        <v>789</v>
      </c>
      <c r="Z38" s="1818"/>
      <c r="AA38" s="1818"/>
      <c r="AB38" s="1816" t="s">
        <v>789</v>
      </c>
      <c r="AC38" s="1818"/>
      <c r="AD38" s="1818"/>
      <c r="AE38" s="1820"/>
      <c r="AF38" s="242"/>
    </row>
    <row r="39" spans="1:32" ht="24" customHeight="1" thickBot="1">
      <c r="A39" s="240"/>
      <c r="B39" s="1827"/>
      <c r="C39" s="1828"/>
      <c r="D39" s="1822"/>
      <c r="E39" s="1823"/>
      <c r="F39" s="1823"/>
      <c r="G39" s="1823"/>
      <c r="H39" s="1823"/>
      <c r="I39" s="1823"/>
      <c r="J39" s="1823"/>
      <c r="K39" s="1824"/>
      <c r="L39" s="1834"/>
      <c r="M39" s="1834"/>
      <c r="N39" s="1834"/>
      <c r="O39" s="1834"/>
      <c r="P39" s="1834"/>
      <c r="Q39" s="1834"/>
      <c r="R39" s="1834"/>
      <c r="S39" s="1834"/>
      <c r="T39" s="1834"/>
      <c r="U39" s="1834"/>
      <c r="V39" s="1834"/>
      <c r="W39" s="1836"/>
      <c r="X39" s="1819"/>
      <c r="Y39" s="1817"/>
      <c r="Z39" s="1819"/>
      <c r="AA39" s="1819"/>
      <c r="AB39" s="1817"/>
      <c r="AC39" s="1819"/>
      <c r="AD39" s="1819"/>
      <c r="AE39" s="1821"/>
      <c r="AF39" s="242"/>
    </row>
    <row r="40" spans="1:32" ht="10.35" customHeight="1">
      <c r="A40" s="240"/>
      <c r="AF40" s="242"/>
    </row>
    <row r="41" spans="1:32" ht="18" customHeight="1">
      <c r="A41" s="240"/>
      <c r="B41" s="1809"/>
      <c r="C41" s="1809"/>
      <c r="D41" s="1809"/>
      <c r="E41" s="1809"/>
      <c r="F41" s="1809"/>
      <c r="G41" s="1809"/>
      <c r="H41" s="1809"/>
      <c r="I41" s="1809"/>
      <c r="J41" s="1809"/>
      <c r="K41" s="1809"/>
      <c r="L41" s="1809"/>
      <c r="M41" s="1809"/>
      <c r="N41" s="1809"/>
      <c r="O41" s="1809"/>
      <c r="P41" s="1809"/>
      <c r="Q41" s="1809"/>
      <c r="R41" s="1809"/>
      <c r="S41" s="1809"/>
      <c r="T41" s="1809"/>
      <c r="U41" s="1809"/>
      <c r="V41" s="1809"/>
      <c r="W41" s="1809"/>
      <c r="X41" s="1809"/>
      <c r="Y41" s="1809"/>
      <c r="Z41" s="1809"/>
      <c r="AA41" s="1809"/>
      <c r="AB41" s="1809"/>
      <c r="AC41" s="1809"/>
      <c r="AD41" s="1809"/>
      <c r="AE41" s="1809"/>
      <c r="AF41" s="242"/>
    </row>
    <row r="42" spans="1:32" ht="18" customHeight="1">
      <c r="A42" s="240"/>
      <c r="B42" s="1809"/>
      <c r="C42" s="1809"/>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242"/>
    </row>
    <row r="43" spans="1:32" ht="18" customHeight="1">
      <c r="A43" s="240"/>
      <c r="B43" s="256" t="s">
        <v>1064</v>
      </c>
      <c r="C43" s="1810" t="s">
        <v>1114</v>
      </c>
      <c r="D43" s="1810"/>
      <c r="E43" s="1810"/>
      <c r="F43" s="1810"/>
      <c r="G43" s="1810"/>
      <c r="H43" s="1810"/>
      <c r="I43" s="1810"/>
      <c r="J43" s="1810"/>
      <c r="K43" s="1810"/>
      <c r="L43" s="1810"/>
      <c r="M43" s="1810"/>
      <c r="N43" s="1810"/>
      <c r="O43" s="1810"/>
      <c r="P43" s="1810"/>
      <c r="Q43" s="1810"/>
      <c r="R43" s="1810"/>
      <c r="S43" s="1810"/>
      <c r="T43" s="1810"/>
      <c r="U43" s="1810"/>
      <c r="V43" s="1810"/>
      <c r="W43" s="1810"/>
      <c r="X43" s="1810"/>
      <c r="Y43" s="1810"/>
      <c r="Z43" s="1810"/>
      <c r="AA43" s="1810"/>
      <c r="AB43" s="1810"/>
      <c r="AC43" s="1810"/>
      <c r="AD43" s="1810"/>
      <c r="AE43" s="1810"/>
      <c r="AF43" s="242"/>
    </row>
    <row r="44" spans="1:32" ht="15.75" customHeight="1">
      <c r="A44" s="240"/>
      <c r="B44" s="1811"/>
      <c r="C44" s="1811"/>
      <c r="D44" s="1811"/>
      <c r="E44" s="1811"/>
      <c r="F44" s="1811"/>
      <c r="G44" s="1811"/>
      <c r="H44" s="1811"/>
      <c r="I44" s="1811"/>
      <c r="J44" s="1811"/>
      <c r="K44" s="1811"/>
      <c r="L44" s="1811"/>
      <c r="M44" s="1811"/>
      <c r="N44" s="1811"/>
      <c r="O44" s="1811"/>
      <c r="P44" s="1811"/>
      <c r="Q44" s="1811"/>
      <c r="R44" s="1811"/>
      <c r="S44" s="1811"/>
      <c r="T44" s="1811"/>
      <c r="U44" s="1811"/>
      <c r="V44" s="1811"/>
      <c r="W44" s="1811"/>
      <c r="X44" s="1811"/>
      <c r="Y44" s="1811"/>
      <c r="Z44" s="1811"/>
      <c r="AA44" s="1811"/>
      <c r="AB44" s="1811"/>
      <c r="AC44" s="1811"/>
      <c r="AD44" s="1811"/>
      <c r="AE44" s="1811"/>
      <c r="AF44" s="242"/>
    </row>
    <row r="45" spans="1:32" ht="15.75" customHeight="1">
      <c r="A45" s="240"/>
      <c r="B45" s="1805" t="s">
        <v>1115</v>
      </c>
      <c r="C45" s="1806"/>
      <c r="D45" s="1806"/>
      <c r="E45" s="1806"/>
      <c r="F45" s="1806"/>
      <c r="G45" s="565"/>
      <c r="H45" s="1805" t="s">
        <v>1116</v>
      </c>
      <c r="I45" s="1806"/>
      <c r="J45" s="1803"/>
      <c r="K45" s="1812"/>
      <c r="L45" s="1813"/>
      <c r="M45" s="1806" t="s">
        <v>1078</v>
      </c>
      <c r="N45" s="1813"/>
      <c r="O45" s="1806" t="s">
        <v>1117</v>
      </c>
      <c r="P45" s="1813"/>
      <c r="Q45" s="1803" t="s">
        <v>888</v>
      </c>
      <c r="R45" s="1805" t="s">
        <v>1118</v>
      </c>
      <c r="S45" s="1806"/>
      <c r="T45" s="1803"/>
      <c r="U45" s="1805"/>
      <c r="V45" s="1806"/>
      <c r="W45" s="1803"/>
      <c r="X45" s="1805" t="s">
        <v>1119</v>
      </c>
      <c r="Y45" s="1806"/>
      <c r="Z45" s="1806"/>
      <c r="AA45" s="1806"/>
      <c r="AB45" s="1803"/>
      <c r="AC45" s="1805"/>
      <c r="AD45" s="1806"/>
      <c r="AE45" s="1803"/>
      <c r="AF45" s="242"/>
    </row>
    <row r="46" spans="1:32" ht="15.75" customHeight="1">
      <c r="A46" s="240"/>
      <c r="B46" s="1807"/>
      <c r="C46" s="1808"/>
      <c r="D46" s="1808"/>
      <c r="E46" s="1808"/>
      <c r="F46" s="1808"/>
      <c r="G46" s="566"/>
      <c r="H46" s="1807"/>
      <c r="I46" s="1808"/>
      <c r="J46" s="1804"/>
      <c r="K46" s="1814"/>
      <c r="L46" s="1815"/>
      <c r="M46" s="1808"/>
      <c r="N46" s="1815"/>
      <c r="O46" s="1808"/>
      <c r="P46" s="1815"/>
      <c r="Q46" s="1804"/>
      <c r="R46" s="1807"/>
      <c r="S46" s="1808"/>
      <c r="T46" s="1804"/>
      <c r="U46" s="1807"/>
      <c r="V46" s="1808"/>
      <c r="W46" s="1804"/>
      <c r="X46" s="1807"/>
      <c r="Y46" s="1808"/>
      <c r="Z46" s="1808"/>
      <c r="AA46" s="1808"/>
      <c r="AB46" s="1804"/>
      <c r="AC46" s="1807"/>
      <c r="AD46" s="1808"/>
      <c r="AE46" s="1804"/>
      <c r="AF46" s="242"/>
    </row>
    <row r="47" spans="1:32" ht="15.75" customHeight="1">
      <c r="A47" s="240"/>
      <c r="B47" s="1806"/>
      <c r="C47" s="1806"/>
      <c r="D47" s="1806"/>
      <c r="E47" s="1806"/>
      <c r="F47" s="1806"/>
      <c r="G47" s="1806"/>
      <c r="H47" s="1806"/>
      <c r="I47" s="1806"/>
      <c r="J47" s="1806"/>
      <c r="K47" s="1806"/>
      <c r="L47" s="1806"/>
      <c r="M47" s="1806"/>
      <c r="N47" s="1806"/>
      <c r="O47" s="1806"/>
      <c r="P47" s="1806"/>
      <c r="Q47" s="1806"/>
      <c r="R47" s="1806"/>
      <c r="S47" s="1806"/>
      <c r="T47" s="1806"/>
      <c r="U47" s="1806"/>
      <c r="V47" s="1806"/>
      <c r="W47" s="1806"/>
      <c r="X47" s="1806"/>
      <c r="Y47" s="1806"/>
      <c r="Z47" s="1806"/>
      <c r="AA47" s="1806"/>
      <c r="AB47" s="1806"/>
      <c r="AC47" s="1806"/>
      <c r="AD47" s="1806"/>
      <c r="AE47" s="1806"/>
      <c r="AF47" s="242"/>
    </row>
    <row r="48" spans="1:32" ht="15.75" customHeight="1">
      <c r="A48" s="240"/>
      <c r="B48" s="1800" t="str">
        <f>【マスター】!C7&amp;【マスター】!E7</f>
        <v>デイサービスさつきの湯</v>
      </c>
      <c r="C48" s="1800"/>
      <c r="D48" s="1800"/>
      <c r="E48" s="1800"/>
      <c r="F48" s="1800"/>
      <c r="G48" s="1800"/>
      <c r="H48" s="1800"/>
      <c r="I48" s="1800"/>
      <c r="J48" s="1800"/>
      <c r="K48" s="1800"/>
      <c r="L48" s="1800"/>
      <c r="M48" s="1800"/>
      <c r="N48" s="1800"/>
      <c r="O48" s="1800"/>
      <c r="P48" s="1800"/>
      <c r="Q48" s="1800"/>
      <c r="R48" s="1800"/>
      <c r="S48" s="1800"/>
      <c r="T48" s="1800"/>
      <c r="U48" s="1800"/>
      <c r="V48" s="1800"/>
      <c r="W48" s="1800"/>
      <c r="X48" s="1800"/>
      <c r="Y48" s="1800"/>
      <c r="Z48" s="1800"/>
      <c r="AA48" s="1800"/>
      <c r="AB48" s="1800"/>
      <c r="AC48" s="1800"/>
      <c r="AD48" s="1800"/>
      <c r="AE48" s="1800"/>
      <c r="AF48" s="242"/>
    </row>
    <row r="49" spans="1:32" ht="15.75" customHeight="1">
      <c r="A49" s="240"/>
      <c r="B49" s="1800"/>
      <c r="C49" s="1800"/>
      <c r="D49" s="1800"/>
      <c r="E49" s="1800"/>
      <c r="F49" s="1800"/>
      <c r="G49" s="1800"/>
      <c r="H49" s="1800"/>
      <c r="I49" s="1800"/>
      <c r="J49" s="1800"/>
      <c r="K49" s="1800"/>
      <c r="L49" s="1800"/>
      <c r="M49" s="1800"/>
      <c r="N49" s="1800"/>
      <c r="O49" s="1800"/>
      <c r="P49" s="1800"/>
      <c r="Q49" s="1800"/>
      <c r="R49" s="1800"/>
      <c r="S49" s="1800"/>
      <c r="T49" s="1800"/>
      <c r="U49" s="1800"/>
      <c r="V49" s="1800"/>
      <c r="W49" s="1800"/>
      <c r="X49" s="1800"/>
      <c r="Y49" s="1800"/>
      <c r="Z49" s="1800"/>
      <c r="AA49" s="1800"/>
      <c r="AB49" s="1800"/>
      <c r="AC49" s="1800"/>
      <c r="AD49" s="1800"/>
      <c r="AE49" s="1800"/>
      <c r="AF49" s="242"/>
    </row>
    <row r="50" spans="1:32" ht="15.75" customHeight="1">
      <c r="A50" s="240"/>
      <c r="B50" s="1801" t="str">
        <f>DBCS("☎:"&amp;【マスター】!C9)</f>
        <v>☎：０５３３－５６－７０８７</v>
      </c>
      <c r="C50" s="1801"/>
      <c r="D50" s="1801"/>
      <c r="E50" s="1801"/>
      <c r="F50" s="1801"/>
      <c r="G50" s="1801"/>
      <c r="H50" s="1801"/>
      <c r="I50" s="1801"/>
      <c r="J50" s="1801"/>
      <c r="K50" s="1801"/>
      <c r="L50" s="1801"/>
      <c r="M50" s="1801"/>
      <c r="N50" s="1801"/>
      <c r="O50" s="1801"/>
      <c r="P50" s="1801"/>
      <c r="Q50" s="1801"/>
      <c r="R50" s="1801"/>
      <c r="S50" s="1801"/>
      <c r="T50" s="1801"/>
      <c r="U50" s="1801"/>
      <c r="V50" s="1801"/>
      <c r="W50" s="1801"/>
      <c r="X50" s="1801"/>
      <c r="Y50" s="1801"/>
      <c r="Z50" s="1801"/>
      <c r="AA50" s="1801"/>
      <c r="AB50" s="1801"/>
      <c r="AC50" s="1801"/>
      <c r="AD50" s="1801"/>
      <c r="AE50" s="1801"/>
      <c r="AF50" s="242"/>
    </row>
    <row r="51" spans="1:32" ht="15.75" customHeight="1" thickBot="1">
      <c r="A51" s="257"/>
      <c r="B51" s="1802"/>
      <c r="C51" s="1802"/>
      <c r="D51" s="1802"/>
      <c r="E51" s="1802"/>
      <c r="F51" s="1802"/>
      <c r="G51" s="1802"/>
      <c r="H51" s="1802"/>
      <c r="I51" s="1802"/>
      <c r="J51" s="1802"/>
      <c r="K51" s="1802"/>
      <c r="L51" s="1802"/>
      <c r="M51" s="1802"/>
      <c r="N51" s="1802"/>
      <c r="O51" s="1802"/>
      <c r="P51" s="1802"/>
      <c r="Q51" s="1802"/>
      <c r="R51" s="1802"/>
      <c r="S51" s="1802"/>
      <c r="T51" s="1802"/>
      <c r="U51" s="1802"/>
      <c r="V51" s="1802"/>
      <c r="W51" s="1802"/>
      <c r="X51" s="1802"/>
      <c r="Y51" s="1802"/>
      <c r="Z51" s="1802"/>
      <c r="AA51" s="1802"/>
      <c r="AB51" s="1802"/>
      <c r="AC51" s="1802"/>
      <c r="AD51" s="1802"/>
      <c r="AE51" s="1802"/>
      <c r="AF51" s="258"/>
    </row>
    <row r="52" spans="1:32" ht="15.75" customHeight="1"/>
    <row r="53" spans="1:32" ht="15.75" customHeight="1"/>
    <row r="54" spans="1:32" ht="15.75" customHeight="1"/>
    <row r="55" spans="1:32" ht="15.75" customHeight="1"/>
    <row r="56" spans="1:32" ht="15.75" customHeight="1"/>
    <row r="57" spans="1:32" ht="15.75" customHeight="1"/>
    <row r="58" spans="1:32" ht="15.75" customHeight="1"/>
    <row r="59" spans="1:32" ht="15.75" customHeight="1"/>
    <row r="60" spans="1:32" ht="15.75" customHeight="1"/>
    <row r="61" spans="1:32" ht="15.75" customHeight="1"/>
  </sheetData>
  <sheetProtection formatCells="0" formatColumns="0" formatRows="0" insertHyperlinks="0" selectLockedCells="1"/>
  <mergeCells count="125">
    <mergeCell ref="B2:AE3"/>
    <mergeCell ref="T6:AE7"/>
    <mergeCell ref="B8:E10"/>
    <mergeCell ref="F8:Q8"/>
    <mergeCell ref="S8:U10"/>
    <mergeCell ref="V8:AB8"/>
    <mergeCell ref="AC8:AD8"/>
    <mergeCell ref="V9:AB10"/>
    <mergeCell ref="AC9:AD10"/>
    <mergeCell ref="F9:O10"/>
    <mergeCell ref="P9:Q10"/>
    <mergeCell ref="C5:AE5"/>
    <mergeCell ref="B11:E12"/>
    <mergeCell ref="F11:H12"/>
    <mergeCell ref="I11:I12"/>
    <mergeCell ref="J11:J12"/>
    <mergeCell ref="K11:K12"/>
    <mergeCell ref="L11:L12"/>
    <mergeCell ref="AB11:AB12"/>
    <mergeCell ref="AC11:AD12"/>
    <mergeCell ref="AE11:AE12"/>
    <mergeCell ref="V11:V12"/>
    <mergeCell ref="W11:W12"/>
    <mergeCell ref="X11:X12"/>
    <mergeCell ref="Y11:Y12"/>
    <mergeCell ref="Z11:Z12"/>
    <mergeCell ref="AA11:AA12"/>
    <mergeCell ref="M11:M12"/>
    <mergeCell ref="N11:N12"/>
    <mergeCell ref="O11:O12"/>
    <mergeCell ref="P11:Q12"/>
    <mergeCell ref="R11:R12"/>
    <mergeCell ref="S11:U12"/>
    <mergeCell ref="B20:E21"/>
    <mergeCell ref="F20:AE21"/>
    <mergeCell ref="AC13:AE14"/>
    <mergeCell ref="B15:E16"/>
    <mergeCell ref="F15:P16"/>
    <mergeCell ref="Q15:T16"/>
    <mergeCell ref="U15:AE15"/>
    <mergeCell ref="U16:V16"/>
    <mergeCell ref="B13:E14"/>
    <mergeCell ref="F13:R14"/>
    <mergeCell ref="S13:U14"/>
    <mergeCell ref="V13:W14"/>
    <mergeCell ref="X13:X14"/>
    <mergeCell ref="Y13:AA14"/>
    <mergeCell ref="AB13:AB14"/>
    <mergeCell ref="B17:E19"/>
    <mergeCell ref="F17:P19"/>
    <mergeCell ref="Q17:T19"/>
    <mergeCell ref="U17:AE17"/>
    <mergeCell ref="U18:AE19"/>
    <mergeCell ref="S28:AC28"/>
    <mergeCell ref="B30:AE30"/>
    <mergeCell ref="B32:C33"/>
    <mergeCell ref="D32:K33"/>
    <mergeCell ref="L32:N33"/>
    <mergeCell ref="O32:V33"/>
    <mergeCell ref="W32:AE33"/>
    <mergeCell ref="AB22:AB23"/>
    <mergeCell ref="AC22:AE23"/>
    <mergeCell ref="B24:E26"/>
    <mergeCell ref="F24:P26"/>
    <mergeCell ref="Q24:T26"/>
    <mergeCell ref="U24:W24"/>
    <mergeCell ref="U25:AE26"/>
    <mergeCell ref="B22:E23"/>
    <mergeCell ref="F22:P23"/>
    <mergeCell ref="Q22:T23"/>
    <mergeCell ref="U22:W23"/>
    <mergeCell ref="X22:X23"/>
    <mergeCell ref="Y22:AA23"/>
    <mergeCell ref="B36:C37"/>
    <mergeCell ref="D36:E36"/>
    <mergeCell ref="F36:K36"/>
    <mergeCell ref="L36:N37"/>
    <mergeCell ref="O36:V37"/>
    <mergeCell ref="B34:C35"/>
    <mergeCell ref="D34:E34"/>
    <mergeCell ref="F34:K34"/>
    <mergeCell ref="L34:N35"/>
    <mergeCell ref="O34:V35"/>
    <mergeCell ref="W36:X37"/>
    <mergeCell ref="Y36:Y37"/>
    <mergeCell ref="Z36:AA37"/>
    <mergeCell ref="AB36:AB37"/>
    <mergeCell ref="AC36:AE37"/>
    <mergeCell ref="D37:K37"/>
    <mergeCell ref="Y34:Y35"/>
    <mergeCell ref="Z34:AA35"/>
    <mergeCell ref="AB34:AB35"/>
    <mergeCell ref="AC34:AE35"/>
    <mergeCell ref="D35:K35"/>
    <mergeCell ref="W34:X35"/>
    <mergeCell ref="Y38:Y39"/>
    <mergeCell ref="Z38:AA39"/>
    <mergeCell ref="AB38:AB39"/>
    <mergeCell ref="AC38:AE39"/>
    <mergeCell ref="D39:K39"/>
    <mergeCell ref="B41:AE41"/>
    <mergeCell ref="B38:C39"/>
    <mergeCell ref="D38:E38"/>
    <mergeCell ref="F38:K38"/>
    <mergeCell ref="L38:N39"/>
    <mergeCell ref="O38:V39"/>
    <mergeCell ref="W38:X39"/>
    <mergeCell ref="B48:AE49"/>
    <mergeCell ref="B50:AE51"/>
    <mergeCell ref="Q45:Q46"/>
    <mergeCell ref="R45:T46"/>
    <mergeCell ref="U45:W46"/>
    <mergeCell ref="X45:AB46"/>
    <mergeCell ref="AC45:AE46"/>
    <mergeCell ref="B47:AE47"/>
    <mergeCell ref="B42:AE42"/>
    <mergeCell ref="C43:AE43"/>
    <mergeCell ref="B44:AE44"/>
    <mergeCell ref="B45:F46"/>
    <mergeCell ref="H45:J46"/>
    <mergeCell ref="K45:L46"/>
    <mergeCell ref="M45:M46"/>
    <mergeCell ref="N45:N46"/>
    <mergeCell ref="O45:O46"/>
    <mergeCell ref="P45:P46"/>
  </mergeCells>
  <phoneticPr fontId="17"/>
  <printOptions horizontalCentered="1" verticalCentered="1"/>
  <pageMargins left="0.70866141732283472" right="0.70866141732283472" top="0.55118110236220474" bottom="0.55118110236220474" header="0.31496062992125984" footer="0.31496062992125984"/>
  <pageSetup paperSize="9" scale="91" fitToHeight="0" orientation="portrait" horizontalDpi="4294967293" r:id="rId1"/>
  <headerFooter>
    <oddFooter>&amp;L【通所介護_BMC】</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FDD0C7"/>
  </sheetPr>
  <dimension ref="A1:X63"/>
  <sheetViews>
    <sheetView workbookViewId="0"/>
  </sheetViews>
  <sheetFormatPr defaultColWidth="9" defaultRowHeight="14.25"/>
  <cols>
    <col min="1" max="20" width="4.625" style="66" customWidth="1"/>
    <col min="21" max="21" width="17.125" style="6" customWidth="1"/>
    <col min="22" max="22" width="16.125" style="6" bestFit="1" customWidth="1"/>
    <col min="23" max="23" width="7.5" style="6" bestFit="1" customWidth="1"/>
    <col min="24" max="24" width="35.875" style="6" customWidth="1"/>
    <col min="25" max="25" width="9" style="66" customWidth="1"/>
    <col min="26" max="16384" width="9" style="66"/>
  </cols>
  <sheetData>
    <row r="1" spans="1:24">
      <c r="T1" s="67" t="s">
        <v>1120</v>
      </c>
    </row>
    <row r="2" spans="1:24" ht="15" customHeight="1">
      <c r="A2" s="1988" t="s">
        <v>1121</v>
      </c>
      <c r="B2" s="1989"/>
      <c r="C2" s="1989"/>
      <c r="D2" s="1989"/>
      <c r="E2" s="1989"/>
      <c r="F2" s="1989"/>
      <c r="G2" s="1989"/>
      <c r="H2" s="1989"/>
      <c r="I2" s="1989"/>
      <c r="J2" s="1989"/>
      <c r="K2" s="1989"/>
      <c r="L2" s="1989"/>
      <c r="M2" s="1989"/>
      <c r="N2" s="1989"/>
      <c r="O2" s="1989"/>
      <c r="P2" s="1989"/>
      <c r="Q2" s="1989"/>
      <c r="R2" s="1989"/>
      <c r="S2" s="1989"/>
      <c r="T2" s="1989"/>
    </row>
    <row r="3" spans="1:24" ht="15" customHeight="1">
      <c r="A3" s="1988"/>
      <c r="B3" s="1989"/>
      <c r="C3" s="1989"/>
      <c r="D3" s="1989"/>
      <c r="E3" s="1989"/>
      <c r="F3" s="1989"/>
      <c r="G3" s="1989"/>
      <c r="H3" s="1989"/>
      <c r="I3" s="1989"/>
      <c r="J3" s="1989"/>
      <c r="K3" s="1989"/>
      <c r="L3" s="1989"/>
      <c r="M3" s="1989"/>
      <c r="N3" s="1989"/>
      <c r="O3" s="1989"/>
      <c r="P3" s="1989"/>
      <c r="Q3" s="1989"/>
      <c r="R3" s="1989"/>
      <c r="S3" s="1989"/>
      <c r="T3" s="1989"/>
    </row>
    <row r="4" spans="1:24" ht="15" customHeight="1">
      <c r="A4" s="1990"/>
      <c r="B4" s="1990"/>
      <c r="C4" s="1990"/>
      <c r="D4" s="1990"/>
      <c r="E4" s="1990"/>
      <c r="F4" s="1990"/>
      <c r="G4" s="1990"/>
      <c r="H4" s="1990"/>
      <c r="I4" s="1990"/>
      <c r="J4" s="1992" t="s">
        <v>1072</v>
      </c>
      <c r="K4" s="13"/>
      <c r="L4" s="13"/>
      <c r="M4" s="13"/>
      <c r="N4" s="1994"/>
      <c r="O4" s="1994"/>
      <c r="P4" s="1996" t="s">
        <v>67</v>
      </c>
      <c r="Q4" s="1998"/>
      <c r="R4" s="1998"/>
      <c r="S4" s="1996" t="s">
        <v>1122</v>
      </c>
      <c r="T4" s="1996"/>
      <c r="U4" s="63"/>
    </row>
    <row r="5" spans="1:24" ht="15" customHeight="1">
      <c r="A5" s="1990"/>
      <c r="B5" s="1990"/>
      <c r="C5" s="1990"/>
      <c r="D5" s="1990"/>
      <c r="E5" s="1990"/>
      <c r="F5" s="1990"/>
      <c r="G5" s="1990"/>
      <c r="H5" s="1990"/>
      <c r="I5" s="1990"/>
      <c r="J5" s="1992"/>
      <c r="K5" s="13"/>
      <c r="L5" s="13"/>
      <c r="M5" s="13"/>
      <c r="N5" s="1994"/>
      <c r="O5" s="1994"/>
      <c r="P5" s="1996"/>
      <c r="Q5" s="1998"/>
      <c r="R5" s="1998"/>
      <c r="S5" s="1996"/>
      <c r="T5" s="1996"/>
      <c r="U5" s="63"/>
    </row>
    <row r="6" spans="1:24" ht="15" customHeight="1">
      <c r="A6" s="1991"/>
      <c r="B6" s="1991"/>
      <c r="C6" s="1991"/>
      <c r="D6" s="1991"/>
      <c r="E6" s="1991"/>
      <c r="F6" s="1991"/>
      <c r="G6" s="1991"/>
      <c r="H6" s="1991"/>
      <c r="I6" s="1991"/>
      <c r="J6" s="1993"/>
      <c r="K6" s="13"/>
      <c r="L6" s="13"/>
      <c r="M6" s="13"/>
      <c r="N6" s="1995"/>
      <c r="O6" s="1995"/>
      <c r="P6" s="1997"/>
      <c r="Q6" s="1999"/>
      <c r="R6" s="1999"/>
      <c r="S6" s="1997"/>
      <c r="T6" s="1997"/>
      <c r="W6" s="7"/>
    </row>
    <row r="7" spans="1:24" ht="15" customHeight="1" thickBot="1">
      <c r="A7" s="8"/>
      <c r="B7" s="8"/>
      <c r="C7" s="8"/>
      <c r="D7" s="8"/>
      <c r="E7" s="8"/>
      <c r="F7" s="8"/>
      <c r="G7" s="8"/>
      <c r="H7" s="8"/>
      <c r="I7" s="8"/>
      <c r="J7" s="8"/>
      <c r="K7" s="13"/>
      <c r="L7" s="13"/>
      <c r="M7" s="13"/>
      <c r="N7" s="13"/>
      <c r="O7" s="13"/>
      <c r="P7" s="13"/>
      <c r="Q7" s="68"/>
      <c r="R7" s="69"/>
      <c r="S7" s="68"/>
      <c r="T7" s="68"/>
      <c r="W7" s="7"/>
    </row>
    <row r="8" spans="1:24" ht="15" customHeight="1">
      <c r="A8" s="7" t="s">
        <v>1123</v>
      </c>
      <c r="B8" s="12"/>
      <c r="C8" s="12"/>
      <c r="D8" s="12"/>
      <c r="E8" s="12"/>
      <c r="F8" s="12"/>
      <c r="G8" s="7"/>
      <c r="H8" s="7"/>
      <c r="I8" s="7"/>
      <c r="J8" s="7"/>
      <c r="K8" s="7"/>
      <c r="M8" s="1962" t="s">
        <v>1124</v>
      </c>
      <c r="N8" s="1963"/>
      <c r="O8" s="1963"/>
      <c r="P8" s="1964"/>
      <c r="Q8" s="1968" t="s">
        <v>1125</v>
      </c>
      <c r="R8" s="1969"/>
      <c r="S8" s="1969"/>
      <c r="T8" s="1970"/>
      <c r="W8" s="66"/>
      <c r="X8" s="66"/>
    </row>
    <row r="9" spans="1:24" ht="15" customHeight="1" thickBot="1">
      <c r="A9" s="7"/>
      <c r="B9" s="12"/>
      <c r="C9" s="12"/>
      <c r="D9" s="12"/>
      <c r="E9" s="12"/>
      <c r="F9" s="12"/>
      <c r="G9" s="7"/>
      <c r="H9" s="7"/>
      <c r="I9" s="7"/>
      <c r="J9" s="7"/>
      <c r="M9" s="1965"/>
      <c r="N9" s="1966"/>
      <c r="O9" s="1966"/>
      <c r="P9" s="1967"/>
      <c r="Q9" s="1971"/>
      <c r="R9" s="1972"/>
      <c r="S9" s="1972"/>
      <c r="T9" s="1973"/>
      <c r="W9" s="66"/>
      <c r="X9" s="66"/>
    </row>
    <row r="10" spans="1:24" ht="15" customHeight="1">
      <c r="A10" s="18"/>
      <c r="B10" s="18"/>
      <c r="C10" s="18"/>
      <c r="D10" s="18"/>
      <c r="E10" s="18"/>
      <c r="F10" s="18"/>
      <c r="G10" s="18"/>
      <c r="H10" s="18"/>
      <c r="I10" s="18"/>
      <c r="J10" s="7"/>
      <c r="K10" s="65"/>
      <c r="L10" s="65"/>
      <c r="M10" s="65"/>
      <c r="N10" s="65"/>
      <c r="O10" s="65"/>
      <c r="P10" s="65"/>
      <c r="Q10" s="65"/>
      <c r="R10" s="65"/>
      <c r="S10" s="65"/>
      <c r="T10" s="65"/>
      <c r="U10" s="3" t="s">
        <v>203</v>
      </c>
      <c r="V10" s="6" t="s">
        <v>220</v>
      </c>
      <c r="W10" s="6">
        <v>1.9E-2</v>
      </c>
      <c r="X10" s="10" t="s">
        <v>1126</v>
      </c>
    </row>
    <row r="11" spans="1:24" ht="15" customHeight="1">
      <c r="A11" s="1974" t="s">
        <v>1127</v>
      </c>
      <c r="B11" s="1974"/>
      <c r="C11" s="1974"/>
      <c r="D11" s="1974"/>
      <c r="E11" s="1974"/>
      <c r="F11" s="1975" t="e">
        <f>VLOOKUP(#REF!,U10:X12,2,FALSE)</f>
        <v>#REF!</v>
      </c>
      <c r="G11" s="1975"/>
      <c r="H11" s="1975"/>
      <c r="I11" s="1975"/>
      <c r="K11" s="1962" t="s">
        <v>1128</v>
      </c>
      <c r="L11" s="1963"/>
      <c r="M11" s="1963"/>
      <c r="N11" s="1964"/>
      <c r="O11" s="1976" t="e">
        <f>#REF!</f>
        <v>#REF!</v>
      </c>
      <c r="P11" s="1977"/>
      <c r="Q11" s="1978"/>
      <c r="R11" s="1982" t="e">
        <f>#REF!</f>
        <v>#REF!</v>
      </c>
      <c r="S11" s="1983"/>
      <c r="T11" s="1984"/>
      <c r="U11" s="3" t="s">
        <v>210</v>
      </c>
      <c r="V11" s="6" t="s">
        <v>224</v>
      </c>
      <c r="W11" s="6">
        <v>1.7000000000000001E-2</v>
      </c>
      <c r="X11" s="10" t="s">
        <v>1129</v>
      </c>
    </row>
    <row r="12" spans="1:24" ht="15" customHeight="1">
      <c r="A12" s="1974"/>
      <c r="B12" s="1974"/>
      <c r="C12" s="1974"/>
      <c r="D12" s="1974"/>
      <c r="E12" s="1974"/>
      <c r="F12" s="1975"/>
      <c r="G12" s="1975"/>
      <c r="H12" s="1975"/>
      <c r="I12" s="1975"/>
      <c r="K12" s="1965"/>
      <c r="L12" s="1966"/>
      <c r="M12" s="1966"/>
      <c r="N12" s="1967"/>
      <c r="O12" s="1979"/>
      <c r="P12" s="1980"/>
      <c r="Q12" s="1981"/>
      <c r="R12" s="1985"/>
      <c r="S12" s="1986"/>
      <c r="T12" s="1987"/>
      <c r="U12" s="15" t="s">
        <v>1130</v>
      </c>
      <c r="V12" s="6" t="s">
        <v>236</v>
      </c>
      <c r="W12" s="6">
        <v>1.4999999999999999E-2</v>
      </c>
      <c r="X12" s="10" t="s">
        <v>1131</v>
      </c>
    </row>
    <row r="13" spans="1:24" ht="15" customHeight="1">
      <c r="L13" s="8"/>
      <c r="M13" s="8"/>
      <c r="N13" s="8"/>
      <c r="O13" s="8"/>
      <c r="P13" s="8"/>
      <c r="U13" s="64" t="s">
        <v>1132</v>
      </c>
      <c r="V13" s="11" t="s">
        <v>1133</v>
      </c>
      <c r="W13" s="62" t="s">
        <v>766</v>
      </c>
      <c r="X13" s="62" t="s">
        <v>1134</v>
      </c>
    </row>
    <row r="14" spans="1:24" ht="15" customHeight="1">
      <c r="A14" s="2008" t="s">
        <v>1135</v>
      </c>
      <c r="B14" s="2008"/>
      <c r="C14" s="2008"/>
      <c r="D14" s="2008"/>
      <c r="E14" s="2008"/>
      <c r="F14" s="2009"/>
      <c r="G14" s="2010"/>
      <c r="H14" s="2013" t="s">
        <v>827</v>
      </c>
      <c r="I14" s="2014"/>
      <c r="K14" s="1962" t="s">
        <v>1136</v>
      </c>
      <c r="L14" s="1963"/>
      <c r="M14" s="1963"/>
      <c r="N14" s="1964"/>
      <c r="O14" s="2021" t="s">
        <v>801</v>
      </c>
      <c r="P14" s="2024">
        <f>F14*E56</f>
        <v>0</v>
      </c>
      <c r="Q14" s="2025"/>
      <c r="R14" s="2025"/>
      <c r="S14" s="2000" t="s">
        <v>1137</v>
      </c>
      <c r="T14" s="2001"/>
      <c r="V14" s="62" t="s">
        <v>1138</v>
      </c>
      <c r="W14" s="62">
        <v>815</v>
      </c>
      <c r="X14" s="62" t="s">
        <v>1139</v>
      </c>
    </row>
    <row r="15" spans="1:24" ht="15" customHeight="1">
      <c r="A15" s="2008"/>
      <c r="B15" s="2008"/>
      <c r="C15" s="2008"/>
      <c r="D15" s="2008"/>
      <c r="E15" s="2008"/>
      <c r="F15" s="2011"/>
      <c r="G15" s="2012"/>
      <c r="H15" s="2015"/>
      <c r="I15" s="2016"/>
      <c r="K15" s="2004" t="str">
        <f>E56&amp;"単位"</f>
        <v>1108単位</v>
      </c>
      <c r="L15" s="2005"/>
      <c r="M15" s="2006" t="s">
        <v>1140</v>
      </c>
      <c r="N15" s="2007"/>
      <c r="O15" s="2022"/>
      <c r="P15" s="2019"/>
      <c r="Q15" s="2020"/>
      <c r="R15" s="2020"/>
      <c r="S15" s="2002"/>
      <c r="T15" s="2003"/>
      <c r="V15" s="62" t="s">
        <v>1141</v>
      </c>
      <c r="W15" s="62">
        <v>958</v>
      </c>
      <c r="X15" s="62" t="s">
        <v>1142</v>
      </c>
    </row>
    <row r="16" spans="1:24" ht="15" customHeight="1">
      <c r="A16" s="2008" t="s">
        <v>1143</v>
      </c>
      <c r="B16" s="2008"/>
      <c r="C16" s="2008"/>
      <c r="D16" s="2008"/>
      <c r="E16" s="2008"/>
      <c r="F16" s="2009"/>
      <c r="G16" s="2010"/>
      <c r="H16" s="2013" t="s">
        <v>827</v>
      </c>
      <c r="I16" s="2014"/>
      <c r="K16" s="1962" t="s">
        <v>1136</v>
      </c>
      <c r="L16" s="1963"/>
      <c r="M16" s="1963"/>
      <c r="N16" s="1964"/>
      <c r="O16" s="2022"/>
      <c r="P16" s="2017">
        <f>F16*I56</f>
        <v>0</v>
      </c>
      <c r="Q16" s="2018"/>
      <c r="R16" s="2018"/>
      <c r="S16" s="2002" t="s">
        <v>1137</v>
      </c>
      <c r="T16" s="2003"/>
      <c r="V16" s="62" t="s">
        <v>1125</v>
      </c>
      <c r="W16" s="62">
        <v>1108</v>
      </c>
      <c r="X16" s="62" t="s">
        <v>1144</v>
      </c>
    </row>
    <row r="17" spans="1:24" ht="15" customHeight="1">
      <c r="A17" s="2008"/>
      <c r="B17" s="2008"/>
      <c r="C17" s="2008"/>
      <c r="D17" s="2008"/>
      <c r="E17" s="2008"/>
      <c r="F17" s="2011"/>
      <c r="G17" s="2012"/>
      <c r="H17" s="2015"/>
      <c r="I17" s="2016"/>
      <c r="K17" s="2004" t="str">
        <f>I56&amp;"単位"</f>
        <v>957単位</v>
      </c>
      <c r="L17" s="2005"/>
      <c r="M17" s="2006" t="s">
        <v>1140</v>
      </c>
      <c r="N17" s="2007"/>
      <c r="O17" s="2022"/>
      <c r="P17" s="2019"/>
      <c r="Q17" s="2020"/>
      <c r="R17" s="2020"/>
      <c r="S17" s="2002"/>
      <c r="T17" s="2003"/>
      <c r="V17" s="62" t="s">
        <v>1145</v>
      </c>
      <c r="W17" s="62">
        <v>1257</v>
      </c>
      <c r="X17" s="62" t="s">
        <v>1146</v>
      </c>
    </row>
    <row r="18" spans="1:24" ht="15" customHeight="1">
      <c r="A18" s="2008" t="s">
        <v>1147</v>
      </c>
      <c r="B18" s="2008"/>
      <c r="C18" s="2008"/>
      <c r="D18" s="2008"/>
      <c r="E18" s="2008"/>
      <c r="F18" s="2009"/>
      <c r="G18" s="2010"/>
      <c r="H18" s="2013" t="s">
        <v>827</v>
      </c>
      <c r="I18" s="2014"/>
      <c r="K18" s="1962" t="s">
        <v>1136</v>
      </c>
      <c r="L18" s="1963"/>
      <c r="M18" s="1963"/>
      <c r="N18" s="1964"/>
      <c r="O18" s="2022"/>
      <c r="P18" s="2017">
        <f>M56*F18</f>
        <v>0</v>
      </c>
      <c r="Q18" s="2018"/>
      <c r="R18" s="2018"/>
      <c r="S18" s="2002" t="s">
        <v>1137</v>
      </c>
      <c r="T18" s="2003"/>
      <c r="V18" s="62" t="s">
        <v>1148</v>
      </c>
      <c r="W18" s="62">
        <v>1405</v>
      </c>
      <c r="X18" s="62" t="s">
        <v>1149</v>
      </c>
    </row>
    <row r="19" spans="1:24" ht="15" customHeight="1">
      <c r="A19" s="2008"/>
      <c r="B19" s="2008"/>
      <c r="C19" s="2008"/>
      <c r="D19" s="2008"/>
      <c r="E19" s="2008"/>
      <c r="F19" s="2011"/>
      <c r="G19" s="2012"/>
      <c r="H19" s="2015"/>
      <c r="I19" s="2016"/>
      <c r="K19" s="2004" t="str">
        <f>M56&amp;"単位"</f>
        <v>600単位</v>
      </c>
      <c r="L19" s="2005"/>
      <c r="M19" s="2006" t="s">
        <v>1140</v>
      </c>
      <c r="N19" s="2007"/>
      <c r="O19" s="2022"/>
      <c r="P19" s="2019"/>
      <c r="Q19" s="2020"/>
      <c r="R19" s="2020"/>
      <c r="S19" s="2002"/>
      <c r="T19" s="2003"/>
    </row>
    <row r="20" spans="1:24" ht="15" customHeight="1">
      <c r="A20" s="2008" t="s">
        <v>1150</v>
      </c>
      <c r="B20" s="2008"/>
      <c r="C20" s="2008"/>
      <c r="D20" s="2008"/>
      <c r="E20" s="2008"/>
      <c r="F20" s="2009"/>
      <c r="G20" s="2010"/>
      <c r="H20" s="2013" t="s">
        <v>827</v>
      </c>
      <c r="I20" s="2014"/>
      <c r="K20" s="1962" t="s">
        <v>1136</v>
      </c>
      <c r="L20" s="1963"/>
      <c r="M20" s="1963"/>
      <c r="N20" s="1964"/>
      <c r="O20" s="2022"/>
      <c r="P20" s="2017">
        <f>F20*Q56</f>
        <v>0</v>
      </c>
      <c r="Q20" s="2018"/>
      <c r="R20" s="2018"/>
      <c r="S20" s="2002" t="s">
        <v>1137</v>
      </c>
      <c r="T20" s="2003"/>
      <c r="U20" s="64" t="s">
        <v>1151</v>
      </c>
      <c r="V20" s="11" t="s">
        <v>1133</v>
      </c>
      <c r="W20" s="62" t="s">
        <v>766</v>
      </c>
      <c r="X20" s="62" t="s">
        <v>1134</v>
      </c>
    </row>
    <row r="21" spans="1:24" ht="15" customHeight="1">
      <c r="A21" s="2008"/>
      <c r="B21" s="2008"/>
      <c r="C21" s="2008"/>
      <c r="D21" s="2008"/>
      <c r="E21" s="2008"/>
      <c r="F21" s="2011"/>
      <c r="G21" s="2012"/>
      <c r="H21" s="2015"/>
      <c r="I21" s="2016"/>
      <c r="K21" s="2004" t="str">
        <f>Q56&amp;"単位"</f>
        <v>420単位</v>
      </c>
      <c r="L21" s="2005"/>
      <c r="M21" s="2006" t="s">
        <v>1140</v>
      </c>
      <c r="N21" s="2007"/>
      <c r="O21" s="2023"/>
      <c r="P21" s="2019"/>
      <c r="Q21" s="2020"/>
      <c r="R21" s="2020"/>
      <c r="S21" s="2002"/>
      <c r="T21" s="2003"/>
      <c r="V21" s="62" t="s">
        <v>1138</v>
      </c>
      <c r="W21" s="62">
        <v>705</v>
      </c>
      <c r="X21" s="62" t="s">
        <v>1152</v>
      </c>
    </row>
    <row r="22" spans="1:24" ht="15" customHeight="1">
      <c r="A22" s="2008" t="s">
        <v>1153</v>
      </c>
      <c r="B22" s="2008"/>
      <c r="C22" s="2008"/>
      <c r="D22" s="2008"/>
      <c r="E22" s="2008"/>
      <c r="F22" s="2009">
        <v>3</v>
      </c>
      <c r="G22" s="2010"/>
      <c r="H22" s="2013" t="s">
        <v>827</v>
      </c>
      <c r="I22" s="2014"/>
      <c r="K22" s="2045" t="s">
        <v>1154</v>
      </c>
      <c r="L22" s="2046"/>
      <c r="M22" s="2046"/>
      <c r="N22" s="2047"/>
      <c r="O22" s="2048" t="s">
        <v>802</v>
      </c>
      <c r="P22" s="2017">
        <f>F22*K23</f>
        <v>150</v>
      </c>
      <c r="Q22" s="2018"/>
      <c r="R22" s="2018"/>
      <c r="S22" s="2002" t="s">
        <v>1137</v>
      </c>
      <c r="T22" s="2003"/>
      <c r="V22" s="62" t="s">
        <v>1141</v>
      </c>
      <c r="W22" s="62">
        <v>831</v>
      </c>
      <c r="X22" s="62" t="s">
        <v>1155</v>
      </c>
    </row>
    <row r="23" spans="1:24" ht="15" customHeight="1">
      <c r="A23" s="2008"/>
      <c r="B23" s="2008"/>
      <c r="C23" s="2008"/>
      <c r="D23" s="2008"/>
      <c r="E23" s="2008"/>
      <c r="F23" s="2060"/>
      <c r="G23" s="2061"/>
      <c r="H23" s="2062"/>
      <c r="I23" s="2063"/>
      <c r="K23" s="2042">
        <v>50</v>
      </c>
      <c r="L23" s="2043"/>
      <c r="M23" s="2006" t="s">
        <v>1140</v>
      </c>
      <c r="N23" s="2007"/>
      <c r="O23" s="2064"/>
      <c r="P23" s="2019"/>
      <c r="Q23" s="2020"/>
      <c r="R23" s="2020"/>
      <c r="S23" s="2002"/>
      <c r="T23" s="2003"/>
      <c r="V23" s="62" t="s">
        <v>1125</v>
      </c>
      <c r="W23" s="62">
        <v>957</v>
      </c>
      <c r="X23" s="62" t="s">
        <v>1156</v>
      </c>
    </row>
    <row r="24" spans="1:24" ht="15" customHeight="1">
      <c r="A24" s="2044" t="s">
        <v>1157</v>
      </c>
      <c r="B24" s="2044"/>
      <c r="C24" s="2044"/>
      <c r="D24" s="2044"/>
      <c r="E24" s="2044"/>
      <c r="F24" s="2009">
        <v>0</v>
      </c>
      <c r="G24" s="2010"/>
      <c r="H24" s="2013" t="s">
        <v>827</v>
      </c>
      <c r="I24" s="2014"/>
      <c r="K24" s="2045" t="s">
        <v>1158</v>
      </c>
      <c r="L24" s="2046"/>
      <c r="M24" s="2046"/>
      <c r="N24" s="2047"/>
      <c r="O24" s="2048" t="s">
        <v>803</v>
      </c>
      <c r="P24" s="2050">
        <f>-F24*94</f>
        <v>0</v>
      </c>
      <c r="Q24" s="2051"/>
      <c r="R24" s="2051"/>
      <c r="S24" s="2002" t="s">
        <v>1137</v>
      </c>
      <c r="T24" s="2003"/>
      <c r="V24" s="62" t="s">
        <v>1145</v>
      </c>
      <c r="W24" s="62">
        <v>1082</v>
      </c>
      <c r="X24" s="62" t="s">
        <v>1159</v>
      </c>
    </row>
    <row r="25" spans="1:24" ht="15" customHeight="1" thickBot="1">
      <c r="A25" s="2044"/>
      <c r="B25" s="2044"/>
      <c r="C25" s="2044"/>
      <c r="D25" s="2044"/>
      <c r="E25" s="2044"/>
      <c r="F25" s="2011"/>
      <c r="G25" s="2012"/>
      <c r="H25" s="2015"/>
      <c r="I25" s="2016"/>
      <c r="K25" s="2056">
        <v>-94</v>
      </c>
      <c r="L25" s="2057"/>
      <c r="M25" s="2058" t="s">
        <v>1140</v>
      </c>
      <c r="N25" s="2059"/>
      <c r="O25" s="2049"/>
      <c r="P25" s="2052"/>
      <c r="Q25" s="2053"/>
      <c r="R25" s="2053"/>
      <c r="S25" s="2054"/>
      <c r="T25" s="2055"/>
      <c r="V25" s="62" t="s">
        <v>1148</v>
      </c>
      <c r="W25" s="62">
        <v>1208</v>
      </c>
      <c r="X25" s="62" t="s">
        <v>1160</v>
      </c>
    </row>
    <row r="26" spans="1:24" ht="15" customHeight="1" thickTop="1">
      <c r="A26" s="2008" t="s">
        <v>1161</v>
      </c>
      <c r="B26" s="2008"/>
      <c r="C26" s="2008"/>
      <c r="D26" s="2008"/>
      <c r="E26" s="2008"/>
      <c r="F26" s="2009">
        <v>3</v>
      </c>
      <c r="G26" s="2010"/>
      <c r="H26" s="2013" t="s">
        <v>827</v>
      </c>
      <c r="I26" s="2014"/>
      <c r="K26" s="2034" t="s">
        <v>1162</v>
      </c>
      <c r="L26" s="2035"/>
      <c r="M26" s="2035"/>
      <c r="N26" s="2036"/>
      <c r="O26" s="2040" t="s">
        <v>804</v>
      </c>
      <c r="P26" s="2026">
        <f>SUM(P14:R25)</f>
        <v>150</v>
      </c>
      <c r="Q26" s="2027"/>
      <c r="R26" s="2027"/>
      <c r="S26" s="2030" t="s">
        <v>1137</v>
      </c>
      <c r="T26" s="2031"/>
    </row>
    <row r="27" spans="1:24" ht="15" customHeight="1" thickBot="1">
      <c r="A27" s="2008"/>
      <c r="B27" s="2008"/>
      <c r="C27" s="2008"/>
      <c r="D27" s="2008"/>
      <c r="E27" s="2008"/>
      <c r="F27" s="2011"/>
      <c r="G27" s="2012"/>
      <c r="H27" s="2015"/>
      <c r="I27" s="2016"/>
      <c r="K27" s="2037"/>
      <c r="L27" s="2038"/>
      <c r="M27" s="2038"/>
      <c r="N27" s="2039"/>
      <c r="O27" s="2041"/>
      <c r="P27" s="2028"/>
      <c r="Q27" s="2029"/>
      <c r="R27" s="2029"/>
      <c r="S27" s="2032"/>
      <c r="T27" s="2033"/>
      <c r="U27" s="64" t="s">
        <v>1163</v>
      </c>
      <c r="V27" s="11" t="s">
        <v>1133</v>
      </c>
      <c r="W27" s="62" t="s">
        <v>766</v>
      </c>
      <c r="X27" s="62" t="s">
        <v>1134</v>
      </c>
    </row>
    <row r="28" spans="1:24" ht="15" customHeight="1" thickTop="1">
      <c r="A28" s="7"/>
      <c r="B28" s="7"/>
      <c r="C28" s="7"/>
      <c r="D28" s="7"/>
      <c r="E28" s="7"/>
      <c r="F28" s="7"/>
      <c r="G28" s="7"/>
      <c r="H28" s="7"/>
      <c r="K28" s="2088" t="e">
        <f>VLOOKUP(F11,V10:X12,3,FALSE)</f>
        <v>#REF!</v>
      </c>
      <c r="L28" s="2089"/>
      <c r="M28" s="2089"/>
      <c r="N28" s="2090"/>
      <c r="O28" s="2040" t="s">
        <v>813</v>
      </c>
      <c r="P28" s="2026" t="e">
        <f>ROUND(P26*U58,0)</f>
        <v>#REF!</v>
      </c>
      <c r="Q28" s="2027"/>
      <c r="R28" s="2027"/>
      <c r="S28" s="2030" t="s">
        <v>1137</v>
      </c>
      <c r="T28" s="2097"/>
      <c r="V28" s="62" t="s">
        <v>1138</v>
      </c>
      <c r="W28" s="62">
        <v>464</v>
      </c>
      <c r="X28" s="62" t="s">
        <v>1164</v>
      </c>
    </row>
    <row r="29" spans="1:24" ht="15" customHeight="1" thickBot="1">
      <c r="A29" s="2065" t="s">
        <v>1165</v>
      </c>
      <c r="B29" s="2066"/>
      <c r="C29" s="2066"/>
      <c r="D29" s="2066"/>
      <c r="E29" s="2066"/>
      <c r="F29" s="2066" t="s">
        <v>1166</v>
      </c>
      <c r="G29" s="2066"/>
      <c r="H29" s="2066"/>
      <c r="I29" s="2066"/>
      <c r="K29" s="2091"/>
      <c r="L29" s="2092"/>
      <c r="M29" s="2092"/>
      <c r="N29" s="2093"/>
      <c r="O29" s="2094"/>
      <c r="P29" s="2095"/>
      <c r="Q29" s="2096"/>
      <c r="R29" s="2096"/>
      <c r="S29" s="2098"/>
      <c r="T29" s="2099"/>
      <c r="V29" s="62" t="s">
        <v>1141</v>
      </c>
      <c r="W29" s="62">
        <v>533</v>
      </c>
      <c r="X29" s="62" t="s">
        <v>1167</v>
      </c>
    </row>
    <row r="30" spans="1:24" ht="15" customHeight="1">
      <c r="A30" s="2066"/>
      <c r="B30" s="2066"/>
      <c r="C30" s="2066"/>
      <c r="D30" s="2066"/>
      <c r="E30" s="2066"/>
      <c r="F30" s="2066"/>
      <c r="G30" s="2066"/>
      <c r="H30" s="2066"/>
      <c r="I30" s="2066"/>
      <c r="K30" s="2067" t="s">
        <v>1168</v>
      </c>
      <c r="L30" s="2068"/>
      <c r="M30" s="2068"/>
      <c r="N30" s="2069"/>
      <c r="O30" s="2073" t="s">
        <v>814</v>
      </c>
      <c r="P30" s="2075" t="e">
        <f>SUM(P26:R29)</f>
        <v>#REF!</v>
      </c>
      <c r="Q30" s="2076"/>
      <c r="R30" s="2076"/>
      <c r="S30" s="2079" t="s">
        <v>1137</v>
      </c>
      <c r="T30" s="2080"/>
      <c r="V30" s="62" t="s">
        <v>1125</v>
      </c>
      <c r="W30" s="62">
        <v>600</v>
      </c>
      <c r="X30" s="62" t="s">
        <v>1169</v>
      </c>
    </row>
    <row r="31" spans="1:24" ht="15" customHeight="1" thickBot="1">
      <c r="A31" s="2083" t="s">
        <v>1170</v>
      </c>
      <c r="B31" s="2083"/>
      <c r="C31" s="2083"/>
      <c r="D31" s="2083"/>
      <c r="E31" s="2083"/>
      <c r="F31" s="2084" t="s">
        <v>1171</v>
      </c>
      <c r="G31" s="2085"/>
      <c r="H31" s="2086">
        <v>200</v>
      </c>
      <c r="I31" s="2087" t="s">
        <v>1172</v>
      </c>
      <c r="K31" s="2070"/>
      <c r="L31" s="2071"/>
      <c r="M31" s="2071"/>
      <c r="N31" s="2072"/>
      <c r="O31" s="2074"/>
      <c r="P31" s="2077"/>
      <c r="Q31" s="2078"/>
      <c r="R31" s="2078"/>
      <c r="S31" s="2081"/>
      <c r="T31" s="2082"/>
      <c r="V31" s="62" t="s">
        <v>1145</v>
      </c>
      <c r="W31" s="62">
        <v>668</v>
      </c>
      <c r="X31" s="62" t="s">
        <v>1173</v>
      </c>
    </row>
    <row r="32" spans="1:24" ht="15" customHeight="1">
      <c r="A32" s="2083"/>
      <c r="B32" s="2083"/>
      <c r="C32" s="2083"/>
      <c r="D32" s="2083"/>
      <c r="E32" s="2083"/>
      <c r="F32" s="2084"/>
      <c r="G32" s="2085"/>
      <c r="H32" s="2086"/>
      <c r="I32" s="2087"/>
      <c r="K32" s="16"/>
      <c r="L32" s="70" t="s">
        <v>1174</v>
      </c>
      <c r="M32" s="2125" t="e">
        <f>R11</f>
        <v>#REF!</v>
      </c>
      <c r="N32" s="2126"/>
      <c r="O32" s="2094" t="s">
        <v>837</v>
      </c>
      <c r="P32" s="2128" t="e">
        <f>P30*M32</f>
        <v>#REF!</v>
      </c>
      <c r="Q32" s="2129"/>
      <c r="R32" s="2129"/>
      <c r="S32" s="2098" t="s">
        <v>1172</v>
      </c>
      <c r="T32" s="2099"/>
      <c r="V32" s="62" t="s">
        <v>1148</v>
      </c>
      <c r="W32" s="62">
        <v>734</v>
      </c>
      <c r="X32" s="62" t="s">
        <v>1175</v>
      </c>
    </row>
    <row r="33" spans="1:24" ht="15" customHeight="1">
      <c r="A33" s="7"/>
      <c r="B33" s="7"/>
      <c r="C33" s="7"/>
      <c r="D33" s="7"/>
      <c r="E33" s="7"/>
      <c r="F33" s="7"/>
      <c r="G33" s="7"/>
      <c r="H33" s="7"/>
      <c r="K33" s="2134" t="s">
        <v>1176</v>
      </c>
      <c r="L33" s="2135"/>
      <c r="M33" s="2135"/>
      <c r="N33" s="2136"/>
      <c r="O33" s="2127"/>
      <c r="P33" s="2130"/>
      <c r="Q33" s="2131"/>
      <c r="R33" s="2131"/>
      <c r="S33" s="2132"/>
      <c r="T33" s="2133"/>
    </row>
    <row r="34" spans="1:24" ht="15" customHeight="1">
      <c r="F34" s="7"/>
      <c r="G34" s="7"/>
      <c r="H34" s="7"/>
      <c r="K34" s="2137" t="s">
        <v>1177</v>
      </c>
      <c r="L34" s="2138"/>
      <c r="M34" s="2138"/>
      <c r="N34" s="2139"/>
      <c r="O34" s="2106" t="s">
        <v>838</v>
      </c>
      <c r="P34" s="2024" t="e">
        <f>INT(P32)</f>
        <v>#REF!</v>
      </c>
      <c r="Q34" s="2025"/>
      <c r="R34" s="2025"/>
      <c r="S34" s="2107" t="s">
        <v>1172</v>
      </c>
      <c r="T34" s="2108"/>
      <c r="U34" s="64" t="s">
        <v>1178</v>
      </c>
      <c r="V34" s="11" t="s">
        <v>1133</v>
      </c>
      <c r="W34" s="62" t="s">
        <v>766</v>
      </c>
      <c r="X34" s="62" t="s">
        <v>1134</v>
      </c>
    </row>
    <row r="35" spans="1:24" ht="15" customHeight="1">
      <c r="F35" s="7"/>
      <c r="G35" s="7"/>
      <c r="H35" s="7"/>
      <c r="I35" s="5"/>
      <c r="K35" s="2140"/>
      <c r="L35" s="2141"/>
      <c r="M35" s="2141"/>
      <c r="N35" s="2142"/>
      <c r="O35" s="2127"/>
      <c r="P35" s="2143"/>
      <c r="Q35" s="2144"/>
      <c r="R35" s="2144"/>
      <c r="S35" s="2132"/>
      <c r="T35" s="2133"/>
      <c r="V35" s="62" t="s">
        <v>1138</v>
      </c>
      <c r="W35" s="62">
        <v>325</v>
      </c>
      <c r="X35" s="62" t="s">
        <v>1179</v>
      </c>
    </row>
    <row r="36" spans="1:24" ht="15" customHeight="1">
      <c r="F36" s="61"/>
      <c r="G36" s="61"/>
      <c r="H36" s="61"/>
      <c r="I36" s="4"/>
      <c r="K36" s="2100" t="s">
        <v>1180</v>
      </c>
      <c r="L36" s="2101"/>
      <c r="M36" s="2101"/>
      <c r="N36" s="2102"/>
      <c r="O36" s="2106" t="s">
        <v>1181</v>
      </c>
      <c r="P36" s="2024" t="e">
        <f>INT(P34*0.9)</f>
        <v>#REF!</v>
      </c>
      <c r="Q36" s="2025"/>
      <c r="R36" s="2025"/>
      <c r="S36" s="2107" t="s">
        <v>1172</v>
      </c>
      <c r="T36" s="2108"/>
      <c r="V36" s="62" t="s">
        <v>1141</v>
      </c>
      <c r="W36" s="62">
        <v>373</v>
      </c>
      <c r="X36" s="62" t="s">
        <v>1182</v>
      </c>
    </row>
    <row r="37" spans="1:24" ht="15" customHeight="1" thickBot="1">
      <c r="F37" s="4"/>
      <c r="G37" s="4"/>
      <c r="H37" s="4"/>
      <c r="I37" s="4"/>
      <c r="K37" s="2103"/>
      <c r="L37" s="2104"/>
      <c r="M37" s="2104"/>
      <c r="N37" s="2105"/>
      <c r="O37" s="2094"/>
      <c r="P37" s="2095"/>
      <c r="Q37" s="2096"/>
      <c r="R37" s="2096"/>
      <c r="S37" s="2098"/>
      <c r="T37" s="2099"/>
      <c r="V37" s="62" t="s">
        <v>1125</v>
      </c>
      <c r="W37" s="62">
        <v>420</v>
      </c>
      <c r="X37" s="62" t="s">
        <v>1183</v>
      </c>
    </row>
    <row r="38" spans="1:24" ht="15" customHeight="1">
      <c r="F38" s="7"/>
      <c r="G38" s="7"/>
      <c r="H38" s="14"/>
      <c r="I38" s="7"/>
      <c r="K38" s="2109" t="s">
        <v>1184</v>
      </c>
      <c r="L38" s="2110"/>
      <c r="M38" s="2110"/>
      <c r="N38" s="2111"/>
      <c r="O38" s="2115" t="s">
        <v>1185</v>
      </c>
      <c r="P38" s="2117" t="e">
        <f>P34-P36</f>
        <v>#REF!</v>
      </c>
      <c r="Q38" s="2118"/>
      <c r="R38" s="2118"/>
      <c r="S38" s="2121" t="s">
        <v>1172</v>
      </c>
      <c r="T38" s="2122"/>
      <c r="V38" s="62" t="s">
        <v>1145</v>
      </c>
      <c r="W38" s="62">
        <v>468</v>
      </c>
      <c r="X38" s="62" t="s">
        <v>1186</v>
      </c>
    </row>
    <row r="39" spans="1:24" ht="15" customHeight="1" thickBot="1">
      <c r="A39" s="7"/>
      <c r="B39" s="7"/>
      <c r="C39" s="7"/>
      <c r="D39" s="7"/>
      <c r="E39" s="7"/>
      <c r="F39" s="7"/>
      <c r="G39" s="7"/>
      <c r="H39" s="14"/>
      <c r="I39" s="7"/>
      <c r="K39" s="2112"/>
      <c r="L39" s="2113"/>
      <c r="M39" s="2113"/>
      <c r="N39" s="2114"/>
      <c r="O39" s="2116"/>
      <c r="P39" s="2119"/>
      <c r="Q39" s="2120"/>
      <c r="R39" s="2120"/>
      <c r="S39" s="2123"/>
      <c r="T39" s="2124"/>
      <c r="V39" s="62" t="s">
        <v>1148</v>
      </c>
      <c r="W39" s="62">
        <v>514</v>
      </c>
      <c r="X39" s="62" t="s">
        <v>1187</v>
      </c>
    </row>
    <row r="40" spans="1:24" ht="15" customHeight="1">
      <c r="A40" s="71"/>
      <c r="K40" s="7"/>
      <c r="L40" s="7"/>
      <c r="M40" s="7"/>
      <c r="O40" s="7"/>
      <c r="P40" s="7"/>
      <c r="R40" s="7"/>
      <c r="S40" s="7"/>
      <c r="T40" s="72"/>
    </row>
    <row r="41" spans="1:24" s="5" customFormat="1" ht="15" customHeight="1">
      <c r="G41" s="66"/>
      <c r="H41" s="66"/>
      <c r="I41" s="66"/>
      <c r="K41" s="2066" t="s">
        <v>1188</v>
      </c>
      <c r="L41" s="2066"/>
      <c r="M41" s="2066"/>
      <c r="N41" s="2066"/>
      <c r="O41" s="2167">
        <f>F26*H31</f>
        <v>600</v>
      </c>
      <c r="P41" s="2168"/>
      <c r="Q41" s="2168"/>
      <c r="R41" s="2168"/>
      <c r="S41" s="2171" t="s">
        <v>1172</v>
      </c>
      <c r="T41" s="2172"/>
      <c r="U41" s="6"/>
      <c r="V41" s="6"/>
      <c r="W41" s="6"/>
      <c r="X41" s="6"/>
    </row>
    <row r="42" spans="1:24" s="5" customFormat="1" ht="15" customHeight="1" thickBot="1">
      <c r="G42" s="66"/>
      <c r="H42" s="66"/>
      <c r="I42" s="66"/>
      <c r="J42" s="4"/>
      <c r="K42" s="2066"/>
      <c r="L42" s="2066"/>
      <c r="M42" s="2066"/>
      <c r="N42" s="2066"/>
      <c r="O42" s="2169"/>
      <c r="P42" s="2170"/>
      <c r="Q42" s="2170"/>
      <c r="R42" s="2170"/>
      <c r="S42" s="2171"/>
      <c r="T42" s="2172"/>
      <c r="U42" s="6"/>
      <c r="V42" s="4"/>
      <c r="W42" s="4"/>
      <c r="X42" s="4"/>
    </row>
    <row r="43" spans="1:24" s="5" customFormat="1" ht="15" customHeight="1">
      <c r="G43" s="66"/>
      <c r="H43" s="66"/>
      <c r="I43" s="66"/>
      <c r="J43" s="7"/>
      <c r="K43" s="2173" t="s">
        <v>822</v>
      </c>
      <c r="L43" s="2174"/>
      <c r="M43" s="2174"/>
      <c r="N43" s="2174"/>
      <c r="O43" s="2115" t="s">
        <v>1189</v>
      </c>
      <c r="P43" s="2177">
        <f>SUM(O41:Q42)</f>
        <v>600</v>
      </c>
      <c r="Q43" s="2178"/>
      <c r="R43" s="2178"/>
      <c r="S43" s="2181" t="s">
        <v>1172</v>
      </c>
      <c r="T43" s="2182"/>
      <c r="U43" s="6"/>
      <c r="V43" s="6"/>
      <c r="W43" s="6"/>
      <c r="X43" s="6"/>
    </row>
    <row r="44" spans="1:24" s="5" customFormat="1" ht="15" customHeight="1" thickBot="1">
      <c r="A44" s="7" t="e">
        <f>#REF!</f>
        <v>#REF!</v>
      </c>
      <c r="B44" s="7"/>
      <c r="C44" s="7"/>
      <c r="D44" s="7"/>
      <c r="E44" s="7"/>
      <c r="F44" s="66"/>
      <c r="G44" s="66"/>
      <c r="H44" s="66"/>
      <c r="I44" s="66"/>
      <c r="J44" s="7"/>
      <c r="K44" s="2175"/>
      <c r="L44" s="2176"/>
      <c r="M44" s="2176"/>
      <c r="N44" s="2176"/>
      <c r="O44" s="2116"/>
      <c r="P44" s="2179"/>
      <c r="Q44" s="2180"/>
      <c r="R44" s="2180"/>
      <c r="S44" s="2183"/>
      <c r="T44" s="2184"/>
      <c r="U44" s="6"/>
      <c r="V44" s="6"/>
      <c r="W44" s="6"/>
      <c r="X44" s="6"/>
    </row>
    <row r="45" spans="1:24" s="5" customFormat="1" ht="15" customHeight="1" thickBot="1">
      <c r="A45" s="7" t="e">
        <f>#REF!</f>
        <v>#REF!</v>
      </c>
      <c r="B45" s="7"/>
      <c r="C45" s="7"/>
      <c r="D45" s="7"/>
      <c r="E45" s="7"/>
      <c r="F45" s="66"/>
      <c r="G45" s="66"/>
      <c r="H45" s="66"/>
      <c r="I45" s="66"/>
      <c r="J45" s="66"/>
      <c r="K45" s="66"/>
      <c r="L45" s="66"/>
      <c r="M45" s="66"/>
      <c r="N45" s="66"/>
      <c r="O45" s="17"/>
      <c r="P45" s="17"/>
      <c r="Q45" s="17"/>
      <c r="R45" s="17"/>
      <c r="S45" s="569"/>
      <c r="T45" s="569"/>
      <c r="U45" s="4"/>
      <c r="V45" s="6"/>
      <c r="W45" s="6"/>
      <c r="X45" s="6"/>
    </row>
    <row r="46" spans="1:24" s="4" customFormat="1" ht="15" customHeight="1">
      <c r="A46" s="4" t="e">
        <f>#REF!</f>
        <v>#REF!</v>
      </c>
      <c r="C46" s="61"/>
      <c r="D46" s="61"/>
      <c r="E46" s="61"/>
      <c r="F46" s="66"/>
      <c r="G46" s="66"/>
      <c r="H46" s="66"/>
      <c r="I46" s="66"/>
      <c r="J46" s="66"/>
      <c r="K46" s="2145" t="s">
        <v>1190</v>
      </c>
      <c r="L46" s="2146"/>
      <c r="M46" s="2146"/>
      <c r="N46" s="2147"/>
      <c r="O46" s="2154" t="e">
        <f>P38+P43</f>
        <v>#REF!</v>
      </c>
      <c r="P46" s="2155"/>
      <c r="Q46" s="2155"/>
      <c r="R46" s="2155"/>
      <c r="S46" s="2160" t="s">
        <v>1172</v>
      </c>
      <c r="T46" s="2161"/>
      <c r="U46" s="6"/>
      <c r="V46" s="6"/>
      <c r="W46" s="6"/>
      <c r="X46" s="6"/>
    </row>
    <row r="47" spans="1:24" ht="15" customHeight="1">
      <c r="A47" s="4" t="s">
        <v>1191</v>
      </c>
      <c r="B47" s="4"/>
      <c r="C47" s="4" t="e">
        <f>#REF!</f>
        <v>#REF!</v>
      </c>
      <c r="D47" s="4"/>
      <c r="E47" s="4"/>
      <c r="K47" s="2148"/>
      <c r="L47" s="2149"/>
      <c r="M47" s="2149"/>
      <c r="N47" s="2150"/>
      <c r="O47" s="2156"/>
      <c r="P47" s="2157"/>
      <c r="Q47" s="2157"/>
      <c r="R47" s="2157"/>
      <c r="S47" s="1992"/>
      <c r="T47" s="2162"/>
    </row>
    <row r="48" spans="1:24" ht="15" customHeight="1" thickBot="1">
      <c r="A48" s="7" t="s">
        <v>1192</v>
      </c>
      <c r="B48" s="7"/>
      <c r="C48" s="7" t="e">
        <f>#REF!</f>
        <v>#REF!</v>
      </c>
      <c r="D48" s="7"/>
      <c r="E48" s="7"/>
      <c r="K48" s="2151"/>
      <c r="L48" s="2152"/>
      <c r="M48" s="2152"/>
      <c r="N48" s="2153"/>
      <c r="O48" s="2158"/>
      <c r="P48" s="2159"/>
      <c r="Q48" s="2159"/>
      <c r="R48" s="2159"/>
      <c r="S48" s="2163"/>
      <c r="T48" s="2164"/>
    </row>
    <row r="49" spans="1:24" ht="15" customHeight="1">
      <c r="A49" s="7"/>
      <c r="B49" s="7"/>
      <c r="C49" s="7"/>
      <c r="D49" s="7"/>
      <c r="E49" s="7"/>
      <c r="K49" s="570"/>
      <c r="L49" s="570"/>
      <c r="M49" s="570"/>
      <c r="N49" s="570"/>
      <c r="O49" s="570"/>
      <c r="P49" s="570"/>
      <c r="Q49" s="570"/>
      <c r="R49" s="570"/>
      <c r="S49" s="571"/>
      <c r="T49" s="571"/>
    </row>
    <row r="50" spans="1:24" ht="15" customHeight="1">
      <c r="A50" s="73"/>
      <c r="B50" s="73"/>
      <c r="C50" s="73"/>
      <c r="D50" s="73"/>
      <c r="E50" s="73"/>
      <c r="F50" s="73"/>
      <c r="G50" s="73"/>
      <c r="H50" s="73"/>
      <c r="I50" s="73"/>
      <c r="J50" s="73"/>
      <c r="K50" s="74"/>
      <c r="L50" s="74"/>
      <c r="M50" s="74"/>
      <c r="N50" s="74"/>
      <c r="O50" s="74"/>
      <c r="P50" s="74"/>
      <c r="Q50" s="74"/>
      <c r="R50" s="74"/>
      <c r="S50" s="74"/>
      <c r="T50" s="74"/>
    </row>
    <row r="51" spans="1:24" ht="15" customHeight="1">
      <c r="K51" s="4"/>
      <c r="L51" s="4"/>
      <c r="M51" s="4"/>
      <c r="N51" s="4"/>
      <c r="O51" s="4"/>
      <c r="P51" s="4"/>
      <c r="Q51" s="4"/>
      <c r="R51" s="4"/>
      <c r="S51" s="4"/>
      <c r="T51" s="4"/>
    </row>
    <row r="52" spans="1:24" ht="15" customHeight="1">
      <c r="A52" s="1962" t="s">
        <v>1193</v>
      </c>
      <c r="B52" s="1963"/>
      <c r="C52" s="1963"/>
      <c r="D52" s="1964"/>
      <c r="E52" s="2165" t="s">
        <v>1194</v>
      </c>
      <c r="F52" s="1983"/>
      <c r="G52" s="1983"/>
      <c r="H52" s="1984"/>
      <c r="I52" s="2165" t="s">
        <v>1195</v>
      </c>
      <c r="J52" s="1983"/>
      <c r="K52" s="1983"/>
      <c r="L52" s="1984"/>
      <c r="M52" s="2165" t="s">
        <v>1196</v>
      </c>
      <c r="N52" s="1983"/>
      <c r="O52" s="1983"/>
      <c r="P52" s="1984"/>
      <c r="Q52" s="2165" t="s">
        <v>1197</v>
      </c>
      <c r="R52" s="1983"/>
      <c r="S52" s="1983"/>
      <c r="T52" s="1984"/>
    </row>
    <row r="53" spans="1:24" ht="15" customHeight="1">
      <c r="A53" s="1965"/>
      <c r="B53" s="1966"/>
      <c r="C53" s="1966"/>
      <c r="D53" s="1967"/>
      <c r="E53" s="2166"/>
      <c r="F53" s="1986"/>
      <c r="G53" s="1986"/>
      <c r="H53" s="1987"/>
      <c r="I53" s="2166"/>
      <c r="J53" s="1986"/>
      <c r="K53" s="1986"/>
      <c r="L53" s="1987"/>
      <c r="M53" s="2166"/>
      <c r="N53" s="1986"/>
      <c r="O53" s="1986"/>
      <c r="P53" s="1987"/>
      <c r="Q53" s="2166"/>
      <c r="R53" s="1986"/>
      <c r="S53" s="1986"/>
      <c r="T53" s="1987"/>
    </row>
    <row r="54" spans="1:24" ht="15" customHeight="1">
      <c r="A54" s="1962" t="s">
        <v>1134</v>
      </c>
      <c r="B54" s="1963"/>
      <c r="C54" s="1963"/>
      <c r="D54" s="1964"/>
      <c r="E54" s="2165" t="str">
        <f>VLOOKUP(Q8,V14:X18,3,FALSE)</f>
        <v>通所介護Ⅰ33</v>
      </c>
      <c r="F54" s="1983"/>
      <c r="G54" s="1983"/>
      <c r="H54" s="1984"/>
      <c r="I54" s="2165" t="str">
        <f>VLOOKUP(Q8,V21:X25,3,FALSE)</f>
        <v>通所介護Ⅰ23</v>
      </c>
      <c r="J54" s="1983"/>
      <c r="K54" s="1983"/>
      <c r="L54" s="1984"/>
      <c r="M54" s="2165" t="str">
        <f>VLOOKUP(Q8,V28:X32,3,FALSE)</f>
        <v>通所介護Ⅰ13</v>
      </c>
      <c r="N54" s="1983"/>
      <c r="O54" s="1983"/>
      <c r="P54" s="1984"/>
      <c r="Q54" s="2165" t="str">
        <f>VLOOKUP(Q8,V35:X39,3,FALSE)</f>
        <v>通所介護Ⅰ13・時減</v>
      </c>
      <c r="R54" s="1983"/>
      <c r="S54" s="1983"/>
      <c r="T54" s="1984"/>
    </row>
    <row r="55" spans="1:24" ht="15" customHeight="1">
      <c r="A55" s="1965"/>
      <c r="B55" s="1966"/>
      <c r="C55" s="1966"/>
      <c r="D55" s="1967"/>
      <c r="E55" s="2166"/>
      <c r="F55" s="1986"/>
      <c r="G55" s="1986"/>
      <c r="H55" s="1987"/>
      <c r="I55" s="2166"/>
      <c r="J55" s="1986"/>
      <c r="K55" s="1986"/>
      <c r="L55" s="1987"/>
      <c r="M55" s="2166"/>
      <c r="N55" s="1986"/>
      <c r="O55" s="1986"/>
      <c r="P55" s="1987"/>
      <c r="Q55" s="2166"/>
      <c r="R55" s="1986"/>
      <c r="S55" s="1986"/>
      <c r="T55" s="1987"/>
    </row>
    <row r="56" spans="1:24" ht="15" customHeight="1">
      <c r="A56" s="1962" t="s">
        <v>766</v>
      </c>
      <c r="B56" s="1963"/>
      <c r="C56" s="1963"/>
      <c r="D56" s="1964"/>
      <c r="E56" s="2185">
        <f>VLOOKUP(Q8,V14:X18,2,FALSE)</f>
        <v>1108</v>
      </c>
      <c r="F56" s="2186"/>
      <c r="G56" s="2186"/>
      <c r="H56" s="2187"/>
      <c r="I56" s="2185">
        <f>VLOOKUP(Q8,V21:X25,2,FALSE)</f>
        <v>957</v>
      </c>
      <c r="J56" s="2186"/>
      <c r="K56" s="2186"/>
      <c r="L56" s="2187"/>
      <c r="M56" s="2185">
        <f>VLOOKUP(Q8,V28:X32,2,FALSE)</f>
        <v>600</v>
      </c>
      <c r="N56" s="2186"/>
      <c r="O56" s="2186"/>
      <c r="P56" s="2187"/>
      <c r="Q56" s="2185">
        <f>VLOOKUP(Q8,V35:X39,2,FALSE)</f>
        <v>420</v>
      </c>
      <c r="R56" s="2186"/>
      <c r="S56" s="2186"/>
      <c r="T56" s="2187"/>
    </row>
    <row r="57" spans="1:24" ht="15" customHeight="1">
      <c r="A57" s="1965"/>
      <c r="B57" s="1966"/>
      <c r="C57" s="1966"/>
      <c r="D57" s="1967"/>
      <c r="E57" s="2188"/>
      <c r="F57" s="2189"/>
      <c r="G57" s="2189"/>
      <c r="H57" s="2190"/>
      <c r="I57" s="2188"/>
      <c r="J57" s="2189"/>
      <c r="K57" s="2189"/>
      <c r="L57" s="2190"/>
      <c r="M57" s="2188"/>
      <c r="N57" s="2189"/>
      <c r="O57" s="2189"/>
      <c r="P57" s="2190"/>
      <c r="Q57" s="2188"/>
      <c r="R57" s="2189"/>
      <c r="S57" s="2189"/>
      <c r="T57" s="2190"/>
    </row>
    <row r="58" spans="1:24" ht="15" customHeight="1">
      <c r="U58" s="6" t="e">
        <f>VLOOKUP(F11,V10:X12,2,FALSE)</f>
        <v>#REF!</v>
      </c>
    </row>
    <row r="59" spans="1:24" ht="15" customHeight="1">
      <c r="U59" s="2" t="s">
        <v>83</v>
      </c>
      <c r="V59" s="6" t="s">
        <v>1100</v>
      </c>
      <c r="W59" s="6">
        <v>0</v>
      </c>
      <c r="X59" s="9" t="s">
        <v>1198</v>
      </c>
    </row>
    <row r="60" spans="1:24" ht="20.100000000000001" customHeight="1"/>
    <row r="61" spans="1:24" ht="20.100000000000001" customHeight="1"/>
    <row r="62" spans="1:24" ht="20.100000000000001" customHeight="1"/>
    <row r="63" spans="1:24" ht="20.100000000000001" customHeight="1"/>
  </sheetData>
  <sheetProtection selectLockedCells="1"/>
  <mergeCells count="128">
    <mergeCell ref="A54:D55"/>
    <mergeCell ref="E54:H55"/>
    <mergeCell ref="I54:L55"/>
    <mergeCell ref="M54:P55"/>
    <mergeCell ref="Q54:T55"/>
    <mergeCell ref="A56:D57"/>
    <mergeCell ref="E56:H57"/>
    <mergeCell ref="I56:L57"/>
    <mergeCell ref="M56:P57"/>
    <mergeCell ref="Q56:T57"/>
    <mergeCell ref="K46:N48"/>
    <mergeCell ref="O46:R48"/>
    <mergeCell ref="S46:T48"/>
    <mergeCell ref="A52:D53"/>
    <mergeCell ref="E52:H53"/>
    <mergeCell ref="I52:L53"/>
    <mergeCell ref="M52:P53"/>
    <mergeCell ref="Q52:T53"/>
    <mergeCell ref="K41:N42"/>
    <mergeCell ref="O41:R42"/>
    <mergeCell ref="S41:T42"/>
    <mergeCell ref="K43:N44"/>
    <mergeCell ref="O43:O44"/>
    <mergeCell ref="P43:R44"/>
    <mergeCell ref="S43:T44"/>
    <mergeCell ref="K36:N37"/>
    <mergeCell ref="O36:O37"/>
    <mergeCell ref="P36:R37"/>
    <mergeCell ref="S36:T37"/>
    <mergeCell ref="K38:N39"/>
    <mergeCell ref="O38:O39"/>
    <mergeCell ref="P38:R39"/>
    <mergeCell ref="S38:T39"/>
    <mergeCell ref="M32:N32"/>
    <mergeCell ref="O32:O33"/>
    <mergeCell ref="P32:R33"/>
    <mergeCell ref="S32:T33"/>
    <mergeCell ref="K33:N33"/>
    <mergeCell ref="K34:N35"/>
    <mergeCell ref="O34:O35"/>
    <mergeCell ref="P34:R35"/>
    <mergeCell ref="S34:T35"/>
    <mergeCell ref="A29:E30"/>
    <mergeCell ref="F29:I30"/>
    <mergeCell ref="K30:N31"/>
    <mergeCell ref="O30:O31"/>
    <mergeCell ref="P30:R31"/>
    <mergeCell ref="S30:T31"/>
    <mergeCell ref="A31:E32"/>
    <mergeCell ref="F31:G32"/>
    <mergeCell ref="H31:H32"/>
    <mergeCell ref="I31:I32"/>
    <mergeCell ref="K28:N29"/>
    <mergeCell ref="O28:O29"/>
    <mergeCell ref="P28:R29"/>
    <mergeCell ref="S28:T29"/>
    <mergeCell ref="S24:T25"/>
    <mergeCell ref="K25:L25"/>
    <mergeCell ref="M25:N25"/>
    <mergeCell ref="A22:E23"/>
    <mergeCell ref="F22:G23"/>
    <mergeCell ref="H22:I23"/>
    <mergeCell ref="K22:N22"/>
    <mergeCell ref="O22:O23"/>
    <mergeCell ref="P22:R23"/>
    <mergeCell ref="S22:T23"/>
    <mergeCell ref="P26:R27"/>
    <mergeCell ref="S26:T27"/>
    <mergeCell ref="M19:N19"/>
    <mergeCell ref="A20:E21"/>
    <mergeCell ref="F20:G21"/>
    <mergeCell ref="H20:I21"/>
    <mergeCell ref="K20:N20"/>
    <mergeCell ref="P20:R21"/>
    <mergeCell ref="S20:T21"/>
    <mergeCell ref="K21:L21"/>
    <mergeCell ref="M21:N21"/>
    <mergeCell ref="A26:E27"/>
    <mergeCell ref="F26:G27"/>
    <mergeCell ref="H26:I27"/>
    <mergeCell ref="K26:N27"/>
    <mergeCell ref="O26:O27"/>
    <mergeCell ref="K23:L23"/>
    <mergeCell ref="M23:N23"/>
    <mergeCell ref="A24:E25"/>
    <mergeCell ref="F24:G25"/>
    <mergeCell ref="H24:I25"/>
    <mergeCell ref="K24:N24"/>
    <mergeCell ref="O24:O25"/>
    <mergeCell ref="P24:R25"/>
    <mergeCell ref="S14:T15"/>
    <mergeCell ref="K15:L15"/>
    <mergeCell ref="M15:N15"/>
    <mergeCell ref="A16:E17"/>
    <mergeCell ref="F16:G17"/>
    <mergeCell ref="H16:I17"/>
    <mergeCell ref="K16:N16"/>
    <mergeCell ref="P16:R17"/>
    <mergeCell ref="S16:T17"/>
    <mergeCell ref="K17:L17"/>
    <mergeCell ref="A14:E15"/>
    <mergeCell ref="F14:G15"/>
    <mergeCell ref="H14:I15"/>
    <mergeCell ref="K14:N14"/>
    <mergeCell ref="O14:O21"/>
    <mergeCell ref="P14:R15"/>
    <mergeCell ref="M17:N17"/>
    <mergeCell ref="A18:E19"/>
    <mergeCell ref="F18:G19"/>
    <mergeCell ref="H18:I19"/>
    <mergeCell ref="K18:N18"/>
    <mergeCell ref="P18:R19"/>
    <mergeCell ref="S18:T19"/>
    <mergeCell ref="K19:L19"/>
    <mergeCell ref="M8:P9"/>
    <mergeCell ref="Q8:T9"/>
    <mergeCell ref="A11:E12"/>
    <mergeCell ref="F11:I12"/>
    <mergeCell ref="K11:N12"/>
    <mergeCell ref="O11:Q12"/>
    <mergeCell ref="R11:T12"/>
    <mergeCell ref="A2:T3"/>
    <mergeCell ref="A4:I6"/>
    <mergeCell ref="J4:J6"/>
    <mergeCell ref="N4:O6"/>
    <mergeCell ref="P4:P6"/>
    <mergeCell ref="S4:T6"/>
    <mergeCell ref="Q4:R6"/>
  </mergeCells>
  <phoneticPr fontId="17"/>
  <conditionalFormatting sqref="P26">
    <cfRule type="expression" dxfId="5" priority="1">
      <formula>$P$26&gt;#REF!</formula>
    </cfRule>
  </conditionalFormatting>
  <dataValidations count="2">
    <dataValidation type="list" allowBlank="1" showInputMessage="1" showErrorMessage="1" sqref="Q8:T9" xr:uid="{00000000-0002-0000-1400-000000000000}">
      <formula1>$V$14:$V$18</formula1>
    </dataValidation>
    <dataValidation type="list" allowBlank="1" showInputMessage="1" showErrorMessage="1" sqref="O11" xr:uid="{00000000-0002-0000-1400-000001000000}">
      <formula1>#REF!</formula1>
    </dataValidation>
  </dataValidations>
  <printOptions horizontalCentered="1"/>
  <pageMargins left="0.70866141732283472" right="0.70866141732283472" top="0.55118110236220474" bottom="0.55118110236220474" header="0.31496062992125984" footer="0.31496062992125984"/>
  <pageSetup paperSize="9" scale="95"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Q48"/>
  <sheetViews>
    <sheetView workbookViewId="0">
      <selection activeCell="A41" sqref="A41:AG41"/>
    </sheetView>
  </sheetViews>
  <sheetFormatPr defaultColWidth="3.125" defaultRowHeight="13.5"/>
  <cols>
    <col min="1" max="16384" width="3.125" style="88"/>
  </cols>
  <sheetData>
    <row r="1" spans="1:37" ht="15" customHeight="1">
      <c r="AG1" s="90"/>
    </row>
    <row r="2" spans="1:37" s="96" customFormat="1" ht="27" customHeight="1">
      <c r="A2" s="95" t="s">
        <v>1199</v>
      </c>
      <c r="B2" s="95"/>
      <c r="C2" s="95"/>
      <c r="D2" s="95"/>
      <c r="E2" s="95"/>
      <c r="F2" s="95"/>
      <c r="G2" s="95"/>
      <c r="H2" s="95"/>
      <c r="I2" s="95"/>
      <c r="J2" s="95"/>
      <c r="AG2" s="90" t="s">
        <v>1200</v>
      </c>
    </row>
    <row r="3" spans="1:37" s="96" customFormat="1" ht="27" customHeight="1" thickBot="1">
      <c r="A3" s="95"/>
      <c r="B3" s="95"/>
      <c r="C3" s="95"/>
      <c r="D3" s="95"/>
      <c r="E3" s="95"/>
      <c r="F3" s="95"/>
      <c r="G3" s="95"/>
      <c r="H3" s="95"/>
      <c r="I3" s="95"/>
      <c r="J3" s="95"/>
      <c r="AG3" s="90"/>
      <c r="AK3" s="474"/>
    </row>
    <row r="4" spans="1:37" ht="39.75" customHeight="1" thickBot="1">
      <c r="A4" s="2271" t="s">
        <v>1201</v>
      </c>
      <c r="B4" s="2272"/>
      <c r="C4" s="2272"/>
      <c r="D4" s="2272"/>
      <c r="E4" s="2272"/>
      <c r="F4" s="2272"/>
      <c r="G4" s="2272"/>
      <c r="H4" s="2272"/>
      <c r="I4" s="2272"/>
      <c r="J4" s="2272"/>
      <c r="K4" s="2272"/>
      <c r="L4" s="2272"/>
      <c r="M4" s="2272"/>
      <c r="N4" s="2272"/>
      <c r="O4" s="2272"/>
      <c r="P4" s="2272"/>
      <c r="Q4" s="2272"/>
      <c r="R4" s="2272"/>
      <c r="S4" s="2272"/>
      <c r="T4" s="2272"/>
      <c r="U4" s="2272"/>
      <c r="V4" s="2272"/>
      <c r="W4" s="2272"/>
      <c r="X4" s="2272"/>
      <c r="Y4" s="2272"/>
      <c r="Z4" s="2272"/>
      <c r="AA4" s="2272"/>
      <c r="AB4" s="2272"/>
      <c r="AC4" s="2272"/>
      <c r="AD4" s="2272"/>
      <c r="AE4" s="2272"/>
      <c r="AF4" s="2272"/>
      <c r="AG4" s="2273"/>
      <c r="AK4" s="485"/>
    </row>
    <row r="5" spans="1:37" ht="22.5" customHeight="1" thickTop="1" thickBot="1">
      <c r="A5" s="2283" t="s">
        <v>1202</v>
      </c>
      <c r="B5" s="2284"/>
      <c r="C5" s="2284"/>
      <c r="D5" s="2284"/>
      <c r="E5" s="2284"/>
      <c r="F5" s="2284"/>
      <c r="G5" s="2284"/>
      <c r="H5" s="2284"/>
      <c r="I5" s="2284"/>
      <c r="J5" s="2284"/>
      <c r="K5" s="2284"/>
      <c r="L5" s="2284"/>
      <c r="M5" s="2284"/>
      <c r="N5" s="2284"/>
      <c r="O5" s="2284"/>
      <c r="P5" s="2284"/>
      <c r="Q5" s="2284"/>
      <c r="R5" s="2284"/>
      <c r="S5" s="2284"/>
      <c r="T5" s="2284"/>
      <c r="U5" s="2284"/>
      <c r="V5" s="2284"/>
      <c r="W5" s="2284"/>
      <c r="X5" s="2284"/>
      <c r="Y5" s="2284"/>
      <c r="Z5" s="2284"/>
      <c r="AA5" s="2284"/>
      <c r="AB5" s="2284"/>
      <c r="AC5" s="2284"/>
      <c r="AD5" s="2284"/>
      <c r="AE5" s="2284"/>
      <c r="AF5" s="2284"/>
      <c r="AG5" s="2285"/>
    </row>
    <row r="6" spans="1:37" ht="22.5" customHeight="1">
      <c r="A6" s="97" t="s">
        <v>1203</v>
      </c>
      <c r="B6" s="2234" t="s">
        <v>1204</v>
      </c>
      <c r="C6" s="2234"/>
      <c r="D6" s="2234"/>
      <c r="E6" s="2234"/>
      <c r="F6" s="2234"/>
      <c r="G6" s="2234"/>
      <c r="H6" s="2234"/>
      <c r="I6" s="2234"/>
      <c r="J6" s="2234"/>
      <c r="K6" s="2234"/>
      <c r="L6" s="2234"/>
      <c r="M6" s="2234"/>
      <c r="N6" s="2234"/>
      <c r="O6" s="2234"/>
      <c r="P6" s="2234"/>
      <c r="Q6" s="2234"/>
      <c r="R6" s="2234"/>
      <c r="S6" s="2234"/>
      <c r="T6" s="98" t="s">
        <v>1205</v>
      </c>
      <c r="U6" s="99"/>
      <c r="V6" s="99"/>
      <c r="W6" s="99"/>
      <c r="X6" s="99"/>
      <c r="Y6" s="99"/>
      <c r="Z6" s="99"/>
      <c r="AA6" s="99"/>
      <c r="AB6" s="99"/>
      <c r="AC6" s="99"/>
      <c r="AD6" s="99"/>
      <c r="AE6" s="99"/>
      <c r="AF6" s="99"/>
      <c r="AG6" s="100"/>
    </row>
    <row r="7" spans="1:37" ht="22.5" customHeight="1">
      <c r="A7" s="101" t="s">
        <v>1203</v>
      </c>
      <c r="B7" s="2236" t="s">
        <v>1206</v>
      </c>
      <c r="C7" s="2236"/>
      <c r="D7" s="2236"/>
      <c r="E7" s="2236"/>
      <c r="F7" s="2236"/>
      <c r="G7" s="2236"/>
      <c r="H7" s="2236"/>
      <c r="I7" s="2236"/>
      <c r="J7" s="2236"/>
      <c r="K7" s="2236"/>
      <c r="L7" s="2236"/>
      <c r="M7" s="2236"/>
      <c r="N7" s="2236"/>
      <c r="O7" s="2236"/>
      <c r="P7" s="2236"/>
      <c r="Q7" s="2236"/>
      <c r="R7" s="2236"/>
      <c r="S7" s="2236"/>
      <c r="T7" s="102" t="s">
        <v>1207</v>
      </c>
      <c r="U7" s="103"/>
      <c r="V7" s="103"/>
      <c r="W7" s="103"/>
      <c r="X7" s="103"/>
      <c r="Y7" s="103"/>
      <c r="Z7" s="103"/>
      <c r="AA7" s="103"/>
      <c r="AB7" s="103"/>
      <c r="AC7" s="103"/>
      <c r="AD7" s="103"/>
      <c r="AE7" s="103"/>
      <c r="AF7" s="103"/>
      <c r="AG7" s="104"/>
    </row>
    <row r="8" spans="1:37" ht="22.5" customHeight="1">
      <c r="A8" s="101" t="s">
        <v>1203</v>
      </c>
      <c r="B8" s="2194" t="s">
        <v>1208</v>
      </c>
      <c r="C8" s="2194"/>
      <c r="D8" s="2194"/>
      <c r="E8" s="2194"/>
      <c r="F8" s="2194"/>
      <c r="G8" s="2194"/>
      <c r="H8" s="2194"/>
      <c r="I8" s="2194"/>
      <c r="J8" s="2194"/>
      <c r="K8" s="2194"/>
      <c r="L8" s="2194"/>
      <c r="M8" s="2194"/>
      <c r="N8" s="2194"/>
      <c r="O8" s="2194"/>
      <c r="P8" s="2194"/>
      <c r="Q8" s="2194"/>
      <c r="R8" s="2194"/>
      <c r="S8" s="2194"/>
      <c r="T8" s="102" t="s">
        <v>1209</v>
      </c>
      <c r="U8" s="103"/>
      <c r="V8" s="103"/>
      <c r="W8" s="103"/>
      <c r="X8" s="103"/>
      <c r="Y8" s="103"/>
      <c r="Z8" s="103"/>
      <c r="AA8" s="103"/>
      <c r="AB8" s="103"/>
      <c r="AC8" s="103"/>
      <c r="AD8" s="103"/>
      <c r="AE8" s="103"/>
      <c r="AF8" s="103"/>
      <c r="AG8" s="104"/>
    </row>
    <row r="9" spans="1:37" ht="22.5" customHeight="1">
      <c r="A9" s="101" t="s">
        <v>1203</v>
      </c>
      <c r="B9" s="2194" t="s">
        <v>1210</v>
      </c>
      <c r="C9" s="2194"/>
      <c r="D9" s="2194"/>
      <c r="E9" s="2194"/>
      <c r="F9" s="2194"/>
      <c r="G9" s="2194"/>
      <c r="H9" s="2194"/>
      <c r="I9" s="2194"/>
      <c r="J9" s="2194"/>
      <c r="K9" s="2194"/>
      <c r="L9" s="2194"/>
      <c r="M9" s="2194"/>
      <c r="N9" s="2194"/>
      <c r="O9" s="2194"/>
      <c r="P9" s="2194"/>
      <c r="Q9" s="2194"/>
      <c r="R9" s="2194"/>
      <c r="S9" s="2194"/>
      <c r="T9" s="102" t="s">
        <v>1211</v>
      </c>
      <c r="U9" s="103"/>
      <c r="V9" s="103"/>
      <c r="W9" s="103"/>
      <c r="X9" s="103"/>
      <c r="Y9" s="103"/>
      <c r="Z9" s="103"/>
      <c r="AA9" s="103"/>
      <c r="AB9" s="103"/>
      <c r="AC9" s="103"/>
      <c r="AD9" s="103"/>
      <c r="AE9" s="103"/>
      <c r="AF9" s="103"/>
      <c r="AG9" s="104"/>
    </row>
    <row r="10" spans="1:37" ht="22.5" customHeight="1" thickBot="1">
      <c r="A10" s="105" t="s">
        <v>1203</v>
      </c>
      <c r="B10" s="2235" t="s">
        <v>1212</v>
      </c>
      <c r="C10" s="2235"/>
      <c r="D10" s="2235"/>
      <c r="E10" s="2235"/>
      <c r="F10" s="2235"/>
      <c r="G10" s="2235"/>
      <c r="H10" s="2235"/>
      <c r="I10" s="2235"/>
      <c r="J10" s="2235"/>
      <c r="K10" s="2235"/>
      <c r="L10" s="2235"/>
      <c r="M10" s="2235"/>
      <c r="N10" s="2235"/>
      <c r="O10" s="2235"/>
      <c r="P10" s="2235"/>
      <c r="Q10" s="2235"/>
      <c r="R10" s="2235"/>
      <c r="S10" s="2235"/>
      <c r="T10" s="106" t="s">
        <v>1213</v>
      </c>
      <c r="U10" s="107"/>
      <c r="V10" s="107"/>
      <c r="W10" s="107"/>
      <c r="X10" s="107"/>
      <c r="Y10" s="107"/>
      <c r="Z10" s="107"/>
      <c r="AA10" s="107"/>
      <c r="AB10" s="107"/>
      <c r="AC10" s="107"/>
      <c r="AD10" s="107"/>
      <c r="AE10" s="107"/>
      <c r="AF10" s="107"/>
      <c r="AG10" s="108"/>
    </row>
    <row r="11" spans="1:37" ht="26.1" customHeight="1">
      <c r="A11" s="2237" t="s">
        <v>1214</v>
      </c>
      <c r="B11" s="2238"/>
      <c r="C11" s="2238"/>
      <c r="D11" s="2238"/>
      <c r="E11" s="2238"/>
      <c r="F11" s="2238"/>
      <c r="G11" s="2238"/>
      <c r="H11" s="2238"/>
      <c r="I11" s="2238"/>
      <c r="J11" s="2280" t="s">
        <v>1215</v>
      </c>
      <c r="K11" s="2281"/>
      <c r="L11" s="2281"/>
      <c r="M11" s="2281"/>
      <c r="N11" s="2281"/>
      <c r="O11" s="2281"/>
      <c r="P11" s="2281"/>
      <c r="Q11" s="2281"/>
      <c r="R11" s="2281"/>
      <c r="S11" s="2281"/>
      <c r="T11" s="2281"/>
      <c r="U11" s="2281"/>
      <c r="V11" s="2281"/>
      <c r="W11" s="2281"/>
      <c r="X11" s="2281"/>
      <c r="Y11" s="2281"/>
      <c r="Z11" s="2281"/>
      <c r="AA11" s="2281"/>
      <c r="AB11" s="2281"/>
      <c r="AC11" s="2281"/>
      <c r="AD11" s="2281"/>
      <c r="AE11" s="2281"/>
      <c r="AF11" s="2281"/>
      <c r="AG11" s="2282"/>
    </row>
    <row r="12" spans="1:37" ht="26.1" customHeight="1">
      <c r="A12" s="2232" t="s">
        <v>1216</v>
      </c>
      <c r="B12" s="2233"/>
      <c r="C12" s="2233"/>
      <c r="D12" s="2233"/>
      <c r="E12" s="2233"/>
      <c r="F12" s="2233"/>
      <c r="G12" s="2233"/>
      <c r="H12" s="2233"/>
      <c r="I12" s="2233"/>
      <c r="J12" s="2214" t="s">
        <v>1215</v>
      </c>
      <c r="K12" s="2215"/>
      <c r="L12" s="2215"/>
      <c r="M12" s="2215"/>
      <c r="N12" s="2215"/>
      <c r="O12" s="2215"/>
      <c r="P12" s="2215"/>
      <c r="Q12" s="2215"/>
      <c r="R12" s="2215"/>
      <c r="S12" s="2215"/>
      <c r="T12" s="2215"/>
      <c r="U12" s="2215"/>
      <c r="V12" s="2215"/>
      <c r="W12" s="2215"/>
      <c r="X12" s="2215"/>
      <c r="Y12" s="2215"/>
      <c r="Z12" s="2215"/>
      <c r="AA12" s="2215"/>
      <c r="AB12" s="2215"/>
      <c r="AC12" s="2215"/>
      <c r="AD12" s="2215"/>
      <c r="AE12" s="2215"/>
      <c r="AF12" s="2215"/>
      <c r="AG12" s="2216"/>
    </row>
    <row r="13" spans="1:37" ht="26.1" customHeight="1" thickBot="1">
      <c r="A13" s="2266" t="s">
        <v>1217</v>
      </c>
      <c r="B13" s="2267"/>
      <c r="C13" s="2267"/>
      <c r="D13" s="2267"/>
      <c r="E13" s="2267"/>
      <c r="F13" s="2267"/>
      <c r="G13" s="2267"/>
      <c r="H13" s="2267"/>
      <c r="I13" s="2267"/>
      <c r="J13" s="2290" t="s">
        <v>1218</v>
      </c>
      <c r="K13" s="2290"/>
      <c r="L13" s="2290"/>
      <c r="M13" s="2290"/>
      <c r="N13" s="2290"/>
      <c r="O13" s="2290"/>
      <c r="P13" s="2290"/>
      <c r="Q13" s="2290"/>
      <c r="R13" s="2290"/>
      <c r="S13" s="2290"/>
      <c r="T13" s="2290"/>
      <c r="U13" s="2290"/>
      <c r="V13" s="2290"/>
      <c r="W13" s="2290"/>
      <c r="X13" s="2290"/>
      <c r="Y13" s="2290"/>
      <c r="Z13" s="2290"/>
      <c r="AA13" s="2290"/>
      <c r="AB13" s="2290"/>
      <c r="AC13" s="2290"/>
      <c r="AD13" s="2290"/>
      <c r="AE13" s="2290"/>
      <c r="AF13" s="2290"/>
      <c r="AG13" s="2291"/>
    </row>
    <row r="14" spans="1:37" ht="22.5" customHeight="1">
      <c r="A14" s="2195" t="s">
        <v>1219</v>
      </c>
      <c r="B14" s="2196"/>
      <c r="C14" s="2196"/>
      <c r="D14" s="2196"/>
      <c r="E14" s="2197"/>
      <c r="F14" s="2268" t="s">
        <v>1220</v>
      </c>
      <c r="G14" s="2268"/>
      <c r="H14" s="2268"/>
      <c r="I14" s="2268"/>
      <c r="J14" s="2277"/>
      <c r="K14" s="2278"/>
      <c r="L14" s="2278"/>
      <c r="M14" s="2278"/>
      <c r="N14" s="2278"/>
      <c r="O14" s="2278"/>
      <c r="P14" s="2278"/>
      <c r="Q14" s="2278"/>
      <c r="R14" s="2278"/>
      <c r="S14" s="2278"/>
      <c r="T14" s="2278"/>
      <c r="U14" s="2278"/>
      <c r="V14" s="2279"/>
      <c r="W14" s="2268" t="s">
        <v>1221</v>
      </c>
      <c r="X14" s="2268"/>
      <c r="Y14" s="2268"/>
      <c r="Z14" s="2268"/>
      <c r="AA14" s="2280"/>
      <c r="AB14" s="2281"/>
      <c r="AC14" s="2281"/>
      <c r="AD14" s="2281"/>
      <c r="AE14" s="2281"/>
      <c r="AF14" s="2281"/>
      <c r="AG14" s="2282"/>
    </row>
    <row r="15" spans="1:37" ht="22.5" customHeight="1">
      <c r="A15" s="2198"/>
      <c r="B15" s="2199"/>
      <c r="C15" s="2199"/>
      <c r="D15" s="2199"/>
      <c r="E15" s="2200"/>
      <c r="F15" s="2191" t="s">
        <v>1076</v>
      </c>
      <c r="G15" s="2191"/>
      <c r="H15" s="2191"/>
      <c r="I15" s="2191"/>
      <c r="J15" s="2214" t="s">
        <v>1222</v>
      </c>
      <c r="K15" s="2215"/>
      <c r="L15" s="2215"/>
      <c r="M15" s="109"/>
      <c r="N15" s="109" t="s">
        <v>67</v>
      </c>
      <c r="O15" s="109"/>
      <c r="P15" s="109" t="s">
        <v>68</v>
      </c>
      <c r="Q15" s="109"/>
      <c r="R15" s="109" t="s">
        <v>92</v>
      </c>
      <c r="S15" s="110" t="s">
        <v>1223</v>
      </c>
      <c r="T15" s="110"/>
      <c r="U15" s="2230" t="s">
        <v>1224</v>
      </c>
      <c r="V15" s="2231"/>
      <c r="W15" s="2191" t="s">
        <v>1225</v>
      </c>
      <c r="X15" s="2191"/>
      <c r="Y15" s="2191"/>
      <c r="Z15" s="2191"/>
      <c r="AA15" s="2214" t="s">
        <v>1226</v>
      </c>
      <c r="AB15" s="2215"/>
      <c r="AC15" s="2215"/>
      <c r="AD15" s="2215"/>
      <c r="AE15" s="2215"/>
      <c r="AF15" s="2215"/>
      <c r="AG15" s="2216"/>
    </row>
    <row r="16" spans="1:37" ht="22.5" customHeight="1">
      <c r="A16" s="2198"/>
      <c r="B16" s="2199"/>
      <c r="C16" s="2199"/>
      <c r="D16" s="2199"/>
      <c r="E16" s="2200"/>
      <c r="F16" s="2218" t="s">
        <v>1227</v>
      </c>
      <c r="G16" s="2219"/>
      <c r="H16" s="2219"/>
      <c r="I16" s="2220"/>
      <c r="J16" s="2286" t="s">
        <v>1228</v>
      </c>
      <c r="K16" s="2287"/>
      <c r="L16" s="2287"/>
      <c r="M16" s="2287"/>
      <c r="N16" s="2287"/>
      <c r="O16" s="2287"/>
      <c r="P16" s="2287"/>
      <c r="Q16" s="2287"/>
      <c r="R16" s="2287"/>
      <c r="S16" s="2287"/>
      <c r="T16" s="2287"/>
      <c r="U16" s="2287"/>
      <c r="V16" s="2287"/>
      <c r="W16" s="2287"/>
      <c r="X16" s="2287"/>
      <c r="Y16" s="2287"/>
      <c r="Z16" s="2287"/>
      <c r="AA16" s="2287"/>
      <c r="AB16" s="2287"/>
      <c r="AC16" s="2287"/>
      <c r="AD16" s="2287"/>
      <c r="AE16" s="2287"/>
      <c r="AF16" s="2287"/>
      <c r="AG16" s="2288"/>
    </row>
    <row r="17" spans="1:43" ht="22.5" customHeight="1">
      <c r="A17" s="2198"/>
      <c r="B17" s="2199"/>
      <c r="C17" s="2199"/>
      <c r="D17" s="2199"/>
      <c r="E17" s="2200"/>
      <c r="F17" s="2221"/>
      <c r="G17" s="2222"/>
      <c r="H17" s="2222"/>
      <c r="I17" s="2223"/>
      <c r="J17" s="572"/>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111"/>
    </row>
    <row r="18" spans="1:43" ht="22.5" customHeight="1">
      <c r="A18" s="2198"/>
      <c r="B18" s="2199"/>
      <c r="C18" s="2199"/>
      <c r="D18" s="2199"/>
      <c r="E18" s="2200"/>
      <c r="F18" s="2274" t="s">
        <v>1229</v>
      </c>
      <c r="G18" s="2275"/>
      <c r="H18" s="2275"/>
      <c r="I18" s="2276"/>
      <c r="J18" s="2214" t="s">
        <v>1230</v>
      </c>
      <c r="K18" s="2215"/>
      <c r="L18" s="2215"/>
      <c r="M18" s="2215"/>
      <c r="N18" s="2215"/>
      <c r="O18" s="2215"/>
      <c r="P18" s="2215"/>
      <c r="Q18" s="2215"/>
      <c r="R18" s="2215"/>
      <c r="S18" s="2215"/>
      <c r="T18" s="2215"/>
      <c r="U18" s="2215"/>
      <c r="V18" s="2215"/>
      <c r="W18" s="2215"/>
      <c r="X18" s="2215"/>
      <c r="Y18" s="2215"/>
      <c r="Z18" s="2215"/>
      <c r="AA18" s="2215"/>
      <c r="AB18" s="2215"/>
      <c r="AC18" s="2215"/>
      <c r="AD18" s="2215"/>
      <c r="AE18" s="2215"/>
      <c r="AF18" s="2215"/>
      <c r="AG18" s="2216"/>
    </row>
    <row r="19" spans="1:43" ht="22.5" customHeight="1">
      <c r="A19" s="2198"/>
      <c r="B19" s="2199"/>
      <c r="C19" s="2199"/>
      <c r="D19" s="2199"/>
      <c r="E19" s="2200"/>
      <c r="F19" s="2191" t="s">
        <v>749</v>
      </c>
      <c r="G19" s="2191"/>
      <c r="H19" s="2191"/>
      <c r="I19" s="2191"/>
      <c r="J19" s="2214" t="s">
        <v>1231</v>
      </c>
      <c r="K19" s="2215"/>
      <c r="L19" s="2215"/>
      <c r="M19" s="2215"/>
      <c r="N19" s="2215"/>
      <c r="O19" s="2215"/>
      <c r="P19" s="2215"/>
      <c r="Q19" s="2215"/>
      <c r="R19" s="2215"/>
      <c r="S19" s="2215"/>
      <c r="T19" s="2215"/>
      <c r="U19" s="2215"/>
      <c r="V19" s="2289"/>
      <c r="W19" s="2218" t="s">
        <v>1232</v>
      </c>
      <c r="X19" s="2219"/>
      <c r="Y19" s="2219"/>
      <c r="Z19" s="2220"/>
      <c r="AA19" s="2214" t="s">
        <v>1233</v>
      </c>
      <c r="AB19" s="2215"/>
      <c r="AC19" s="2215"/>
      <c r="AD19" s="2215"/>
      <c r="AE19" s="2215"/>
      <c r="AF19" s="2215"/>
      <c r="AG19" s="2216"/>
    </row>
    <row r="20" spans="1:43" ht="22.5" customHeight="1">
      <c r="A20" s="2198"/>
      <c r="B20" s="2199"/>
      <c r="C20" s="2199"/>
      <c r="D20" s="2199"/>
      <c r="E20" s="2200"/>
      <c r="F20" s="2191" t="s">
        <v>1234</v>
      </c>
      <c r="G20" s="2191"/>
      <c r="H20" s="2191"/>
      <c r="I20" s="2191"/>
      <c r="J20" s="2192" t="s">
        <v>1235</v>
      </c>
      <c r="K20" s="2192"/>
      <c r="L20" s="2192"/>
      <c r="M20" s="2192"/>
      <c r="N20" s="2192"/>
      <c r="O20" s="2192"/>
      <c r="P20" s="2192"/>
      <c r="Q20" s="2192"/>
      <c r="R20" s="2192"/>
      <c r="S20" s="2192"/>
      <c r="T20" s="2192"/>
      <c r="U20" s="2192"/>
      <c r="V20" s="2192"/>
      <c r="W20" s="2192"/>
      <c r="X20" s="2192"/>
      <c r="Y20" s="2192"/>
      <c r="Z20" s="2192"/>
      <c r="AA20" s="2192"/>
      <c r="AB20" s="2192"/>
      <c r="AC20" s="2192"/>
      <c r="AD20" s="2192"/>
      <c r="AE20" s="2192"/>
      <c r="AF20" s="2192"/>
      <c r="AG20" s="2193"/>
    </row>
    <row r="21" spans="1:43" ht="22.5" customHeight="1">
      <c r="A21" s="2198"/>
      <c r="B21" s="2199"/>
      <c r="C21" s="2199"/>
      <c r="D21" s="2199"/>
      <c r="E21" s="2200"/>
      <c r="F21" s="2218" t="s">
        <v>1236</v>
      </c>
      <c r="G21" s="2219"/>
      <c r="H21" s="2219"/>
      <c r="I21" s="2220"/>
      <c r="J21" s="2224" t="s">
        <v>1237</v>
      </c>
      <c r="K21" s="2225"/>
      <c r="L21" s="2225"/>
      <c r="M21" s="2225"/>
      <c r="N21" s="2225"/>
      <c r="O21" s="2225"/>
      <c r="P21" s="2225"/>
      <c r="Q21" s="2225"/>
      <c r="R21" s="2225"/>
      <c r="S21" s="2225"/>
      <c r="T21" s="2225"/>
      <c r="U21" s="2225"/>
      <c r="V21" s="2225"/>
      <c r="W21" s="2225"/>
      <c r="X21" s="2225"/>
      <c r="Y21" s="2225"/>
      <c r="Z21" s="2225"/>
      <c r="AA21" s="2225"/>
      <c r="AB21" s="2225"/>
      <c r="AC21" s="2225"/>
      <c r="AD21" s="2225"/>
      <c r="AE21" s="2225"/>
      <c r="AF21" s="2225"/>
      <c r="AG21" s="2226"/>
      <c r="AQ21" s="88" ph="1"/>
    </row>
    <row r="22" spans="1:43" ht="22.5" customHeight="1">
      <c r="A22" s="2198"/>
      <c r="B22" s="2199"/>
      <c r="C22" s="2199"/>
      <c r="D22" s="2199"/>
      <c r="E22" s="2200"/>
      <c r="F22" s="2221"/>
      <c r="G22" s="2222"/>
      <c r="H22" s="2222"/>
      <c r="I22" s="2223"/>
      <c r="J22" s="2227" t="s">
        <v>1238</v>
      </c>
      <c r="K22" s="2228"/>
      <c r="L22" s="2228"/>
      <c r="M22" s="2228"/>
      <c r="N22" s="2228"/>
      <c r="O22" s="2228"/>
      <c r="P22" s="2228"/>
      <c r="Q22" s="2228"/>
      <c r="R22" s="2228"/>
      <c r="S22" s="2228"/>
      <c r="T22" s="2228"/>
      <c r="U22" s="2228"/>
      <c r="V22" s="2228"/>
      <c r="W22" s="2228"/>
      <c r="X22" s="2228"/>
      <c r="Y22" s="2228"/>
      <c r="Z22" s="2228"/>
      <c r="AA22" s="2228"/>
      <c r="AB22" s="2228"/>
      <c r="AC22" s="2228"/>
      <c r="AD22" s="2228"/>
      <c r="AE22" s="2228"/>
      <c r="AF22" s="2228"/>
      <c r="AG22" s="2229"/>
    </row>
    <row r="23" spans="1:43" ht="22.5" customHeight="1">
      <c r="A23" s="2198"/>
      <c r="B23" s="2199"/>
      <c r="C23" s="2199"/>
      <c r="D23" s="2199"/>
      <c r="E23" s="2200"/>
      <c r="F23" s="2217" t="s">
        <v>1239</v>
      </c>
      <c r="G23" s="2217"/>
      <c r="H23" s="2217"/>
      <c r="I23" s="2217"/>
      <c r="J23" s="2214" t="s">
        <v>1240</v>
      </c>
      <c r="K23" s="2215"/>
      <c r="L23" s="2215"/>
      <c r="M23" s="2215"/>
      <c r="N23" s="2215"/>
      <c r="O23" s="2215"/>
      <c r="P23" s="2215"/>
      <c r="Q23" s="2215"/>
      <c r="R23" s="2215"/>
      <c r="S23" s="2215"/>
      <c r="T23" s="2215"/>
      <c r="U23" s="2215"/>
      <c r="V23" s="2215"/>
      <c r="W23" s="2215"/>
      <c r="X23" s="2215"/>
      <c r="Y23" s="2215"/>
      <c r="Z23" s="2215"/>
      <c r="AA23" s="2215"/>
      <c r="AB23" s="2215"/>
      <c r="AC23" s="2215"/>
      <c r="AD23" s="2215"/>
      <c r="AE23" s="2215"/>
      <c r="AF23" s="2215"/>
      <c r="AG23" s="2216"/>
    </row>
    <row r="24" spans="1:43" ht="22.5" customHeight="1">
      <c r="A24" s="2198"/>
      <c r="B24" s="2199"/>
      <c r="C24" s="2199"/>
      <c r="D24" s="2199"/>
      <c r="E24" s="2200"/>
      <c r="F24" s="2204" t="s">
        <v>1241</v>
      </c>
      <c r="G24" s="2205"/>
      <c r="H24" s="2205"/>
      <c r="I24" s="2206"/>
      <c r="J24" s="2210"/>
      <c r="K24" s="2210"/>
      <c r="L24" s="2210"/>
      <c r="M24" s="2210"/>
      <c r="N24" s="2210"/>
      <c r="O24" s="2210"/>
      <c r="P24" s="2210"/>
      <c r="Q24" s="2210"/>
      <c r="R24" s="2210"/>
      <c r="S24" s="2210"/>
      <c r="T24" s="2210"/>
      <c r="U24" s="2210"/>
      <c r="V24" s="2210"/>
      <c r="W24" s="2210"/>
      <c r="X24" s="2210"/>
      <c r="Y24" s="2210"/>
      <c r="Z24" s="2210"/>
      <c r="AA24" s="2210"/>
      <c r="AB24" s="2210"/>
      <c r="AC24" s="2210"/>
      <c r="AD24" s="2210"/>
      <c r="AE24" s="2210"/>
      <c r="AF24" s="2210"/>
      <c r="AG24" s="2211"/>
    </row>
    <row r="25" spans="1:43" ht="22.5" customHeight="1" thickBot="1">
      <c r="A25" s="2201"/>
      <c r="B25" s="2202"/>
      <c r="C25" s="2202"/>
      <c r="D25" s="2202"/>
      <c r="E25" s="2203"/>
      <c r="F25" s="2207"/>
      <c r="G25" s="2208"/>
      <c r="H25" s="2208"/>
      <c r="I25" s="2209"/>
      <c r="J25" s="2212"/>
      <c r="K25" s="2212"/>
      <c r="L25" s="2212"/>
      <c r="M25" s="2212"/>
      <c r="N25" s="2212"/>
      <c r="O25" s="2212"/>
      <c r="P25" s="2212"/>
      <c r="Q25" s="2212"/>
      <c r="R25" s="2212"/>
      <c r="S25" s="2212"/>
      <c r="T25" s="2212"/>
      <c r="U25" s="2212"/>
      <c r="V25" s="2212"/>
      <c r="W25" s="2212"/>
      <c r="X25" s="2212"/>
      <c r="Y25" s="2212"/>
      <c r="Z25" s="2212"/>
      <c r="AA25" s="2212"/>
      <c r="AB25" s="2212"/>
      <c r="AC25" s="2212"/>
      <c r="AD25" s="2212"/>
      <c r="AE25" s="2212"/>
      <c r="AF25" s="2212"/>
      <c r="AG25" s="2213"/>
    </row>
    <row r="26" spans="1:43" ht="22.5" customHeight="1">
      <c r="A26" s="2241" t="s">
        <v>1242</v>
      </c>
      <c r="B26" s="2242"/>
      <c r="C26" s="2242"/>
      <c r="D26" s="2242"/>
      <c r="E26" s="2242"/>
      <c r="F26" s="2247"/>
      <c r="G26" s="2247"/>
      <c r="H26" s="2247"/>
      <c r="I26" s="2247"/>
      <c r="J26" s="2247"/>
      <c r="K26" s="2247"/>
      <c r="L26" s="2247"/>
      <c r="M26" s="2247"/>
      <c r="N26" s="2247"/>
      <c r="O26" s="2247"/>
      <c r="P26" s="2247"/>
      <c r="Q26" s="2247"/>
      <c r="R26" s="2247"/>
      <c r="S26" s="2247"/>
      <c r="T26" s="2247"/>
      <c r="U26" s="2247"/>
      <c r="V26" s="2247"/>
      <c r="W26" s="2247"/>
      <c r="X26" s="2247"/>
      <c r="Y26" s="2247"/>
      <c r="Z26" s="2247"/>
      <c r="AA26" s="2247"/>
      <c r="AB26" s="2247"/>
      <c r="AC26" s="2247"/>
      <c r="AD26" s="2247"/>
      <c r="AE26" s="2247"/>
      <c r="AF26" s="2247"/>
      <c r="AG26" s="2248"/>
    </row>
    <row r="27" spans="1:43" ht="22.5" customHeight="1">
      <c r="A27" s="2243"/>
      <c r="B27" s="2244"/>
      <c r="C27" s="2244"/>
      <c r="D27" s="2244"/>
      <c r="E27" s="2244"/>
      <c r="F27" s="2258"/>
      <c r="G27" s="2259"/>
      <c r="H27" s="2259"/>
      <c r="I27" s="2259"/>
      <c r="J27" s="2259"/>
      <c r="K27" s="2259"/>
      <c r="L27" s="2259"/>
      <c r="M27" s="2259"/>
      <c r="N27" s="2259"/>
      <c r="O27" s="2259"/>
      <c r="P27" s="2259"/>
      <c r="Q27" s="2259"/>
      <c r="R27" s="2259"/>
      <c r="S27" s="2259"/>
      <c r="T27" s="2259"/>
      <c r="U27" s="2259"/>
      <c r="V27" s="2259"/>
      <c r="W27" s="2259"/>
      <c r="X27" s="2259"/>
      <c r="Y27" s="2259"/>
      <c r="Z27" s="2259"/>
      <c r="AA27" s="2259"/>
      <c r="AB27" s="2259"/>
      <c r="AC27" s="2259"/>
      <c r="AD27" s="2259"/>
      <c r="AE27" s="2259"/>
      <c r="AF27" s="2259"/>
      <c r="AG27" s="2260"/>
    </row>
    <row r="28" spans="1:43" ht="22.5" customHeight="1" thickBot="1">
      <c r="A28" s="2245"/>
      <c r="B28" s="2246"/>
      <c r="C28" s="2246"/>
      <c r="D28" s="2246"/>
      <c r="E28" s="2246"/>
      <c r="F28" s="2249"/>
      <c r="G28" s="2249"/>
      <c r="H28" s="2249"/>
      <c r="I28" s="2249"/>
      <c r="J28" s="2249"/>
      <c r="K28" s="2249"/>
      <c r="L28" s="2249"/>
      <c r="M28" s="2249"/>
      <c r="N28" s="2249"/>
      <c r="O28" s="2249"/>
      <c r="P28" s="2249"/>
      <c r="Q28" s="2249"/>
      <c r="R28" s="2249"/>
      <c r="S28" s="2249"/>
      <c r="T28" s="2249"/>
      <c r="U28" s="2249"/>
      <c r="V28" s="2249"/>
      <c r="W28" s="2249"/>
      <c r="X28" s="2249"/>
      <c r="Y28" s="2249"/>
      <c r="Z28" s="2249"/>
      <c r="AA28" s="2249"/>
      <c r="AB28" s="2249"/>
      <c r="AC28" s="2249"/>
      <c r="AD28" s="2249"/>
      <c r="AE28" s="2249"/>
      <c r="AF28" s="2249"/>
      <c r="AG28" s="2250"/>
    </row>
    <row r="29" spans="1:43" ht="22.5" customHeight="1">
      <c r="A29" s="2264" t="s">
        <v>1243</v>
      </c>
      <c r="B29" s="2265"/>
      <c r="C29" s="2265"/>
      <c r="D29" s="2265"/>
      <c r="E29" s="2265"/>
      <c r="F29" s="2268" t="s">
        <v>1244</v>
      </c>
      <c r="G29" s="2268"/>
      <c r="H29" s="2268"/>
      <c r="I29" s="2268"/>
      <c r="J29" s="2207"/>
      <c r="K29" s="2208"/>
      <c r="L29" s="2208"/>
      <c r="M29" s="2208"/>
      <c r="N29" s="2208"/>
      <c r="O29" s="2208"/>
      <c r="P29" s="2208"/>
      <c r="Q29" s="2208"/>
      <c r="R29" s="2208"/>
      <c r="S29" s="2208"/>
      <c r="T29" s="2208"/>
      <c r="U29" s="2208"/>
      <c r="V29" s="2209"/>
      <c r="W29" s="2207" t="s">
        <v>1245</v>
      </c>
      <c r="X29" s="2208"/>
      <c r="Y29" s="2208"/>
      <c r="Z29" s="2209"/>
      <c r="AA29" s="2207"/>
      <c r="AB29" s="2208"/>
      <c r="AC29" s="2208"/>
      <c r="AD29" s="2208"/>
      <c r="AE29" s="2208"/>
      <c r="AF29" s="2208"/>
      <c r="AG29" s="2257"/>
    </row>
    <row r="30" spans="1:43" ht="22.5" customHeight="1">
      <c r="A30" s="2232"/>
      <c r="B30" s="2233"/>
      <c r="C30" s="2233"/>
      <c r="D30" s="2233"/>
      <c r="E30" s="2233"/>
      <c r="F30" s="2191" t="s">
        <v>1246</v>
      </c>
      <c r="G30" s="2191"/>
      <c r="H30" s="2191"/>
      <c r="I30" s="2191"/>
      <c r="J30" s="2251"/>
      <c r="K30" s="2252"/>
      <c r="L30" s="2252"/>
      <c r="M30" s="2252"/>
      <c r="N30" s="2252"/>
      <c r="O30" s="2252"/>
      <c r="P30" s="2252"/>
      <c r="Q30" s="2252"/>
      <c r="R30" s="2252"/>
      <c r="S30" s="2252"/>
      <c r="T30" s="2252"/>
      <c r="U30" s="2252"/>
      <c r="V30" s="2253"/>
      <c r="W30" s="2251" t="s">
        <v>1247</v>
      </c>
      <c r="X30" s="2252"/>
      <c r="Y30" s="2252"/>
      <c r="Z30" s="2253"/>
      <c r="AA30" s="2251"/>
      <c r="AB30" s="2252"/>
      <c r="AC30" s="2252"/>
      <c r="AD30" s="2252"/>
      <c r="AE30" s="2252"/>
      <c r="AF30" s="2252"/>
      <c r="AG30" s="2254"/>
    </row>
    <row r="31" spans="1:43" ht="22.5" customHeight="1" thickBot="1">
      <c r="A31" s="2266"/>
      <c r="B31" s="2267"/>
      <c r="C31" s="2267"/>
      <c r="D31" s="2267"/>
      <c r="E31" s="2267"/>
      <c r="F31" s="2270" t="s">
        <v>1248</v>
      </c>
      <c r="G31" s="2270"/>
      <c r="H31" s="2270"/>
      <c r="I31" s="2270"/>
      <c r="J31" s="2255"/>
      <c r="K31" s="2255"/>
      <c r="L31" s="2255"/>
      <c r="M31" s="2255"/>
      <c r="N31" s="2255"/>
      <c r="O31" s="2255"/>
      <c r="P31" s="2255"/>
      <c r="Q31" s="2255"/>
      <c r="R31" s="2255"/>
      <c r="S31" s="2255"/>
      <c r="T31" s="2255"/>
      <c r="U31" s="2255"/>
      <c r="V31" s="2255"/>
      <c r="W31" s="2255"/>
      <c r="X31" s="2255"/>
      <c r="Y31" s="2255"/>
      <c r="Z31" s="2255"/>
      <c r="AA31" s="2255"/>
      <c r="AB31" s="2255"/>
      <c r="AC31" s="2255"/>
      <c r="AD31" s="2255"/>
      <c r="AE31" s="2255"/>
      <c r="AF31" s="2255"/>
      <c r="AG31" s="2256"/>
    </row>
    <row r="32" spans="1:43" ht="13.5" customHeight="1">
      <c r="G32" s="93"/>
    </row>
    <row r="33" spans="1:36" ht="15" customHeight="1">
      <c r="A33" s="112" t="s">
        <v>1249</v>
      </c>
      <c r="B33" s="113"/>
      <c r="C33" s="113"/>
      <c r="D33" s="113"/>
      <c r="E33" s="113"/>
      <c r="R33" s="2269" t="s">
        <v>1250</v>
      </c>
      <c r="S33" s="2269"/>
      <c r="T33" s="2269"/>
      <c r="U33" s="2269"/>
      <c r="V33" s="2269"/>
      <c r="W33" s="2269"/>
      <c r="X33" s="2269"/>
      <c r="Y33" s="2269"/>
      <c r="Z33" s="2269"/>
      <c r="AA33" s="2269"/>
      <c r="AB33" s="2269"/>
      <c r="AC33" s="2269"/>
      <c r="AD33" s="2269"/>
      <c r="AE33" s="2269"/>
      <c r="AF33" s="2269"/>
      <c r="AG33" s="2269"/>
      <c r="AI33" s="114"/>
    </row>
    <row r="34" spans="1:36" ht="14.25">
      <c r="A34" s="113"/>
      <c r="B34" s="2261" t="str">
        <f>【マスター】!C21</f>
        <v>株式会社ケアサポート</v>
      </c>
      <c r="C34" s="2261"/>
      <c r="D34" s="2261"/>
      <c r="E34" s="2261"/>
      <c r="F34" s="2261"/>
      <c r="G34" s="2261"/>
      <c r="H34" s="2261"/>
      <c r="I34" s="2261"/>
      <c r="J34" s="2261"/>
      <c r="K34" s="2261"/>
      <c r="L34" s="2261"/>
      <c r="M34" s="2261"/>
      <c r="N34" s="2261"/>
      <c r="O34" s="2261"/>
      <c r="P34" s="2261"/>
      <c r="Q34" s="2261"/>
      <c r="R34" s="2269"/>
      <c r="S34" s="2269"/>
      <c r="T34" s="2269"/>
      <c r="U34" s="2269"/>
      <c r="V34" s="2269"/>
      <c r="W34" s="2269"/>
      <c r="X34" s="2269"/>
      <c r="Y34" s="2269"/>
      <c r="Z34" s="2269"/>
      <c r="AA34" s="2269"/>
      <c r="AB34" s="2269"/>
      <c r="AC34" s="2269"/>
      <c r="AD34" s="2269"/>
      <c r="AE34" s="2269"/>
      <c r="AF34" s="2269"/>
      <c r="AG34" s="2269"/>
    </row>
    <row r="35" spans="1:36" ht="14.25">
      <c r="A35" s="113"/>
      <c r="B35" s="2261" t="str">
        <f>【マスター】!C7</f>
        <v>デイサービスさつきの湯</v>
      </c>
      <c r="C35" s="2261"/>
      <c r="D35" s="2261"/>
      <c r="E35" s="2261"/>
      <c r="F35" s="2261"/>
      <c r="G35" s="2261"/>
      <c r="H35" s="2261"/>
      <c r="I35" s="2261"/>
      <c r="J35" s="2261"/>
      <c r="K35" s="2261"/>
      <c r="L35" s="2261"/>
      <c r="M35" s="2261"/>
      <c r="N35" s="2261"/>
      <c r="O35" s="2261"/>
      <c r="P35" s="2261"/>
      <c r="Q35" s="2261"/>
      <c r="R35" s="2269"/>
      <c r="S35" s="2269"/>
      <c r="T35" s="2269"/>
      <c r="U35" s="2269"/>
      <c r="V35" s="2269"/>
      <c r="W35" s="2269"/>
      <c r="X35" s="2269"/>
      <c r="Y35" s="2269"/>
      <c r="Z35" s="2269"/>
      <c r="AA35" s="2269"/>
      <c r="AB35" s="2269"/>
      <c r="AC35" s="2269"/>
      <c r="AD35" s="2269"/>
      <c r="AE35" s="2269"/>
      <c r="AF35" s="2269"/>
      <c r="AG35" s="2269"/>
    </row>
    <row r="36" spans="1:36" ht="14.25">
      <c r="A36" s="113"/>
      <c r="B36" s="2239" t="str">
        <f>DBCS(【マスター】!C8&amp;【マスター】!D8&amp;【マスター】!E8)</f>
        <v>４４２－０８５７</v>
      </c>
      <c r="C36" s="2239"/>
      <c r="D36" s="2239"/>
      <c r="E36" s="2239"/>
      <c r="F36" s="2239"/>
      <c r="G36" s="2239"/>
      <c r="H36" s="2239"/>
      <c r="I36" s="2239"/>
      <c r="J36" s="2239"/>
      <c r="K36" s="2239"/>
      <c r="L36" s="2239"/>
      <c r="M36" s="2239"/>
      <c r="N36" s="2239"/>
      <c r="O36" s="2239"/>
      <c r="P36" s="2239"/>
      <c r="Q36" s="2239"/>
    </row>
    <row r="37" spans="1:36" ht="14.25">
      <c r="A37" s="113"/>
      <c r="B37" s="2239" t="str">
        <f>DBCS(【マスター】!F8)</f>
        <v>愛知県豊川市八幡町本郷１４番地１</v>
      </c>
      <c r="C37" s="2239"/>
      <c r="D37" s="2239"/>
      <c r="E37" s="2239"/>
      <c r="F37" s="2239"/>
      <c r="G37" s="2239"/>
      <c r="H37" s="2239"/>
      <c r="I37" s="2239"/>
      <c r="J37" s="2239"/>
      <c r="K37" s="2239"/>
      <c r="L37" s="2239"/>
      <c r="M37" s="2239"/>
      <c r="N37" s="2239"/>
      <c r="O37" s="2239"/>
      <c r="P37" s="2239"/>
      <c r="Q37" s="2239"/>
    </row>
    <row r="38" spans="1:36" ht="14.25">
      <c r="A38" s="113"/>
      <c r="B38" s="2263" t="s">
        <v>1247</v>
      </c>
      <c r="C38" s="2263"/>
      <c r="D38" s="2239" t="str">
        <f>DBCS(【マスター】!C9)</f>
        <v>０５３３－５６－７０８７</v>
      </c>
      <c r="E38" s="2239"/>
      <c r="F38" s="2239"/>
      <c r="G38" s="2239"/>
      <c r="H38" s="2239"/>
      <c r="I38" s="2239"/>
      <c r="J38" s="2239"/>
      <c r="K38" s="2239"/>
      <c r="L38" s="2239"/>
      <c r="M38" s="2239"/>
      <c r="N38" s="2239"/>
      <c r="O38" s="2239"/>
      <c r="P38" s="2239"/>
      <c r="Q38" s="2239"/>
    </row>
    <row r="39" spans="1:36" ht="14.25">
      <c r="A39" s="113"/>
      <c r="B39" s="2263" t="s">
        <v>1251</v>
      </c>
      <c r="C39" s="2263"/>
      <c r="D39" s="2239" t="str">
        <f>DBCS(【マスター】!I9)</f>
        <v>０５３３－５６－７０８８</v>
      </c>
      <c r="E39" s="2239"/>
      <c r="F39" s="2239"/>
      <c r="G39" s="2239"/>
      <c r="H39" s="2239"/>
      <c r="I39" s="2239"/>
      <c r="J39" s="2239"/>
      <c r="K39" s="2239"/>
      <c r="L39" s="2239"/>
      <c r="M39" s="2239"/>
      <c r="N39" s="2239"/>
      <c r="O39" s="2239"/>
      <c r="P39" s="2239"/>
      <c r="Q39" s="2239"/>
      <c r="AJ39" s="114"/>
    </row>
    <row r="40" spans="1:36" ht="15">
      <c r="A40" s="93"/>
      <c r="B40" s="2240" t="s">
        <v>1252</v>
      </c>
      <c r="C40" s="2240"/>
      <c r="D40" s="2239" t="str">
        <f>DBCS(【マスター】!C20)</f>
        <v>繁原　秀章</v>
      </c>
      <c r="E40" s="2239"/>
      <c r="F40" s="2239"/>
      <c r="G40" s="2239"/>
      <c r="H40" s="2239"/>
      <c r="I40" s="2239"/>
      <c r="J40" s="2239"/>
      <c r="K40" s="2239"/>
      <c r="L40" s="2239"/>
      <c r="M40" s="2239"/>
      <c r="N40" s="2239"/>
      <c r="O40" s="2239"/>
      <c r="P40" s="2239"/>
      <c r="Q40" s="2239"/>
      <c r="R40" s="115"/>
      <c r="S40" s="115"/>
      <c r="T40" s="115"/>
      <c r="U40" s="115"/>
      <c r="V40" s="115"/>
      <c r="W40" s="115"/>
      <c r="X40" s="115"/>
      <c r="Y40" s="115"/>
      <c r="Z40" s="115"/>
      <c r="AA40" s="115"/>
      <c r="AB40" s="115"/>
      <c r="AC40" s="115"/>
      <c r="AD40" s="115"/>
      <c r="AE40" s="115"/>
      <c r="AF40" s="115"/>
      <c r="AG40" s="115"/>
    </row>
    <row r="41" spans="1:36" ht="32.25" customHeight="1">
      <c r="A41" s="2262"/>
      <c r="B41" s="2262"/>
      <c r="C41" s="2262"/>
      <c r="D41" s="2262"/>
      <c r="E41" s="2262"/>
      <c r="F41" s="2262"/>
      <c r="G41" s="2262"/>
      <c r="H41" s="2262"/>
      <c r="I41" s="2262"/>
      <c r="J41" s="2262"/>
      <c r="K41" s="2262"/>
      <c r="L41" s="2262"/>
      <c r="M41" s="2262"/>
      <c r="N41" s="2262"/>
      <c r="O41" s="2262"/>
      <c r="P41" s="2262"/>
      <c r="Q41" s="2262"/>
      <c r="R41" s="2262"/>
      <c r="S41" s="2262"/>
      <c r="T41" s="2262"/>
      <c r="U41" s="2262"/>
      <c r="V41" s="2262"/>
      <c r="W41" s="2262"/>
      <c r="X41" s="2262"/>
      <c r="Y41" s="2262"/>
      <c r="Z41" s="2262"/>
      <c r="AA41" s="2262"/>
      <c r="AB41" s="2262"/>
      <c r="AC41" s="2262"/>
      <c r="AD41" s="2262"/>
      <c r="AE41" s="2262"/>
      <c r="AF41" s="2262"/>
      <c r="AG41" s="2262"/>
      <c r="AH41" s="88" t="s">
        <v>1253</v>
      </c>
    </row>
    <row r="42" spans="1:36" ht="15">
      <c r="B42" s="115"/>
      <c r="C42" s="115"/>
      <c r="D42" s="115"/>
      <c r="E42" s="115"/>
      <c r="F42" s="115"/>
      <c r="G42" s="115"/>
      <c r="H42" s="115"/>
      <c r="I42" s="115"/>
      <c r="J42" s="115"/>
      <c r="K42" s="115"/>
      <c r="L42" s="115"/>
      <c r="M42" s="115"/>
      <c r="N42" s="115"/>
      <c r="O42" s="115"/>
      <c r="P42" s="115"/>
      <c r="Q42" s="115"/>
    </row>
    <row r="48" spans="1:36" ht="122.25" customHeight="1"/>
  </sheetData>
  <sheetProtection formatCells="0" insertHyperlinks="0" selectLockedCells="1"/>
  <mergeCells count="68">
    <mergeCell ref="A4:AG4"/>
    <mergeCell ref="F14:I14"/>
    <mergeCell ref="F18:I18"/>
    <mergeCell ref="F19:I19"/>
    <mergeCell ref="J14:V14"/>
    <mergeCell ref="W14:Z14"/>
    <mergeCell ref="AA14:AG14"/>
    <mergeCell ref="A5:AG5"/>
    <mergeCell ref="J16:AG16"/>
    <mergeCell ref="J19:V19"/>
    <mergeCell ref="W19:Z19"/>
    <mergeCell ref="AA19:AG19"/>
    <mergeCell ref="J11:AG11"/>
    <mergeCell ref="J12:AG12"/>
    <mergeCell ref="A13:I13"/>
    <mergeCell ref="J13:AG13"/>
    <mergeCell ref="F16:I17"/>
    <mergeCell ref="J18:AG18"/>
    <mergeCell ref="F15:I15"/>
    <mergeCell ref="J15:L15"/>
    <mergeCell ref="A41:AG41"/>
    <mergeCell ref="B38:C38"/>
    <mergeCell ref="D38:Q38"/>
    <mergeCell ref="A29:E31"/>
    <mergeCell ref="F29:I29"/>
    <mergeCell ref="R33:AG35"/>
    <mergeCell ref="B35:Q35"/>
    <mergeCell ref="B36:Q36"/>
    <mergeCell ref="B37:Q37"/>
    <mergeCell ref="F30:I30"/>
    <mergeCell ref="F31:I31"/>
    <mergeCell ref="B39:C39"/>
    <mergeCell ref="D39:Q39"/>
    <mergeCell ref="B40:C40"/>
    <mergeCell ref="D40:Q40"/>
    <mergeCell ref="A26:E28"/>
    <mergeCell ref="F26:AG26"/>
    <mergeCell ref="F28:AG28"/>
    <mergeCell ref="J30:V30"/>
    <mergeCell ref="W30:Z30"/>
    <mergeCell ref="AA30:AG30"/>
    <mergeCell ref="J31:AG31"/>
    <mergeCell ref="J29:V29"/>
    <mergeCell ref="W29:Z29"/>
    <mergeCell ref="AA29:AG29"/>
    <mergeCell ref="F27:AG27"/>
    <mergeCell ref="B34:Q34"/>
    <mergeCell ref="B6:S6"/>
    <mergeCell ref="B9:S9"/>
    <mergeCell ref="B10:S10"/>
    <mergeCell ref="B7:S7"/>
    <mergeCell ref="A11:I11"/>
    <mergeCell ref="F20:I20"/>
    <mergeCell ref="J20:AG20"/>
    <mergeCell ref="B8:S8"/>
    <mergeCell ref="A14:E25"/>
    <mergeCell ref="F24:I25"/>
    <mergeCell ref="J24:AG24"/>
    <mergeCell ref="J25:AG25"/>
    <mergeCell ref="J23:AG23"/>
    <mergeCell ref="F23:I23"/>
    <mergeCell ref="F21:I22"/>
    <mergeCell ref="J21:AG21"/>
    <mergeCell ref="J22:AG22"/>
    <mergeCell ref="U15:V15"/>
    <mergeCell ref="W15:Z15"/>
    <mergeCell ref="AA15:AG15"/>
    <mergeCell ref="A12:I12"/>
  </mergeCells>
  <phoneticPr fontId="17" type="Hiragana" alignment="noControl"/>
  <printOptions horizontalCentered="1" verticalCentered="1"/>
  <pageMargins left="0.70866141732283472" right="0.70866141732283472" top="0.55118110236220474" bottom="0.55118110236220474" header="0.31496062992125984" footer="0.31496062992125984"/>
  <pageSetup paperSize="9" scale="87" fitToHeight="0" orientation="portrait" verticalDpi="300" r:id="rId1"/>
  <headerFooter>
    <oddFooter>&amp;L【通所介護_BMC】</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pageSetUpPr fitToPage="1"/>
  </sheetPr>
  <dimension ref="A1:Z65"/>
  <sheetViews>
    <sheetView workbookViewId="0"/>
  </sheetViews>
  <sheetFormatPr defaultColWidth="9" defaultRowHeight="13.5"/>
  <cols>
    <col min="1" max="16" width="12.625" style="201" customWidth="1"/>
    <col min="17" max="17" width="9" style="201"/>
    <col min="18" max="26" width="9" style="201" customWidth="1"/>
    <col min="27" max="16384" width="9" style="201"/>
  </cols>
  <sheetData>
    <row r="1" spans="1:23" s="185" customFormat="1" ht="12">
      <c r="A1" s="179"/>
      <c r="B1" s="180"/>
      <c r="C1" s="180"/>
      <c r="D1" s="180"/>
      <c r="E1" s="180"/>
      <c r="F1" s="180"/>
      <c r="G1" s="180"/>
      <c r="H1" s="181" t="s">
        <v>1254</v>
      </c>
      <c r="I1" s="182"/>
      <c r="J1" s="182"/>
      <c r="K1" s="182"/>
      <c r="L1" s="182"/>
      <c r="M1" s="182"/>
      <c r="N1" s="182"/>
      <c r="O1" s="182"/>
      <c r="P1" s="183"/>
    </row>
    <row r="2" spans="1:23" s="185" customFormat="1" ht="14.25">
      <c r="A2" s="186"/>
      <c r="B2" s="187"/>
      <c r="C2" s="187"/>
      <c r="D2" s="187"/>
      <c r="E2" s="187"/>
      <c r="F2" s="187"/>
      <c r="G2" s="187"/>
      <c r="H2" s="2359" t="str">
        <f>IF(J2="自費変更なし",     ,"ご利用者の負担状況")</f>
        <v>ご利用者の負担状況</v>
      </c>
      <c r="I2" s="2360"/>
      <c r="J2" s="2361" t="s">
        <v>1255</v>
      </c>
      <c r="K2" s="2362"/>
      <c r="L2" s="2363"/>
      <c r="M2" s="184"/>
      <c r="N2" s="184"/>
      <c r="O2" s="184"/>
      <c r="P2" s="188"/>
    </row>
    <row r="3" spans="1:23" s="185" customFormat="1" ht="10.5" customHeight="1">
      <c r="A3" s="186"/>
      <c r="B3" s="187"/>
      <c r="C3" s="187"/>
      <c r="D3" s="187"/>
      <c r="E3" s="187"/>
      <c r="F3" s="187"/>
      <c r="G3" s="187"/>
      <c r="H3" s="184"/>
      <c r="I3" s="184"/>
      <c r="J3" s="184"/>
      <c r="K3" s="184"/>
      <c r="L3" s="184"/>
      <c r="M3" s="184"/>
      <c r="N3" s="184"/>
      <c r="O3" s="184"/>
      <c r="P3" s="188"/>
      <c r="R3" s="185">
        <f>IF(J2="2割負担",0.8,0.9)</f>
        <v>0.9</v>
      </c>
    </row>
    <row r="4" spans="1:23" s="231" customFormat="1" ht="9.75" customHeight="1" thickBot="1">
      <c r="A4" s="230">
        <f>【マスター】!G16*0.1</f>
        <v>0</v>
      </c>
      <c r="B4" s="191" t="e">
        <f>D4/C4</f>
        <v>#DIV/0!</v>
      </c>
      <c r="C4" s="192">
        <f>7350*A4</f>
        <v>0</v>
      </c>
      <c r="D4" s="193">
        <f>166920*A4</f>
        <v>0</v>
      </c>
      <c r="E4" s="194" t="e">
        <f>G4/F4</f>
        <v>#DIV/0!</v>
      </c>
      <c r="F4" s="192">
        <f>8680*A4</f>
        <v>0</v>
      </c>
      <c r="G4" s="193">
        <f>196160*A4</f>
        <v>0</v>
      </c>
      <c r="H4" s="194" t="e">
        <f>J4/I4</f>
        <v>#DIV/0!</v>
      </c>
      <c r="I4" s="192">
        <f>10060*A4</f>
        <v>0</v>
      </c>
      <c r="J4" s="193">
        <f>269310*A4</f>
        <v>0</v>
      </c>
      <c r="K4" s="194" t="e">
        <f>M4/L4</f>
        <v>#DIV/0!</v>
      </c>
      <c r="L4" s="192">
        <f>11440*A4</f>
        <v>0</v>
      </c>
      <c r="M4" s="193">
        <f>308060*A4</f>
        <v>0</v>
      </c>
      <c r="N4" s="194" t="e">
        <f>P4/O4</f>
        <v>#DIV/0!</v>
      </c>
      <c r="O4" s="192">
        <f>12810*A4</f>
        <v>0</v>
      </c>
      <c r="P4" s="195">
        <f>360650*A4</f>
        <v>0</v>
      </c>
    </row>
    <row r="5" spans="1:23" ht="15.75" customHeight="1" thickBot="1">
      <c r="A5" s="199"/>
      <c r="B5" s="2364" t="s">
        <v>1256</v>
      </c>
      <c r="C5" s="2364"/>
      <c r="D5" s="2364"/>
      <c r="E5" s="2364" t="s">
        <v>1257</v>
      </c>
      <c r="F5" s="2364"/>
      <c r="G5" s="2364"/>
      <c r="H5" s="2364" t="s">
        <v>1258</v>
      </c>
      <c r="I5" s="2364"/>
      <c r="J5" s="2364"/>
      <c r="K5" s="2364" t="s">
        <v>1259</v>
      </c>
      <c r="L5" s="2364"/>
      <c r="M5" s="2364"/>
      <c r="N5" s="2364" t="s">
        <v>1260</v>
      </c>
      <c r="O5" s="2364"/>
      <c r="P5" s="2365"/>
    </row>
    <row r="6" spans="1:23" ht="16.350000000000001" customHeight="1" thickBot="1">
      <c r="A6" s="2356" t="s">
        <v>1261</v>
      </c>
      <c r="B6" s="2344" t="s">
        <v>1262</v>
      </c>
      <c r="C6" s="2345"/>
      <c r="D6" s="202">
        <f>S6-S7</f>
        <v>0</v>
      </c>
      <c r="E6" s="2344" t="s">
        <v>1263</v>
      </c>
      <c r="F6" s="2345"/>
      <c r="G6" s="202">
        <f>T6-T7</f>
        <v>0</v>
      </c>
      <c r="H6" s="2344" t="s">
        <v>1264</v>
      </c>
      <c r="I6" s="2345"/>
      <c r="J6" s="202">
        <f>U6-U7</f>
        <v>0</v>
      </c>
      <c r="K6" s="2344" t="s">
        <v>1265</v>
      </c>
      <c r="L6" s="2345"/>
      <c r="M6" s="202">
        <f>V6-V7</f>
        <v>0</v>
      </c>
      <c r="N6" s="2344" t="s">
        <v>1266</v>
      </c>
      <c r="O6" s="2345"/>
      <c r="P6" s="202">
        <f>W6-W7</f>
        <v>0</v>
      </c>
      <c r="R6" s="2337" t="s">
        <v>1267</v>
      </c>
      <c r="S6" s="201">
        <f>ROUNDDOWN((735*2)*【マスター】!G65,0)</f>
        <v>0</v>
      </c>
      <c r="T6" s="201">
        <f>ROUNDDOWN((868*2)*【マスター】!G65,0)</f>
        <v>0</v>
      </c>
      <c r="U6" s="201">
        <f>ROUNDDOWN((1006*2)*【マスター】!G65,0)</f>
        <v>0</v>
      </c>
      <c r="V6" s="201">
        <f>ROUNDDOWN((1144*2)*【マスター】!G65,0)</f>
        <v>0</v>
      </c>
      <c r="W6" s="201">
        <f>ROUNDDOWN((1281*2)*【マスター】!G65,0)</f>
        <v>0</v>
      </c>
    </row>
    <row r="7" spans="1:23" ht="16.350000000000001" customHeight="1" thickBot="1">
      <c r="A7" s="2356"/>
      <c r="B7" s="2346" t="s">
        <v>1268</v>
      </c>
      <c r="C7" s="2347"/>
      <c r="D7" s="204">
        <f>S8-S9</f>
        <v>0</v>
      </c>
      <c r="E7" s="2348" t="s">
        <v>198</v>
      </c>
      <c r="F7" s="2349"/>
      <c r="G7" s="204">
        <f t="shared" ref="G7:G12" si="0">D7</f>
        <v>0</v>
      </c>
      <c r="H7" s="2346" t="s">
        <v>198</v>
      </c>
      <c r="I7" s="2347"/>
      <c r="J7" s="204">
        <f>D7</f>
        <v>0</v>
      </c>
      <c r="K7" s="2346" t="s">
        <v>198</v>
      </c>
      <c r="L7" s="2347"/>
      <c r="M7" s="204">
        <f>D7</f>
        <v>0</v>
      </c>
      <c r="N7" s="2346" t="s">
        <v>198</v>
      </c>
      <c r="O7" s="2347"/>
      <c r="P7" s="204">
        <f>D7</f>
        <v>0</v>
      </c>
      <c r="R7" s="2337"/>
      <c r="S7" s="201">
        <f>ROUNDDOWN((S6)*R3,0)</f>
        <v>0</v>
      </c>
      <c r="T7" s="201">
        <f>ROUNDDOWN((T6)*R3,0)</f>
        <v>0</v>
      </c>
      <c r="U7" s="201">
        <f>ROUNDDOWN((U6)*R3,0)</f>
        <v>0</v>
      </c>
      <c r="V7" s="201">
        <f>ROUNDDOWN((V6)*R3,0)</f>
        <v>0</v>
      </c>
      <c r="W7" s="201">
        <f>ROUNDDOWN((W6)*R3,0)</f>
        <v>0</v>
      </c>
    </row>
    <row r="8" spans="1:23" ht="16.350000000000001" customHeight="1" thickBot="1">
      <c r="A8" s="2356"/>
      <c r="B8" s="2342" t="s">
        <v>1269</v>
      </c>
      <c r="C8" s="2343"/>
      <c r="D8" s="205">
        <f>【マスター】!$L$75*2</f>
        <v>0</v>
      </c>
      <c r="E8" s="2342" t="s">
        <v>1269</v>
      </c>
      <c r="F8" s="2343"/>
      <c r="G8" s="205">
        <f>【マスター】!$L$75*2</f>
        <v>0</v>
      </c>
      <c r="H8" s="2342" t="s">
        <v>1269</v>
      </c>
      <c r="I8" s="2343"/>
      <c r="J8" s="205">
        <f>【マスター】!$L$75*2</f>
        <v>0</v>
      </c>
      <c r="K8" s="2342" t="s">
        <v>1269</v>
      </c>
      <c r="L8" s="2343"/>
      <c r="M8" s="205">
        <f>【マスター】!$L$75*2</f>
        <v>0</v>
      </c>
      <c r="N8" s="2342" t="s">
        <v>1269</v>
      </c>
      <c r="O8" s="2343"/>
      <c r="P8" s="205">
        <f>【マスター】!$L$75*2</f>
        <v>0</v>
      </c>
      <c r="R8" s="2337" t="s">
        <v>356</v>
      </c>
      <c r="S8" s="201">
        <f>ROUNDDOWN((50*2)*【マスター】!G65,0)</f>
        <v>0</v>
      </c>
      <c r="U8" s="2337" t="s">
        <v>370</v>
      </c>
      <c r="V8" s="201">
        <f>ROUNDDOWN((-47*2)*【マスター】!G65,0)</f>
        <v>0</v>
      </c>
    </row>
    <row r="9" spans="1:23" ht="16.350000000000001" customHeight="1" thickBot="1">
      <c r="A9" s="2356"/>
      <c r="B9" s="2335" t="s">
        <v>1270</v>
      </c>
      <c r="C9" s="2336"/>
      <c r="D9" s="206">
        <f>V8-V9</f>
        <v>0</v>
      </c>
      <c r="E9" s="2335" t="s">
        <v>171</v>
      </c>
      <c r="F9" s="2336"/>
      <c r="G9" s="206">
        <f t="shared" si="0"/>
        <v>0</v>
      </c>
      <c r="H9" s="2335" t="s">
        <v>171</v>
      </c>
      <c r="I9" s="2336"/>
      <c r="J9" s="206">
        <f>D9</f>
        <v>0</v>
      </c>
      <c r="K9" s="2335" t="s">
        <v>171</v>
      </c>
      <c r="L9" s="2336"/>
      <c r="M9" s="206">
        <f>D9</f>
        <v>0</v>
      </c>
      <c r="N9" s="2335" t="s">
        <v>171</v>
      </c>
      <c r="O9" s="2336"/>
      <c r="P9" s="206">
        <f>D9</f>
        <v>0</v>
      </c>
      <c r="R9" s="2337"/>
      <c r="S9" s="201">
        <f>ROUNDDOWN(S8*R3,0)</f>
        <v>0</v>
      </c>
      <c r="U9" s="2337"/>
      <c r="V9" s="201">
        <f>ROUNDDOWN(V8*R3,0)</f>
        <v>0</v>
      </c>
    </row>
    <row r="10" spans="1:23" ht="16.350000000000001" customHeight="1" thickBot="1">
      <c r="A10" s="2356"/>
      <c r="B10" s="2340" t="s">
        <v>1271</v>
      </c>
      <c r="C10" s="2341"/>
      <c r="D10" s="207" t="e">
        <f>VLOOKUP($J$2,【マスター】!O82:Y86,4,FALSE)*1</f>
        <v>#N/A</v>
      </c>
      <c r="E10" s="2340" t="s">
        <v>1271</v>
      </c>
      <c r="F10" s="2341"/>
      <c r="G10" s="207" t="e">
        <f t="shared" si="0"/>
        <v>#N/A</v>
      </c>
      <c r="H10" s="2340" t="s">
        <v>1271</v>
      </c>
      <c r="I10" s="2341"/>
      <c r="J10" s="207" t="e">
        <f>G10</f>
        <v>#N/A</v>
      </c>
      <c r="K10" s="2340" t="s">
        <v>1271</v>
      </c>
      <c r="L10" s="2341"/>
      <c r="M10" s="207" t="e">
        <f>J10</f>
        <v>#N/A</v>
      </c>
      <c r="N10" s="2340" t="s">
        <v>1271</v>
      </c>
      <c r="O10" s="2341"/>
      <c r="P10" s="207" t="e">
        <f>M10</f>
        <v>#N/A</v>
      </c>
    </row>
    <row r="11" spans="1:23" ht="16.350000000000001" customHeight="1" thickBot="1">
      <c r="A11" s="2356"/>
      <c r="B11" s="2331" t="s">
        <v>1272</v>
      </c>
      <c r="C11" s="2332"/>
      <c r="D11" s="207" t="e">
        <f>VLOOKUP($J$2,【マスター】!O82:Y86,6,FALSE)*1</f>
        <v>#N/A</v>
      </c>
      <c r="E11" s="2331" t="s">
        <v>1272</v>
      </c>
      <c r="F11" s="2332"/>
      <c r="G11" s="207" t="e">
        <f t="shared" si="0"/>
        <v>#N/A</v>
      </c>
      <c r="H11" s="2331" t="s">
        <v>1272</v>
      </c>
      <c r="I11" s="2332"/>
      <c r="J11" s="207" t="e">
        <f>G11</f>
        <v>#N/A</v>
      </c>
      <c r="K11" s="2331" t="s">
        <v>1272</v>
      </c>
      <c r="L11" s="2332"/>
      <c r="M11" s="207" t="e">
        <f>J11</f>
        <v>#N/A</v>
      </c>
      <c r="N11" s="2331" t="s">
        <v>1272</v>
      </c>
      <c r="O11" s="2332"/>
      <c r="P11" s="207" t="e">
        <f>M11</f>
        <v>#N/A</v>
      </c>
    </row>
    <row r="12" spans="1:23" ht="16.350000000000001" customHeight="1" thickBot="1">
      <c r="A12" s="2356"/>
      <c r="B12" s="2357" t="s">
        <v>1273</v>
      </c>
      <c r="C12" s="2358"/>
      <c r="D12" s="207" t="e">
        <f>VLOOKUP($J$2,【マスター】!O82:Y86,8,FALSE)*1</f>
        <v>#N/A</v>
      </c>
      <c r="E12" s="2357" t="s">
        <v>1273</v>
      </c>
      <c r="F12" s="2358"/>
      <c r="G12" s="207" t="e">
        <f t="shared" si="0"/>
        <v>#N/A</v>
      </c>
      <c r="H12" s="2331" t="s">
        <v>1273</v>
      </c>
      <c r="I12" s="2332"/>
      <c r="J12" s="207" t="e">
        <f>G12</f>
        <v>#N/A</v>
      </c>
      <c r="K12" s="2331" t="s">
        <v>1273</v>
      </c>
      <c r="L12" s="2332"/>
      <c r="M12" s="207" t="e">
        <f>J12</f>
        <v>#N/A</v>
      </c>
      <c r="N12" s="2331" t="s">
        <v>1273</v>
      </c>
      <c r="O12" s="2332"/>
      <c r="P12" s="207" t="e">
        <f>M12</f>
        <v>#N/A</v>
      </c>
    </row>
    <row r="13" spans="1:23" ht="16.350000000000001" customHeight="1" thickBot="1">
      <c r="A13" s="2356"/>
      <c r="B13" s="2333" t="s">
        <v>1274</v>
      </c>
      <c r="C13" s="2334"/>
      <c r="D13" s="209">
        <f>IF($J$2="生活保護",-D$6-D$7-D$9,0)</f>
        <v>0</v>
      </c>
      <c r="E13" s="2333" t="s">
        <v>1274</v>
      </c>
      <c r="F13" s="2334"/>
      <c r="G13" s="209">
        <f>IF($J$2="生活保護",-G$6-G$7-G$9,0)</f>
        <v>0</v>
      </c>
      <c r="H13" s="2333" t="s">
        <v>1274</v>
      </c>
      <c r="I13" s="2334"/>
      <c r="J13" s="209">
        <f>IF($J$2="生活保護",-J$6-J$7-J$9,0)</f>
        <v>0</v>
      </c>
      <c r="K13" s="2333" t="s">
        <v>1274</v>
      </c>
      <c r="L13" s="2334"/>
      <c r="M13" s="209">
        <f>IF($J$2="生活保護",-M$6-M$7-M$9,0)</f>
        <v>0</v>
      </c>
      <c r="N13" s="2333" t="s">
        <v>1274</v>
      </c>
      <c r="O13" s="2334"/>
      <c r="P13" s="209">
        <f>IF($J$2="生活保護",-P$6-P$7-P$9,0)</f>
        <v>0</v>
      </c>
    </row>
    <row r="14" spans="1:23" ht="16.350000000000001" customHeight="1" thickBot="1">
      <c r="A14" s="2356"/>
      <c r="B14" s="2312" t="s">
        <v>1275</v>
      </c>
      <c r="C14" s="2313"/>
      <c r="D14" s="210" t="e">
        <f>SUM(D6:D13)</f>
        <v>#N/A</v>
      </c>
      <c r="E14" s="2354" t="s">
        <v>1275</v>
      </c>
      <c r="F14" s="2355"/>
      <c r="G14" s="210" t="e">
        <f>SUM(G6:G13)</f>
        <v>#N/A</v>
      </c>
      <c r="H14" s="2312" t="s">
        <v>1275</v>
      </c>
      <c r="I14" s="2313"/>
      <c r="J14" s="210" t="e">
        <f>SUM(J6:J13)</f>
        <v>#N/A</v>
      </c>
      <c r="K14" s="2312" t="s">
        <v>1275</v>
      </c>
      <c r="L14" s="2313"/>
      <c r="M14" s="210" t="e">
        <f>SUM(M6:M13)</f>
        <v>#N/A</v>
      </c>
      <c r="N14" s="2312" t="s">
        <v>1275</v>
      </c>
      <c r="O14" s="2313"/>
      <c r="P14" s="210" t="e">
        <f>SUM(P6:P13)</f>
        <v>#N/A</v>
      </c>
    </row>
    <row r="15" spans="1:23" ht="16.350000000000001" customHeight="1" thickBot="1">
      <c r="A15" s="2328" t="s">
        <v>1276</v>
      </c>
      <c r="B15" s="2344" t="s">
        <v>1262</v>
      </c>
      <c r="C15" s="2345"/>
      <c r="D15" s="202">
        <f>S15-S16</f>
        <v>0</v>
      </c>
      <c r="E15" s="2344" t="s">
        <v>1277</v>
      </c>
      <c r="F15" s="2345"/>
      <c r="G15" s="202">
        <f>T15-T16</f>
        <v>0</v>
      </c>
      <c r="H15" s="2344" t="s">
        <v>1278</v>
      </c>
      <c r="I15" s="2345"/>
      <c r="J15" s="202">
        <f>U15-U16</f>
        <v>0</v>
      </c>
      <c r="K15" s="2344" t="s">
        <v>1279</v>
      </c>
      <c r="L15" s="2345"/>
      <c r="M15" s="202">
        <f>V15-V16</f>
        <v>0</v>
      </c>
      <c r="N15" s="2344" t="s">
        <v>1280</v>
      </c>
      <c r="O15" s="2345"/>
      <c r="P15" s="202">
        <f>W15-W16</f>
        <v>0</v>
      </c>
      <c r="R15" s="2337" t="s">
        <v>1267</v>
      </c>
      <c r="S15" s="201">
        <f>ROUNDDOWN((735*3)*【マスター】!G65,0)</f>
        <v>0</v>
      </c>
      <c r="T15" s="201">
        <f>ROUNDDOWN((868*3)*【マスター】!G65,0)</f>
        <v>0</v>
      </c>
      <c r="U15" s="201">
        <f>ROUNDDOWN((1006*3)*【マスター】!G65,0)</f>
        <v>0</v>
      </c>
      <c r="V15" s="201">
        <f>ROUNDDOWN((1144*3)*【マスター】!G65,0)</f>
        <v>0</v>
      </c>
      <c r="W15" s="201">
        <f>ROUNDDOWN((1281*3)*【マスター】!G65,0)</f>
        <v>0</v>
      </c>
    </row>
    <row r="16" spans="1:23" ht="16.350000000000001" customHeight="1" thickBot="1">
      <c r="A16" s="2328"/>
      <c r="B16" s="2346" t="s">
        <v>1268</v>
      </c>
      <c r="C16" s="2347"/>
      <c r="D16" s="204">
        <f>S17-S18</f>
        <v>0</v>
      </c>
      <c r="E16" s="2348" t="s">
        <v>1268</v>
      </c>
      <c r="F16" s="2349"/>
      <c r="G16" s="204">
        <f>D16</f>
        <v>0</v>
      </c>
      <c r="H16" s="2346" t="s">
        <v>1268</v>
      </c>
      <c r="I16" s="2347"/>
      <c r="J16" s="204">
        <f>D16</f>
        <v>0</v>
      </c>
      <c r="K16" s="2346" t="s">
        <v>1268</v>
      </c>
      <c r="L16" s="2347"/>
      <c r="M16" s="204">
        <f>D16</f>
        <v>0</v>
      </c>
      <c r="N16" s="2346" t="s">
        <v>1268</v>
      </c>
      <c r="O16" s="2347"/>
      <c r="P16" s="204">
        <f>D16</f>
        <v>0</v>
      </c>
      <c r="R16" s="2337"/>
      <c r="S16" s="201">
        <f>ROUNDDOWN((S15)*R3,0)</f>
        <v>0</v>
      </c>
      <c r="T16" s="201">
        <f>ROUNDDOWN((T15)*R3,0)</f>
        <v>0</v>
      </c>
      <c r="U16" s="201">
        <f>ROUNDDOWN((U15)*R3,0)</f>
        <v>0</v>
      </c>
      <c r="V16" s="201">
        <f>ROUNDDOWN((V15)*R3,0)</f>
        <v>0</v>
      </c>
      <c r="W16" s="201">
        <f>ROUNDDOWN((W15)*R3,0)</f>
        <v>0</v>
      </c>
    </row>
    <row r="17" spans="1:26" ht="16.350000000000001" customHeight="1" thickBot="1">
      <c r="A17" s="2328"/>
      <c r="B17" s="2348" t="s">
        <v>1269</v>
      </c>
      <c r="C17" s="2349"/>
      <c r="D17" s="205">
        <f>【マスター】!L75*3</f>
        <v>0</v>
      </c>
      <c r="E17" s="2348" t="s">
        <v>1269</v>
      </c>
      <c r="F17" s="2349"/>
      <c r="G17" s="205">
        <f>【マスター】!$L$75*3</f>
        <v>0</v>
      </c>
      <c r="H17" s="2348" t="s">
        <v>1269</v>
      </c>
      <c r="I17" s="2349"/>
      <c r="J17" s="205">
        <f>【マスター】!$L$75*3</f>
        <v>0</v>
      </c>
      <c r="K17" s="2348" t="s">
        <v>1269</v>
      </c>
      <c r="L17" s="2349"/>
      <c r="M17" s="205">
        <f>【マスター】!$L$75*3</f>
        <v>0</v>
      </c>
      <c r="N17" s="2348" t="s">
        <v>1269</v>
      </c>
      <c r="O17" s="2349"/>
      <c r="P17" s="205">
        <f>【マスター】!$L$75*3</f>
        <v>0</v>
      </c>
      <c r="R17" s="2337" t="s">
        <v>356</v>
      </c>
      <c r="S17" s="201">
        <f>ROUNDDOWN((50*3)*【マスター】!G65,0)</f>
        <v>0</v>
      </c>
      <c r="U17" s="2337" t="s">
        <v>370</v>
      </c>
      <c r="V17" s="201">
        <f>ROUNDDOWN((-47*4)*【マスター】!G65,0)</f>
        <v>0</v>
      </c>
    </row>
    <row r="18" spans="1:26" ht="16.350000000000001" customHeight="1" thickBot="1">
      <c r="A18" s="2328"/>
      <c r="B18" s="2352" t="s">
        <v>1270</v>
      </c>
      <c r="C18" s="2353"/>
      <c r="D18" s="206">
        <f>V17-V18</f>
        <v>0</v>
      </c>
      <c r="E18" s="2335" t="s">
        <v>171</v>
      </c>
      <c r="F18" s="2336"/>
      <c r="G18" s="206">
        <f>D18</f>
        <v>0</v>
      </c>
      <c r="H18" s="2335" t="s">
        <v>171</v>
      </c>
      <c r="I18" s="2336"/>
      <c r="J18" s="206">
        <f>D18</f>
        <v>0</v>
      </c>
      <c r="K18" s="2335" t="s">
        <v>171</v>
      </c>
      <c r="L18" s="2336"/>
      <c r="M18" s="206">
        <f>D18</f>
        <v>0</v>
      </c>
      <c r="N18" s="2335" t="s">
        <v>171</v>
      </c>
      <c r="O18" s="2336"/>
      <c r="P18" s="206">
        <f>D18</f>
        <v>0</v>
      </c>
      <c r="R18" s="2337"/>
      <c r="S18" s="201">
        <f>ROUNDDOWN(S17*R3,0)</f>
        <v>0</v>
      </c>
      <c r="U18" s="2337"/>
      <c r="V18" s="201">
        <f>ROUNDDOWN(V17*R3,0)</f>
        <v>0</v>
      </c>
    </row>
    <row r="19" spans="1:26" ht="16.350000000000001" customHeight="1" thickBot="1">
      <c r="A19" s="2328"/>
      <c r="B19" s="2340" t="s">
        <v>1271</v>
      </c>
      <c r="C19" s="2341"/>
      <c r="D19" s="207" t="e">
        <f>VLOOKUP($J$2,【マスター】!O82:Y86,4,FALSE)*2</f>
        <v>#N/A</v>
      </c>
      <c r="E19" s="2340" t="s">
        <v>1271</v>
      </c>
      <c r="F19" s="2341"/>
      <c r="G19" s="207" t="e">
        <f>D19</f>
        <v>#N/A</v>
      </c>
      <c r="H19" s="2340" t="s">
        <v>1271</v>
      </c>
      <c r="I19" s="2341"/>
      <c r="J19" s="207" t="e">
        <f>G19</f>
        <v>#N/A</v>
      </c>
      <c r="K19" s="2340" t="s">
        <v>1271</v>
      </c>
      <c r="L19" s="2341"/>
      <c r="M19" s="207" t="e">
        <f>J19</f>
        <v>#N/A</v>
      </c>
      <c r="N19" s="2340" t="s">
        <v>1271</v>
      </c>
      <c r="O19" s="2341"/>
      <c r="P19" s="207" t="e">
        <f>M19</f>
        <v>#N/A</v>
      </c>
    </row>
    <row r="20" spans="1:26" ht="16.350000000000001" customHeight="1" thickBot="1">
      <c r="A20" s="2328"/>
      <c r="B20" s="2331" t="s">
        <v>1272</v>
      </c>
      <c r="C20" s="2332"/>
      <c r="D20" s="207" t="e">
        <f>VLOOKUP($J$2,【マスター】!O82:Y86,6,FALSE)*2</f>
        <v>#N/A</v>
      </c>
      <c r="E20" s="2331" t="s">
        <v>1272</v>
      </c>
      <c r="F20" s="2332"/>
      <c r="G20" s="207" t="e">
        <f>D20</f>
        <v>#N/A</v>
      </c>
      <c r="H20" s="2331" t="s">
        <v>1272</v>
      </c>
      <c r="I20" s="2332"/>
      <c r="J20" s="207" t="e">
        <f>G20</f>
        <v>#N/A</v>
      </c>
      <c r="K20" s="2331" t="s">
        <v>1272</v>
      </c>
      <c r="L20" s="2332"/>
      <c r="M20" s="207" t="e">
        <f>J20</f>
        <v>#N/A</v>
      </c>
      <c r="N20" s="2331" t="s">
        <v>1272</v>
      </c>
      <c r="O20" s="2332"/>
      <c r="P20" s="207" t="e">
        <f>M20</f>
        <v>#N/A</v>
      </c>
    </row>
    <row r="21" spans="1:26" ht="16.350000000000001" customHeight="1" thickBot="1">
      <c r="A21" s="2328"/>
      <c r="B21" s="2331" t="s">
        <v>1273</v>
      </c>
      <c r="C21" s="2332"/>
      <c r="D21" s="207" t="e">
        <f>VLOOKUP($J$2,【マスター】!O82:Y86,8,FALSE)*2</f>
        <v>#N/A</v>
      </c>
      <c r="E21" s="2331" t="s">
        <v>1273</v>
      </c>
      <c r="F21" s="2332"/>
      <c r="G21" s="207" t="e">
        <f>D21</f>
        <v>#N/A</v>
      </c>
      <c r="H21" s="2331" t="s">
        <v>1273</v>
      </c>
      <c r="I21" s="2332"/>
      <c r="J21" s="207" t="e">
        <f>G21</f>
        <v>#N/A</v>
      </c>
      <c r="K21" s="2331" t="s">
        <v>1273</v>
      </c>
      <c r="L21" s="2332"/>
      <c r="M21" s="207" t="e">
        <f>J21</f>
        <v>#N/A</v>
      </c>
      <c r="N21" s="2331" t="s">
        <v>1273</v>
      </c>
      <c r="O21" s="2332"/>
      <c r="P21" s="207" t="e">
        <f>M21</f>
        <v>#N/A</v>
      </c>
    </row>
    <row r="22" spans="1:26" ht="16.350000000000001" customHeight="1" thickBot="1">
      <c r="A22" s="2328"/>
      <c r="B22" s="2333" t="s">
        <v>1274</v>
      </c>
      <c r="C22" s="2334"/>
      <c r="D22" s="209">
        <f>IF($J$2="生活保護",-D$15-D$16-D$18,0)</f>
        <v>0</v>
      </c>
      <c r="E22" s="2333" t="s">
        <v>1274</v>
      </c>
      <c r="F22" s="2334"/>
      <c r="G22" s="209">
        <f>IF($J$2="生活保護",-G$15-G$16-G$18,0)</f>
        <v>0</v>
      </c>
      <c r="H22" s="2333" t="s">
        <v>1274</v>
      </c>
      <c r="I22" s="2334"/>
      <c r="J22" s="209">
        <f>IF($J$2="生活保護",-J$15-J$16-J$18,0)</f>
        <v>0</v>
      </c>
      <c r="K22" s="2333" t="s">
        <v>1274</v>
      </c>
      <c r="L22" s="2334"/>
      <c r="M22" s="209">
        <f>IF($J$2="生活保護",-M$15-M$16-M$18,0)</f>
        <v>0</v>
      </c>
      <c r="N22" s="2333" t="s">
        <v>1274</v>
      </c>
      <c r="O22" s="2334"/>
      <c r="P22" s="209">
        <f>IF($J$2="生活保護",-P$15-P$16-P$18,0)</f>
        <v>0</v>
      </c>
    </row>
    <row r="23" spans="1:26" ht="16.350000000000001" customHeight="1" thickBot="1">
      <c r="A23" s="2328"/>
      <c r="B23" s="2312" t="s">
        <v>1275</v>
      </c>
      <c r="C23" s="2313"/>
      <c r="D23" s="210" t="e">
        <f>SUM(D15:D22)</f>
        <v>#N/A</v>
      </c>
      <c r="E23" s="2329" t="s">
        <v>1275</v>
      </c>
      <c r="F23" s="2330"/>
      <c r="G23" s="210" t="e">
        <f>SUM(G15:G22)</f>
        <v>#N/A</v>
      </c>
      <c r="H23" s="2312" t="s">
        <v>1275</v>
      </c>
      <c r="I23" s="2313"/>
      <c r="J23" s="210" t="e">
        <f>SUM(J15:J22)</f>
        <v>#N/A</v>
      </c>
      <c r="K23" s="2312" t="s">
        <v>1275</v>
      </c>
      <c r="L23" s="2313"/>
      <c r="M23" s="210" t="e">
        <f>SUM(M15:M22)</f>
        <v>#N/A</v>
      </c>
      <c r="N23" s="2312" t="s">
        <v>1275</v>
      </c>
      <c r="O23" s="2313"/>
      <c r="P23" s="210" t="e">
        <f>SUM(P15:P22)</f>
        <v>#N/A</v>
      </c>
    </row>
    <row r="24" spans="1:26" ht="16.350000000000001" customHeight="1" thickBot="1">
      <c r="A24" s="2328" t="s">
        <v>1281</v>
      </c>
      <c r="B24" s="2344" t="s">
        <v>1262</v>
      </c>
      <c r="C24" s="2345"/>
      <c r="D24" s="202">
        <f>S24-S25</f>
        <v>0</v>
      </c>
      <c r="E24" s="2344" t="s">
        <v>1277</v>
      </c>
      <c r="F24" s="2345"/>
      <c r="G24" s="202">
        <f>T24-T25</f>
        <v>0</v>
      </c>
      <c r="H24" s="2344" t="s">
        <v>1278</v>
      </c>
      <c r="I24" s="2345"/>
      <c r="J24" s="202">
        <f>U24-U25</f>
        <v>0</v>
      </c>
      <c r="K24" s="2344" t="s">
        <v>1279</v>
      </c>
      <c r="L24" s="2345"/>
      <c r="M24" s="202">
        <f>V24-V25</f>
        <v>0</v>
      </c>
      <c r="N24" s="2344" t="s">
        <v>1280</v>
      </c>
      <c r="O24" s="2345"/>
      <c r="P24" s="202">
        <f>W24-W25</f>
        <v>0</v>
      </c>
      <c r="Q24" s="232"/>
      <c r="R24" s="2337" t="s">
        <v>1267</v>
      </c>
      <c r="S24" s="201">
        <f>ROUNDDOWN((735*8)*【マスター】!G65,0)</f>
        <v>0</v>
      </c>
      <c r="T24" s="201">
        <f>ROUNDDOWN((868*8)*【マスター】!G65,0)</f>
        <v>0</v>
      </c>
      <c r="U24" s="201">
        <f>ROUNDDOWN((1006*8)*【マスター】!G65,0)</f>
        <v>0</v>
      </c>
      <c r="V24" s="201">
        <f>ROUNDDOWN((1144*8)*【マスター】!G65,0)</f>
        <v>0</v>
      </c>
      <c r="W24" s="201">
        <f>ROUNDDOWN((1281*8)*【マスター】!G65,0)</f>
        <v>0</v>
      </c>
    </row>
    <row r="25" spans="1:26" ht="16.350000000000001" customHeight="1" thickBot="1">
      <c r="A25" s="2328"/>
      <c r="B25" s="2346" t="s">
        <v>1268</v>
      </c>
      <c r="C25" s="2347"/>
      <c r="D25" s="204">
        <f>S26-S27</f>
        <v>0</v>
      </c>
      <c r="E25" s="2348" t="s">
        <v>1268</v>
      </c>
      <c r="F25" s="2349"/>
      <c r="G25" s="204">
        <f>D25</f>
        <v>0</v>
      </c>
      <c r="H25" s="2346" t="s">
        <v>1268</v>
      </c>
      <c r="I25" s="2347"/>
      <c r="J25" s="204">
        <f>D25</f>
        <v>0</v>
      </c>
      <c r="K25" s="2346" t="s">
        <v>1268</v>
      </c>
      <c r="L25" s="2347"/>
      <c r="M25" s="204">
        <f>D25</f>
        <v>0</v>
      </c>
      <c r="N25" s="2346" t="s">
        <v>1268</v>
      </c>
      <c r="O25" s="2347"/>
      <c r="P25" s="204">
        <f>D25</f>
        <v>0</v>
      </c>
      <c r="Q25" s="232"/>
      <c r="R25" s="2337"/>
      <c r="S25" s="201">
        <f>ROUNDDOWN((S24)*R3,0)</f>
        <v>0</v>
      </c>
      <c r="T25" s="201">
        <f>ROUNDDOWN((T24)*R3,0)</f>
        <v>0</v>
      </c>
      <c r="U25" s="201">
        <f>ROUNDDOWN((U24)*R3,0)</f>
        <v>0</v>
      </c>
      <c r="V25" s="201">
        <f>ROUNDDOWN((V24)*R3,0)</f>
        <v>0</v>
      </c>
      <c r="W25" s="201">
        <f>ROUNDDOWN((W24)*R3,0)</f>
        <v>0</v>
      </c>
    </row>
    <row r="26" spans="1:26" ht="16.350000000000001" customHeight="1" thickBot="1">
      <c r="A26" s="2328"/>
      <c r="B26" s="2342" t="s">
        <v>1269</v>
      </c>
      <c r="C26" s="2343"/>
      <c r="D26" s="205">
        <f>【マスター】!$L$75*8</f>
        <v>0</v>
      </c>
      <c r="E26" s="2342" t="s">
        <v>1269</v>
      </c>
      <c r="F26" s="2343"/>
      <c r="G26" s="205">
        <f>【マスター】!$L$75*8</f>
        <v>0</v>
      </c>
      <c r="H26" s="2342" t="s">
        <v>1269</v>
      </c>
      <c r="I26" s="2343"/>
      <c r="J26" s="205">
        <f>【マスター】!$L$75*8</f>
        <v>0</v>
      </c>
      <c r="K26" s="2342" t="s">
        <v>1269</v>
      </c>
      <c r="L26" s="2343"/>
      <c r="M26" s="205">
        <f>【マスター】!$L$75*8</f>
        <v>0</v>
      </c>
      <c r="N26" s="2342" t="s">
        <v>1269</v>
      </c>
      <c r="O26" s="2343"/>
      <c r="P26" s="205">
        <f>【マスター】!$L$75*8</f>
        <v>0</v>
      </c>
      <c r="R26" s="2337" t="s">
        <v>356</v>
      </c>
      <c r="S26" s="201">
        <f>ROUNDDOWN((50*8)*【マスター】!G65,0)</f>
        <v>0</v>
      </c>
      <c r="U26" s="2337" t="s">
        <v>370</v>
      </c>
      <c r="V26" s="201">
        <f>ROUNDDOWN((-47*14)*【マスター】!G65,0)</f>
        <v>0</v>
      </c>
    </row>
    <row r="27" spans="1:26" ht="16.350000000000001" customHeight="1" thickBot="1">
      <c r="A27" s="2328"/>
      <c r="B27" s="2335" t="s">
        <v>1270</v>
      </c>
      <c r="C27" s="2336"/>
      <c r="D27" s="206">
        <f>V26-V27</f>
        <v>0</v>
      </c>
      <c r="E27" s="2335" t="s">
        <v>171</v>
      </c>
      <c r="F27" s="2336"/>
      <c r="G27" s="206">
        <f>D27</f>
        <v>0</v>
      </c>
      <c r="H27" s="2335" t="s">
        <v>171</v>
      </c>
      <c r="I27" s="2336"/>
      <c r="J27" s="206">
        <f>D27</f>
        <v>0</v>
      </c>
      <c r="K27" s="2335" t="s">
        <v>171</v>
      </c>
      <c r="L27" s="2336"/>
      <c r="M27" s="206">
        <f>D27</f>
        <v>0</v>
      </c>
      <c r="N27" s="2335" t="s">
        <v>171</v>
      </c>
      <c r="O27" s="2336"/>
      <c r="P27" s="206">
        <f>D27</f>
        <v>0</v>
      </c>
      <c r="R27" s="2337"/>
      <c r="S27" s="201">
        <f>ROUNDDOWN(S26*R3,0)</f>
        <v>0</v>
      </c>
      <c r="U27" s="2337"/>
      <c r="V27" s="201">
        <f>ROUNDDOWN(V26*R3,0)</f>
        <v>0</v>
      </c>
    </row>
    <row r="28" spans="1:26" ht="16.350000000000001" customHeight="1" thickTop="1" thickBot="1">
      <c r="A28" s="2328"/>
      <c r="B28" s="2340" t="s">
        <v>1271</v>
      </c>
      <c r="C28" s="2341"/>
      <c r="D28" s="207" t="e">
        <f>VLOOKUP($J$2,【マスター】!O82:Y86,4,FALSE)*7</f>
        <v>#N/A</v>
      </c>
      <c r="E28" s="2350" t="s">
        <v>1271</v>
      </c>
      <c r="F28" s="2351"/>
      <c r="G28" s="207" t="e">
        <f>D28</f>
        <v>#N/A</v>
      </c>
      <c r="H28" s="2340" t="s">
        <v>1271</v>
      </c>
      <c r="I28" s="2341"/>
      <c r="J28" s="207" t="e">
        <f>G28</f>
        <v>#N/A</v>
      </c>
      <c r="K28" s="2340" t="s">
        <v>1271</v>
      </c>
      <c r="L28" s="2341"/>
      <c r="M28" s="207" t="e">
        <f>J28</f>
        <v>#N/A</v>
      </c>
      <c r="N28" s="2340" t="s">
        <v>1271</v>
      </c>
      <c r="O28" s="2341"/>
      <c r="P28" s="207" t="e">
        <f>M28</f>
        <v>#N/A</v>
      </c>
      <c r="Q28" s="232"/>
    </row>
    <row r="29" spans="1:26" ht="16.350000000000001" customHeight="1" thickBot="1">
      <c r="A29" s="2328"/>
      <c r="B29" s="2331" t="s">
        <v>1272</v>
      </c>
      <c r="C29" s="2332"/>
      <c r="D29" s="207" t="e">
        <f>VLOOKUP($J$2,【マスター】!O82:Y86,6,FALSE)*7</f>
        <v>#N/A</v>
      </c>
      <c r="E29" s="2331" t="s">
        <v>1272</v>
      </c>
      <c r="F29" s="2332"/>
      <c r="G29" s="207" t="e">
        <f>D29</f>
        <v>#N/A</v>
      </c>
      <c r="H29" s="2331" t="s">
        <v>1272</v>
      </c>
      <c r="I29" s="2332"/>
      <c r="J29" s="207" t="e">
        <f>G29</f>
        <v>#N/A</v>
      </c>
      <c r="K29" s="2331" t="s">
        <v>1272</v>
      </c>
      <c r="L29" s="2332"/>
      <c r="M29" s="207" t="e">
        <f>J29</f>
        <v>#N/A</v>
      </c>
      <c r="N29" s="2331" t="s">
        <v>1272</v>
      </c>
      <c r="O29" s="2332"/>
      <c r="P29" s="207" t="e">
        <f>M29</f>
        <v>#N/A</v>
      </c>
      <c r="Q29" s="232"/>
      <c r="Y29" s="201" t="str">
        <f>IF(X30=0,Z30,VLOOKUP("有",X30:Z33,3,FALSE))</f>
        <v>サービス提供体制強化加算</v>
      </c>
    </row>
    <row r="30" spans="1:26" ht="16.350000000000001" customHeight="1" thickBot="1">
      <c r="A30" s="2328"/>
      <c r="B30" s="2331" t="s">
        <v>1273</v>
      </c>
      <c r="C30" s="2332"/>
      <c r="D30" s="207" t="e">
        <f>VLOOKUP($J$2,【マスター】!O82:Y86,8,FALSE)*7</f>
        <v>#N/A</v>
      </c>
      <c r="E30" s="2331" t="s">
        <v>1273</v>
      </c>
      <c r="F30" s="2332"/>
      <c r="G30" s="207" t="e">
        <f>D30</f>
        <v>#N/A</v>
      </c>
      <c r="H30" s="2331" t="s">
        <v>1273</v>
      </c>
      <c r="I30" s="2332"/>
      <c r="J30" s="207" t="e">
        <f>G30</f>
        <v>#N/A</v>
      </c>
      <c r="K30" s="2331" t="s">
        <v>1273</v>
      </c>
      <c r="L30" s="2332"/>
      <c r="M30" s="207" t="e">
        <f>J30</f>
        <v>#N/A</v>
      </c>
      <c r="N30" s="2331" t="s">
        <v>1273</v>
      </c>
      <c r="O30" s="2332"/>
      <c r="P30" s="207" t="e">
        <f>M30</f>
        <v>#N/A</v>
      </c>
      <c r="X30" s="88">
        <f>COUNTIF(X31:X33,"有")</f>
        <v>0</v>
      </c>
      <c r="Y30" s="91" t="s">
        <v>83</v>
      </c>
      <c r="Z30" s="89" t="s">
        <v>805</v>
      </c>
    </row>
    <row r="31" spans="1:26" ht="16.350000000000001" customHeight="1" thickBot="1">
      <c r="A31" s="2328"/>
      <c r="B31" s="2333" t="s">
        <v>1274</v>
      </c>
      <c r="C31" s="2334"/>
      <c r="D31" s="209">
        <f>IF($J$2="生活保護",-D$24-D$25-D$27,0)</f>
        <v>0</v>
      </c>
      <c r="E31" s="2333" t="s">
        <v>1274</v>
      </c>
      <c r="F31" s="2334"/>
      <c r="G31" s="209">
        <f>IF($J$2="生活保護",-G$24-G$25-G$27,0)</f>
        <v>0</v>
      </c>
      <c r="H31" s="2333" t="s">
        <v>1274</v>
      </c>
      <c r="I31" s="2334"/>
      <c r="J31" s="209">
        <f>IF($J$2="生活保護",-J$24-J$25-J$27,0)</f>
        <v>0</v>
      </c>
      <c r="K31" s="2333" t="s">
        <v>1274</v>
      </c>
      <c r="L31" s="2334"/>
      <c r="M31" s="209">
        <f>IF($J$2="生活保護",-M$24-M$25-M$27,0)</f>
        <v>0</v>
      </c>
      <c r="N31" s="2333" t="s">
        <v>1274</v>
      </c>
      <c r="O31" s="2334"/>
      <c r="P31" s="209">
        <f>IF($J$2="生活保護",-P$24-P$25-P$27,0)</f>
        <v>0</v>
      </c>
      <c r="X31" s="88" t="str">
        <f>【マスター】!D95</f>
        <v>愛知県名古屋市東区泉一丁目6番5号</v>
      </c>
      <c r="Y31" s="92" t="s">
        <v>212</v>
      </c>
      <c r="Z31" s="89" t="s">
        <v>1282</v>
      </c>
    </row>
    <row r="32" spans="1:26" ht="16.350000000000001" customHeight="1" thickBot="1">
      <c r="A32" s="2328"/>
      <c r="B32" s="2312" t="s">
        <v>1275</v>
      </c>
      <c r="C32" s="2313"/>
      <c r="D32" s="210" t="e">
        <f>SUM(D24:D31)</f>
        <v>#N/A</v>
      </c>
      <c r="E32" s="2329" t="s">
        <v>1275</v>
      </c>
      <c r="F32" s="2330"/>
      <c r="G32" s="210" t="e">
        <f>SUM(G24:G31)</f>
        <v>#N/A</v>
      </c>
      <c r="H32" s="2312" t="s">
        <v>1275</v>
      </c>
      <c r="I32" s="2313"/>
      <c r="J32" s="210" t="e">
        <f>SUM(J24:J31)</f>
        <v>#N/A</v>
      </c>
      <c r="K32" s="2312" t="s">
        <v>1275</v>
      </c>
      <c r="L32" s="2313"/>
      <c r="M32" s="210" t="e">
        <f>SUM(M24:M31)</f>
        <v>#N/A</v>
      </c>
      <c r="N32" s="2312" t="s">
        <v>1275</v>
      </c>
      <c r="O32" s="2313"/>
      <c r="P32" s="210" t="e">
        <f>SUM(P24:P31)</f>
        <v>#N/A</v>
      </c>
      <c r="Q32" s="232"/>
      <c r="X32" s="88" t="str">
        <f>【マスター】!D96</f>
        <v>052-971-4165</v>
      </c>
      <c r="Y32" s="92" t="s">
        <v>214</v>
      </c>
      <c r="Z32" s="89" t="s">
        <v>1283</v>
      </c>
    </row>
    <row r="33" spans="1:26" ht="16.350000000000001" customHeight="1" thickBot="1">
      <c r="A33" s="2328" t="s">
        <v>1284</v>
      </c>
      <c r="B33" s="2344" t="s">
        <v>1262</v>
      </c>
      <c r="C33" s="2345"/>
      <c r="D33" s="202">
        <f>S33-S34</f>
        <v>0</v>
      </c>
      <c r="E33" s="2344" t="s">
        <v>1277</v>
      </c>
      <c r="F33" s="2345"/>
      <c r="G33" s="202">
        <f>T33-T34</f>
        <v>0</v>
      </c>
      <c r="H33" s="2344" t="s">
        <v>1278</v>
      </c>
      <c r="I33" s="2345"/>
      <c r="J33" s="202">
        <f>U33-U34</f>
        <v>0</v>
      </c>
      <c r="K33" s="2344" t="s">
        <v>1279</v>
      </c>
      <c r="L33" s="2345"/>
      <c r="M33" s="202">
        <f>V33-V34</f>
        <v>0</v>
      </c>
      <c r="N33" s="2344" t="s">
        <v>1280</v>
      </c>
      <c r="O33" s="2345"/>
      <c r="P33" s="202">
        <f>W33-W34</f>
        <v>0</v>
      </c>
      <c r="Q33" s="232"/>
      <c r="R33" s="2337" t="s">
        <v>1267</v>
      </c>
      <c r="S33" s="201">
        <f>ROUNDDOWN((735*15)*【マスター】!G65,0)</f>
        <v>0</v>
      </c>
      <c r="T33" s="201">
        <f>ROUNDDOWN((868*15)*【マスター】!G65,0)</f>
        <v>0</v>
      </c>
      <c r="U33" s="201">
        <f>ROUNDDOWN((1006*15)*【マスター】!G65,0)</f>
        <v>0</v>
      </c>
      <c r="V33" s="201">
        <f>ROUNDDOWN((1144*15)*【マスター】!G65,0)</f>
        <v>0</v>
      </c>
      <c r="W33" s="201">
        <f>ROUNDDOWN((1281*15)*【マスター】!G65,0)</f>
        <v>0</v>
      </c>
      <c r="X33" s="88">
        <f>【マスター】!D97</f>
        <v>0</v>
      </c>
      <c r="Y33" s="92" t="s">
        <v>210</v>
      </c>
      <c r="Z33" s="89" t="s">
        <v>1285</v>
      </c>
    </row>
    <row r="34" spans="1:26" ht="16.350000000000001" customHeight="1" thickBot="1">
      <c r="A34" s="2328"/>
      <c r="B34" s="2346" t="s">
        <v>1268</v>
      </c>
      <c r="C34" s="2347"/>
      <c r="D34" s="204">
        <f>S35-S36</f>
        <v>0</v>
      </c>
      <c r="E34" s="2348" t="s">
        <v>1268</v>
      </c>
      <c r="F34" s="2349"/>
      <c r="G34" s="204">
        <f>D34</f>
        <v>0</v>
      </c>
      <c r="H34" s="2346" t="s">
        <v>1268</v>
      </c>
      <c r="I34" s="2347"/>
      <c r="J34" s="204">
        <f>D34</f>
        <v>0</v>
      </c>
      <c r="K34" s="2346" t="s">
        <v>1268</v>
      </c>
      <c r="L34" s="2347"/>
      <c r="M34" s="204">
        <f>D34</f>
        <v>0</v>
      </c>
      <c r="N34" s="2346" t="s">
        <v>1268</v>
      </c>
      <c r="O34" s="2347"/>
      <c r="P34" s="204">
        <f>D34</f>
        <v>0</v>
      </c>
      <c r="Q34" s="232"/>
      <c r="R34" s="2337"/>
      <c r="S34" s="201">
        <f>ROUNDDOWN((S33)*R3,0)</f>
        <v>0</v>
      </c>
      <c r="T34" s="201">
        <f>ROUNDDOWN((T33)*R3,0)</f>
        <v>0</v>
      </c>
      <c r="U34" s="201">
        <f>ROUNDDOWN((U33)*R3,0)</f>
        <v>0</v>
      </c>
      <c r="V34" s="201">
        <f>ROUNDDOWN((V33)*R3,0)</f>
        <v>0</v>
      </c>
      <c r="W34" s="201">
        <f>ROUNDDOWN((W33)*R3,0)</f>
        <v>0</v>
      </c>
    </row>
    <row r="35" spans="1:26" ht="16.350000000000001" customHeight="1" thickBot="1">
      <c r="A35" s="2328"/>
      <c r="B35" s="2342" t="s">
        <v>1269</v>
      </c>
      <c r="C35" s="2343"/>
      <c r="D35" s="205">
        <f>【マスター】!$L$75*15</f>
        <v>0</v>
      </c>
      <c r="E35" s="2342" t="s">
        <v>1269</v>
      </c>
      <c r="F35" s="2343"/>
      <c r="G35" s="205">
        <f>【マスター】!$L$75*15</f>
        <v>0</v>
      </c>
      <c r="H35" s="2342" t="s">
        <v>1269</v>
      </c>
      <c r="I35" s="2343"/>
      <c r="J35" s="205">
        <f>【マスター】!$L$75*15</f>
        <v>0</v>
      </c>
      <c r="K35" s="2342" t="s">
        <v>1269</v>
      </c>
      <c r="L35" s="2343"/>
      <c r="M35" s="205">
        <f>【マスター】!$L$75*15</f>
        <v>0</v>
      </c>
      <c r="N35" s="2342" t="s">
        <v>1269</v>
      </c>
      <c r="O35" s="2343"/>
      <c r="P35" s="205">
        <f>【マスター】!$L$75*15</f>
        <v>0</v>
      </c>
      <c r="Q35" s="232"/>
      <c r="R35" s="2337" t="s">
        <v>356</v>
      </c>
      <c r="S35" s="201">
        <f>ROUNDDOWN((50*15)*【マスター】!G65,0)</f>
        <v>0</v>
      </c>
      <c r="U35" s="2337" t="s">
        <v>370</v>
      </c>
      <c r="V35" s="201">
        <f>ROUNDDOWN((-47*28)*【マスター】!G65,0)</f>
        <v>0</v>
      </c>
    </row>
    <row r="36" spans="1:26" ht="16.350000000000001" customHeight="1" thickBot="1">
      <c r="A36" s="2328"/>
      <c r="B36" s="2335" t="s">
        <v>1270</v>
      </c>
      <c r="C36" s="2336"/>
      <c r="D36" s="206">
        <f>V35-V36</f>
        <v>0</v>
      </c>
      <c r="E36" s="2335" t="s">
        <v>171</v>
      </c>
      <c r="F36" s="2336"/>
      <c r="G36" s="206">
        <f>D36</f>
        <v>0</v>
      </c>
      <c r="H36" s="2335" t="s">
        <v>171</v>
      </c>
      <c r="I36" s="2336"/>
      <c r="J36" s="206">
        <f>D36</f>
        <v>0</v>
      </c>
      <c r="K36" s="2335" t="s">
        <v>171</v>
      </c>
      <c r="L36" s="2336"/>
      <c r="M36" s="206">
        <f>D36</f>
        <v>0</v>
      </c>
      <c r="N36" s="2335" t="s">
        <v>171</v>
      </c>
      <c r="O36" s="2336"/>
      <c r="P36" s="206">
        <f>D36</f>
        <v>0</v>
      </c>
      <c r="Q36" s="232"/>
      <c r="R36" s="2337"/>
      <c r="S36" s="201">
        <f>ROUNDDOWN(S35*R3,0)</f>
        <v>0</v>
      </c>
      <c r="U36" s="2337"/>
      <c r="V36" s="201">
        <f>ROUNDDOWN(V35*R3,0)</f>
        <v>0</v>
      </c>
    </row>
    <row r="37" spans="1:26" ht="16.350000000000001" customHeight="1" thickBot="1">
      <c r="A37" s="2328"/>
      <c r="B37" s="2340" t="s">
        <v>1271</v>
      </c>
      <c r="C37" s="2341"/>
      <c r="D37" s="207" t="e">
        <f>VLOOKUP($J$2,【マスター】!O82:Y86,4,FALSE)*14</f>
        <v>#N/A</v>
      </c>
      <c r="E37" s="2340" t="s">
        <v>1271</v>
      </c>
      <c r="F37" s="2341"/>
      <c r="G37" s="207" t="e">
        <f>D37</f>
        <v>#N/A</v>
      </c>
      <c r="H37" s="2340" t="s">
        <v>1271</v>
      </c>
      <c r="I37" s="2341"/>
      <c r="J37" s="207" t="e">
        <f>G37</f>
        <v>#N/A</v>
      </c>
      <c r="K37" s="2340" t="s">
        <v>1271</v>
      </c>
      <c r="L37" s="2341"/>
      <c r="M37" s="207" t="e">
        <f>J37</f>
        <v>#N/A</v>
      </c>
      <c r="N37" s="2340" t="s">
        <v>1271</v>
      </c>
      <c r="O37" s="2341"/>
      <c r="P37" s="207" t="e">
        <f>M37</f>
        <v>#N/A</v>
      </c>
      <c r="Q37" s="232"/>
    </row>
    <row r="38" spans="1:26" ht="16.350000000000001" customHeight="1" thickBot="1">
      <c r="A38" s="2328"/>
      <c r="B38" s="2331" t="s">
        <v>1272</v>
      </c>
      <c r="C38" s="2332"/>
      <c r="D38" s="207" t="e">
        <f>VLOOKUP($J$2,【マスター】!O82:Y86,6,FALSE)*14</f>
        <v>#N/A</v>
      </c>
      <c r="E38" s="2331" t="s">
        <v>1272</v>
      </c>
      <c r="F38" s="2332"/>
      <c r="G38" s="207" t="e">
        <f>D38</f>
        <v>#N/A</v>
      </c>
      <c r="H38" s="2331" t="s">
        <v>1272</v>
      </c>
      <c r="I38" s="2332"/>
      <c r="J38" s="207" t="e">
        <f>G38</f>
        <v>#N/A</v>
      </c>
      <c r="K38" s="2331" t="s">
        <v>1272</v>
      </c>
      <c r="L38" s="2332"/>
      <c r="M38" s="207" t="e">
        <f>J38</f>
        <v>#N/A</v>
      </c>
      <c r="N38" s="2331" t="s">
        <v>1272</v>
      </c>
      <c r="O38" s="2332"/>
      <c r="P38" s="207" t="e">
        <f>M38</f>
        <v>#N/A</v>
      </c>
      <c r="Q38" s="232"/>
    </row>
    <row r="39" spans="1:26" ht="16.350000000000001" customHeight="1" thickBot="1">
      <c r="A39" s="2328"/>
      <c r="B39" s="2331" t="s">
        <v>1273</v>
      </c>
      <c r="C39" s="2332"/>
      <c r="D39" s="207" t="e">
        <f>VLOOKUP($J$2,【マスター】!O82:Y86,8,FALSE)*14</f>
        <v>#N/A</v>
      </c>
      <c r="E39" s="2331" t="s">
        <v>1273</v>
      </c>
      <c r="F39" s="2332"/>
      <c r="G39" s="207" t="e">
        <f>D39</f>
        <v>#N/A</v>
      </c>
      <c r="H39" s="2331" t="s">
        <v>1273</v>
      </c>
      <c r="I39" s="2332"/>
      <c r="J39" s="207" t="e">
        <f>G39</f>
        <v>#N/A</v>
      </c>
      <c r="K39" s="2331" t="s">
        <v>1273</v>
      </c>
      <c r="L39" s="2332"/>
      <c r="M39" s="207" t="e">
        <f>J39</f>
        <v>#N/A</v>
      </c>
      <c r="N39" s="2331" t="s">
        <v>1273</v>
      </c>
      <c r="O39" s="2332"/>
      <c r="P39" s="207" t="e">
        <f>M39</f>
        <v>#N/A</v>
      </c>
      <c r="Q39" s="232"/>
    </row>
    <row r="40" spans="1:26" ht="16.350000000000001" customHeight="1" thickBot="1">
      <c r="A40" s="2328"/>
      <c r="B40" s="2333" t="s">
        <v>1274</v>
      </c>
      <c r="C40" s="2334"/>
      <c r="D40" s="209">
        <f>IF($J$2="生活保護",-D$33-D$34-D$36,0)</f>
        <v>0</v>
      </c>
      <c r="E40" s="2333" t="s">
        <v>1274</v>
      </c>
      <c r="F40" s="2334"/>
      <c r="G40" s="209">
        <f>IF($J$2="生活保護",-G$33-G$34-G$36,0)</f>
        <v>0</v>
      </c>
      <c r="H40" s="2333" t="s">
        <v>1274</v>
      </c>
      <c r="I40" s="2334"/>
      <c r="J40" s="209">
        <f>IF($J$2="生活保護",-J$33-J$34-J$36,0)</f>
        <v>0</v>
      </c>
      <c r="K40" s="2333" t="s">
        <v>1274</v>
      </c>
      <c r="L40" s="2334"/>
      <c r="M40" s="209">
        <f>IF($J$2="生活保護",-M$33-M$34-M$36,0)</f>
        <v>0</v>
      </c>
      <c r="N40" s="2333" t="s">
        <v>1274</v>
      </c>
      <c r="O40" s="2334"/>
      <c r="P40" s="209">
        <f>IF($J$2="生活保護",-P$33-P$34-P$36,0)</f>
        <v>0</v>
      </c>
      <c r="Q40" s="232"/>
    </row>
    <row r="41" spans="1:26" ht="16.350000000000001" customHeight="1" thickBot="1">
      <c r="A41" s="2328"/>
      <c r="B41" s="2312" t="s">
        <v>1275</v>
      </c>
      <c r="C41" s="2313"/>
      <c r="D41" s="210" t="e">
        <f>SUM(D33:D40)</f>
        <v>#N/A</v>
      </c>
      <c r="E41" s="2329" t="s">
        <v>1275</v>
      </c>
      <c r="F41" s="2330"/>
      <c r="G41" s="210" t="e">
        <f>SUM(G33:G40)</f>
        <v>#N/A</v>
      </c>
      <c r="H41" s="2312" t="s">
        <v>1275</v>
      </c>
      <c r="I41" s="2313"/>
      <c r="J41" s="210" t="e">
        <f>SUM(J33:J40)</f>
        <v>#N/A</v>
      </c>
      <c r="K41" s="2312" t="s">
        <v>1275</v>
      </c>
      <c r="L41" s="2313"/>
      <c r="M41" s="210" t="e">
        <f>SUM(M33:M40)</f>
        <v>#N/A</v>
      </c>
      <c r="N41" s="2312" t="s">
        <v>1275</v>
      </c>
      <c r="O41" s="2313"/>
      <c r="P41" s="210" t="e">
        <f>SUM(P33:P40)</f>
        <v>#N/A</v>
      </c>
      <c r="Q41" s="232"/>
    </row>
    <row r="42" spans="1:26" ht="16.350000000000001" customHeight="1" thickBot="1">
      <c r="A42" s="2328" t="s">
        <v>1286</v>
      </c>
      <c r="B42" s="2344" t="s">
        <v>1287</v>
      </c>
      <c r="C42" s="2345"/>
      <c r="D42" s="202">
        <f>S42-S43</f>
        <v>0</v>
      </c>
      <c r="E42" s="2344" t="s">
        <v>1288</v>
      </c>
      <c r="F42" s="2345"/>
      <c r="G42" s="202">
        <f>T42-T43</f>
        <v>0</v>
      </c>
      <c r="H42" s="2344" t="s">
        <v>1289</v>
      </c>
      <c r="I42" s="2345"/>
      <c r="J42" s="202">
        <f>U42-U43</f>
        <v>0</v>
      </c>
      <c r="K42" s="2344" t="s">
        <v>1290</v>
      </c>
      <c r="L42" s="2345"/>
      <c r="M42" s="202">
        <f>V42-V43</f>
        <v>0</v>
      </c>
      <c r="N42" s="2344" t="s">
        <v>1291</v>
      </c>
      <c r="O42" s="2345"/>
      <c r="P42" s="202">
        <f>W42-W43</f>
        <v>0</v>
      </c>
      <c r="Q42" s="232"/>
      <c r="R42" s="2337" t="s">
        <v>1267</v>
      </c>
      <c r="S42" s="201">
        <f>ROUNDDOWN((735*24)*【マスター】!G65,0)</f>
        <v>0</v>
      </c>
      <c r="T42" s="201">
        <f>ROUNDDOWN((868*23)*【マスター】!G65,0)</f>
        <v>0</v>
      </c>
      <c r="U42" s="201">
        <f>ROUNDDOWN((1006*27)*【マスター】!G65,0)</f>
        <v>0</v>
      </c>
      <c r="V42" s="201">
        <f>ROUNDDOWN((1144*28)*【マスター】!G65,0)</f>
        <v>0</v>
      </c>
      <c r="W42" s="201">
        <f>ROUNDDOWN((1281*29)*【マスター】!G65,0)</f>
        <v>0</v>
      </c>
    </row>
    <row r="43" spans="1:26" ht="16.350000000000001" customHeight="1" thickBot="1">
      <c r="A43" s="2328"/>
      <c r="B43" s="2346" t="s">
        <v>1292</v>
      </c>
      <c r="C43" s="2347"/>
      <c r="D43" s="204">
        <f>S44-S45</f>
        <v>0</v>
      </c>
      <c r="E43" s="2348" t="s">
        <v>1293</v>
      </c>
      <c r="F43" s="2349"/>
      <c r="G43" s="204">
        <f>T44-T45</f>
        <v>0</v>
      </c>
      <c r="H43" s="2346" t="s">
        <v>1294</v>
      </c>
      <c r="I43" s="2347"/>
      <c r="J43" s="204">
        <f>U44-U45</f>
        <v>0</v>
      </c>
      <c r="K43" s="2346" t="s">
        <v>1295</v>
      </c>
      <c r="L43" s="2347"/>
      <c r="M43" s="204">
        <f>V44-V45</f>
        <v>0</v>
      </c>
      <c r="N43" s="2346" t="s">
        <v>1296</v>
      </c>
      <c r="O43" s="2347"/>
      <c r="P43" s="204">
        <f>W44-W45</f>
        <v>0</v>
      </c>
      <c r="Q43" s="232"/>
      <c r="R43" s="2337"/>
      <c r="S43" s="201">
        <f>ROUNDDOWN((S42)*R3,0)</f>
        <v>0</v>
      </c>
      <c r="T43" s="201">
        <f>ROUNDDOWN((T42)*R3,0)</f>
        <v>0</v>
      </c>
      <c r="U43" s="201">
        <f>ROUNDDOWN((U42)*R3,0)</f>
        <v>0</v>
      </c>
      <c r="V43" s="201">
        <f>ROUNDDOWN((V42)*R3,0)</f>
        <v>0</v>
      </c>
      <c r="W43" s="201">
        <f>ROUNDDOWN((W42)*R3,0)</f>
        <v>0</v>
      </c>
    </row>
    <row r="44" spans="1:26" ht="16.350000000000001" customHeight="1" thickBot="1">
      <c r="A44" s="2328"/>
      <c r="B44" s="2342" t="s">
        <v>1269</v>
      </c>
      <c r="C44" s="2343"/>
      <c r="D44" s="205">
        <f>【マスター】!$L$75*31</f>
        <v>0</v>
      </c>
      <c r="E44" s="2342" t="s">
        <v>1269</v>
      </c>
      <c r="F44" s="2343"/>
      <c r="G44" s="205">
        <f>【マスター】!$L$75*31</f>
        <v>0</v>
      </c>
      <c r="H44" s="2342" t="s">
        <v>1269</v>
      </c>
      <c r="I44" s="2343"/>
      <c r="J44" s="205">
        <f>【マスター】!$L$75*31</f>
        <v>0</v>
      </c>
      <c r="K44" s="2342" t="s">
        <v>1269</v>
      </c>
      <c r="L44" s="2343"/>
      <c r="M44" s="205">
        <f>【マスター】!$L$75*31</f>
        <v>0</v>
      </c>
      <c r="N44" s="2342" t="s">
        <v>1269</v>
      </c>
      <c r="O44" s="2343"/>
      <c r="P44" s="205">
        <f>【マスター】!$L$75*31</f>
        <v>0</v>
      </c>
      <c r="Q44" s="232"/>
      <c r="R44" s="2337" t="s">
        <v>356</v>
      </c>
      <c r="S44" s="201">
        <f>ROUNDDOWN((50*24)*【マスター】!G65,0)</f>
        <v>0</v>
      </c>
      <c r="T44" s="201">
        <f>ROUNDDOWN((50*23)*【マスター】!G65,0)</f>
        <v>0</v>
      </c>
      <c r="U44" s="201">
        <f>ROUNDDOWN((50*27)*【マスター】!G65,0)</f>
        <v>0</v>
      </c>
      <c r="V44" s="201">
        <f>ROUNDDOWN((50*28)*【マスター】!G65,0)</f>
        <v>0</v>
      </c>
      <c r="W44" s="201">
        <f>ROUNDDOWN((50*29)*【マスター】!G65,0)</f>
        <v>0</v>
      </c>
    </row>
    <row r="45" spans="1:26" ht="16.350000000000001" customHeight="1" thickBot="1">
      <c r="A45" s="2328"/>
      <c r="B45" s="2335" t="s">
        <v>1270</v>
      </c>
      <c r="C45" s="2336"/>
      <c r="D45" s="206">
        <f>S46-S47</f>
        <v>0</v>
      </c>
      <c r="E45" s="2335" t="s">
        <v>171</v>
      </c>
      <c r="F45" s="2336"/>
      <c r="G45" s="206">
        <f>T46-T47</f>
        <v>0</v>
      </c>
      <c r="H45" s="2335" t="s">
        <v>171</v>
      </c>
      <c r="I45" s="2336"/>
      <c r="J45" s="206">
        <f>U46-U47</f>
        <v>0</v>
      </c>
      <c r="K45" s="2335" t="s">
        <v>171</v>
      </c>
      <c r="L45" s="2336"/>
      <c r="M45" s="206">
        <f>V46-V47</f>
        <v>0</v>
      </c>
      <c r="N45" s="2335" t="s">
        <v>171</v>
      </c>
      <c r="O45" s="2336"/>
      <c r="P45" s="206">
        <f>W46-W47</f>
        <v>0</v>
      </c>
      <c r="Q45" s="232"/>
      <c r="R45" s="2337"/>
      <c r="S45" s="201">
        <f>ROUNDDOWN(S44*R3,0)</f>
        <v>0</v>
      </c>
      <c r="T45" s="201">
        <f>ROUNDDOWN(T44*R3,0)</f>
        <v>0</v>
      </c>
      <c r="U45" s="201">
        <f>ROUNDDOWN(U44*R3,0)</f>
        <v>0</v>
      </c>
      <c r="V45" s="201">
        <f>ROUNDDOWN(V44*R3,0)</f>
        <v>0</v>
      </c>
      <c r="W45" s="201">
        <f>ROUNDDOWN(W44*R3,0)</f>
        <v>0</v>
      </c>
    </row>
    <row r="46" spans="1:26" ht="16.350000000000001" customHeight="1" thickBot="1">
      <c r="A46" s="2328"/>
      <c r="B46" s="2340" t="s">
        <v>1271</v>
      </c>
      <c r="C46" s="2341"/>
      <c r="D46" s="207" t="e">
        <f>VLOOKUP($J$2,【マスター】!O82:Y86,4,FALSE)*30</f>
        <v>#N/A</v>
      </c>
      <c r="E46" s="2340" t="s">
        <v>1271</v>
      </c>
      <c r="F46" s="2341"/>
      <c r="G46" s="207" t="e">
        <f>D46</f>
        <v>#N/A</v>
      </c>
      <c r="H46" s="2340" t="s">
        <v>1271</v>
      </c>
      <c r="I46" s="2341"/>
      <c r="J46" s="207" t="e">
        <f>G46</f>
        <v>#N/A</v>
      </c>
      <c r="K46" s="2340" t="s">
        <v>1271</v>
      </c>
      <c r="L46" s="2341"/>
      <c r="M46" s="207" t="e">
        <f>J46</f>
        <v>#N/A</v>
      </c>
      <c r="N46" s="2340" t="s">
        <v>1271</v>
      </c>
      <c r="O46" s="2341"/>
      <c r="P46" s="207" t="e">
        <f>M46</f>
        <v>#N/A</v>
      </c>
      <c r="Q46" s="232"/>
      <c r="R46" s="2337" t="s">
        <v>370</v>
      </c>
      <c r="S46" s="201">
        <f>ROUNDDOWN((-47*47)*【マスター】!G65,0)</f>
        <v>0</v>
      </c>
      <c r="T46" s="201">
        <f>ROUNDDOWN((-47*45)*【マスター】!G65,0)</f>
        <v>0</v>
      </c>
      <c r="U46" s="201">
        <f>ROUNDDOWN((-47*53)*【マスター】!G65,0)</f>
        <v>0</v>
      </c>
      <c r="V46" s="201">
        <f>ROUNDDOWN((-47*56)*【マスター】!G65,0)</f>
        <v>0</v>
      </c>
      <c r="W46" s="201">
        <f>ROUNDDOWN((-47*57)*【マスター】!G65,0)</f>
        <v>0</v>
      </c>
    </row>
    <row r="47" spans="1:26" ht="16.350000000000001" customHeight="1" thickBot="1">
      <c r="A47" s="2328"/>
      <c r="B47" s="2338" t="s">
        <v>1297</v>
      </c>
      <c r="C47" s="2339"/>
      <c r="D47" s="207" t="e">
        <f>VLOOKUP($J$2,【マスター】!O82:Y86,2,FALSE)*7</f>
        <v>#N/A</v>
      </c>
      <c r="E47" s="2338" t="s">
        <v>1298</v>
      </c>
      <c r="F47" s="2339"/>
      <c r="G47" s="207" t="e">
        <f>VLOOKUP($J$2,【マスター】!O82:Y86,2,FALSE)*8</f>
        <v>#N/A</v>
      </c>
      <c r="H47" s="2338" t="s">
        <v>1299</v>
      </c>
      <c r="I47" s="2339"/>
      <c r="J47" s="207" t="e">
        <f>VLOOKUP($J$2,【マスター】!O82:Y86,3,FALSE)*4</f>
        <v>#N/A</v>
      </c>
      <c r="K47" s="2338" t="s">
        <v>1300</v>
      </c>
      <c r="L47" s="2339"/>
      <c r="M47" s="207" t="e">
        <f>VLOOKUP($J$2,【マスター】!O82:Y86,3,FALSE)*3</f>
        <v>#N/A</v>
      </c>
      <c r="N47" s="2338" t="s">
        <v>1301</v>
      </c>
      <c r="O47" s="2339"/>
      <c r="P47" s="207" t="e">
        <f>VLOOKUP($J$2,【マスター】!O82:Y86,3,FALSE)*2</f>
        <v>#N/A</v>
      </c>
      <c r="Q47" s="232"/>
      <c r="R47" s="2337"/>
      <c r="S47" s="201">
        <f>ROUNDDOWN(S46*R3,0)</f>
        <v>0</v>
      </c>
      <c r="T47" s="201">
        <f>ROUNDDOWN(T46*R3,0)</f>
        <v>0</v>
      </c>
      <c r="U47" s="201">
        <f>ROUNDDOWN(U46*R3,0)</f>
        <v>0</v>
      </c>
      <c r="V47" s="201">
        <f>ROUNDDOWN(V46*R3,0)</f>
        <v>0</v>
      </c>
      <c r="W47" s="201">
        <f>ROUNDDOWN(W46*R3,0)</f>
        <v>0</v>
      </c>
    </row>
    <row r="48" spans="1:26" ht="16.350000000000001" customHeight="1" thickBot="1">
      <c r="A48" s="2328"/>
      <c r="B48" s="2331" t="s">
        <v>1272</v>
      </c>
      <c r="C48" s="2332"/>
      <c r="D48" s="207" t="e">
        <f>VLOOKUP($J$2,【マスター】!O82:Y86,6,FALSE)*30</f>
        <v>#N/A</v>
      </c>
      <c r="E48" s="2331" t="s">
        <v>1272</v>
      </c>
      <c r="F48" s="2332"/>
      <c r="G48" s="207" t="e">
        <f>D48</f>
        <v>#N/A</v>
      </c>
      <c r="H48" s="2331" t="s">
        <v>1272</v>
      </c>
      <c r="I48" s="2332"/>
      <c r="J48" s="207" t="e">
        <f>G48</f>
        <v>#N/A</v>
      </c>
      <c r="K48" s="2331" t="s">
        <v>1272</v>
      </c>
      <c r="L48" s="2332"/>
      <c r="M48" s="207" t="e">
        <f>J48</f>
        <v>#N/A</v>
      </c>
      <c r="N48" s="2331" t="s">
        <v>1272</v>
      </c>
      <c r="O48" s="2332"/>
      <c r="P48" s="207" t="e">
        <f>M48</f>
        <v>#N/A</v>
      </c>
      <c r="Q48" s="232"/>
    </row>
    <row r="49" spans="1:23" ht="16.350000000000001" customHeight="1" thickBot="1">
      <c r="A49" s="2328"/>
      <c r="B49" s="2331" t="s">
        <v>1273</v>
      </c>
      <c r="C49" s="2332"/>
      <c r="D49" s="207" t="e">
        <f>VLOOKUP($J$2,【マスター】!O82:Y86,8,FALSE)*30</f>
        <v>#N/A</v>
      </c>
      <c r="E49" s="2331" t="s">
        <v>1273</v>
      </c>
      <c r="F49" s="2332"/>
      <c r="G49" s="207" t="e">
        <f>D49</f>
        <v>#N/A</v>
      </c>
      <c r="H49" s="2331" t="s">
        <v>1273</v>
      </c>
      <c r="I49" s="2332"/>
      <c r="J49" s="207" t="e">
        <f>G49</f>
        <v>#N/A</v>
      </c>
      <c r="K49" s="2331" t="s">
        <v>1273</v>
      </c>
      <c r="L49" s="2332"/>
      <c r="M49" s="207" t="e">
        <f>J49</f>
        <v>#N/A</v>
      </c>
      <c r="N49" s="2331" t="s">
        <v>1273</v>
      </c>
      <c r="O49" s="2332"/>
      <c r="P49" s="207" t="e">
        <f>M49</f>
        <v>#N/A</v>
      </c>
      <c r="Q49" s="232"/>
    </row>
    <row r="50" spans="1:23" ht="16.350000000000001" customHeight="1" thickBot="1">
      <c r="A50" s="2328"/>
      <c r="B50" s="2333" t="s">
        <v>1274</v>
      </c>
      <c r="C50" s="2334"/>
      <c r="D50" s="209">
        <f>IF($J$2="生活保護",-D$42-D$43-D$45,0)</f>
        <v>0</v>
      </c>
      <c r="E50" s="2333" t="s">
        <v>1274</v>
      </c>
      <c r="F50" s="2334"/>
      <c r="G50" s="209">
        <f>IF($J$2="生活保護",-G$42-G$43-G$45,0)</f>
        <v>0</v>
      </c>
      <c r="H50" s="2333" t="s">
        <v>1274</v>
      </c>
      <c r="I50" s="2334"/>
      <c r="J50" s="209">
        <f>IF($J$2="生活保護",-J$42-J$43-J$45,0)</f>
        <v>0</v>
      </c>
      <c r="K50" s="2333" t="s">
        <v>1274</v>
      </c>
      <c r="L50" s="2334"/>
      <c r="M50" s="209">
        <f>IF($J$2="生活保護",-M$42-M$43-M$45,0)</f>
        <v>0</v>
      </c>
      <c r="N50" s="2333" t="s">
        <v>1274</v>
      </c>
      <c r="O50" s="2334"/>
      <c r="P50" s="209">
        <f>IF($J$2="生活保護",-P$42-P$43-P$45,0)</f>
        <v>0</v>
      </c>
      <c r="Q50" s="232"/>
    </row>
    <row r="51" spans="1:23" ht="16.350000000000001" customHeight="1" thickBot="1">
      <c r="A51" s="2328"/>
      <c r="B51" s="2312" t="s">
        <v>1275</v>
      </c>
      <c r="C51" s="2313"/>
      <c r="D51" s="210" t="e">
        <f>SUM(D42:D50)</f>
        <v>#N/A</v>
      </c>
      <c r="E51" s="2329" t="s">
        <v>1275</v>
      </c>
      <c r="F51" s="2330"/>
      <c r="G51" s="210" t="e">
        <f>SUM(G42:G50)</f>
        <v>#N/A</v>
      </c>
      <c r="H51" s="2312" t="s">
        <v>1275</v>
      </c>
      <c r="I51" s="2313"/>
      <c r="J51" s="210" t="e">
        <f>SUM(J42:J50)</f>
        <v>#N/A</v>
      </c>
      <c r="K51" s="2312" t="s">
        <v>1275</v>
      </c>
      <c r="L51" s="2313"/>
      <c r="M51" s="210" t="e">
        <f>SUM(M42:M50)</f>
        <v>#N/A</v>
      </c>
      <c r="N51" s="2312" t="s">
        <v>1275</v>
      </c>
      <c r="O51" s="2313"/>
      <c r="P51" s="210" t="e">
        <f>SUM(P42:P50)</f>
        <v>#N/A</v>
      </c>
      <c r="Q51" s="232"/>
    </row>
    <row r="52" spans="1:23" ht="20.25" customHeight="1">
      <c r="A52" s="2314" t="s">
        <v>1302</v>
      </c>
      <c r="B52" s="2315"/>
      <c r="C52" s="2315"/>
      <c r="D52" s="2315"/>
      <c r="E52" s="2315"/>
      <c r="F52" s="2315"/>
      <c r="G52" s="2315"/>
      <c r="H52" s="2316" t="s">
        <v>1303</v>
      </c>
      <c r="I52" s="2316"/>
      <c r="J52" s="2316"/>
      <c r="K52" s="2316"/>
      <c r="L52" s="2316"/>
      <c r="M52" s="2316"/>
      <c r="N52" s="2316"/>
      <c r="O52" s="2316"/>
      <c r="P52" s="2317"/>
    </row>
    <row r="53" spans="1:23" ht="16.5" customHeight="1" thickBot="1">
      <c r="A53" s="213" t="s">
        <v>1304</v>
      </c>
      <c r="B53" s="185"/>
      <c r="C53" s="214" t="str">
        <f>【マスター】!E65</f>
        <v>１，６２２</v>
      </c>
      <c r="D53" s="2318" t="s">
        <v>1305</v>
      </c>
      <c r="E53" s="2318"/>
      <c r="F53" s="2318"/>
      <c r="G53" s="2318"/>
      <c r="H53" s="2318"/>
      <c r="I53" s="2318"/>
      <c r="J53" s="233"/>
      <c r="K53" s="233"/>
      <c r="L53" s="233"/>
      <c r="M53" s="233"/>
      <c r="N53" s="233"/>
      <c r="O53" s="233"/>
      <c r="P53" s="234"/>
    </row>
    <row r="54" spans="1:23" ht="16.5" customHeight="1" thickTop="1" thickBot="1">
      <c r="A54" s="2319" t="s">
        <v>1306</v>
      </c>
      <c r="B54" s="2318"/>
      <c r="C54" s="2318"/>
      <c r="D54" s="2318"/>
      <c r="E54" s="2318"/>
      <c r="F54" s="2318"/>
      <c r="G54" s="2318"/>
      <c r="H54" s="2318"/>
      <c r="I54" s="2318"/>
      <c r="J54" s="2320"/>
      <c r="K54" s="2320"/>
      <c r="L54" s="2320"/>
      <c r="M54" s="2320"/>
      <c r="N54" s="2320"/>
      <c r="O54" s="2320"/>
      <c r="P54" s="2321"/>
      <c r="R54" s="201" t="s">
        <v>1307</v>
      </c>
      <c r="S54" s="201">
        <f>(ROUNDDOWN(46*【マスター】!G65,0))-(ROUNDDOWN(ROUNDDOWN(46*【マスター】!G65,0)*R3,0))</f>
        <v>0</v>
      </c>
      <c r="T54" s="201" t="s">
        <v>1308</v>
      </c>
      <c r="U54" s="201">
        <f>(ROUNDDOWN(56*【マスター】!G65,0))-(ROUNDDOWN(ROUNDDOWN(56*【マスター】!G65,0)*R3,0))</f>
        <v>0</v>
      </c>
      <c r="V54" s="201" t="s">
        <v>199</v>
      </c>
      <c r="W54" s="201">
        <f>(ROUNDDOWN(60*【マスター】!G65,0))-(ROUNDDOWN(ROUNDDOWN(60*【マスター】!G65,0)*R3,0))</f>
        <v>0</v>
      </c>
    </row>
    <row r="55" spans="1:23" ht="16.5" customHeight="1">
      <c r="A55" s="2322" t="s">
        <v>1309</v>
      </c>
      <c r="B55" s="2323"/>
      <c r="C55" s="578" t="s">
        <v>1310</v>
      </c>
      <c r="D55" s="2324" t="s">
        <v>1309</v>
      </c>
      <c r="E55" s="2324"/>
      <c r="F55" s="578" t="s">
        <v>1310</v>
      </c>
      <c r="G55" s="2324" t="s">
        <v>1309</v>
      </c>
      <c r="H55" s="2324"/>
      <c r="I55" s="220" t="s">
        <v>1311</v>
      </c>
      <c r="J55" s="2325" t="s">
        <v>1312</v>
      </c>
      <c r="K55" s="2326"/>
      <c r="L55" s="2326"/>
      <c r="M55" s="2326"/>
      <c r="N55" s="2326"/>
      <c r="O55" s="2326"/>
      <c r="P55" s="2327"/>
      <c r="R55" s="201" t="s">
        <v>1313</v>
      </c>
      <c r="S55" s="201">
        <f>(ROUNDDOWN(45*【マスター】!G65,0))-(ROUNDDOWN(ROUNDDOWN(45*【マスター】!G65,0)*R3,0))</f>
        <v>0</v>
      </c>
      <c r="T55" s="201" t="s">
        <v>834</v>
      </c>
      <c r="U55" s="201">
        <f>(ROUNDDOWN(150*【マスター】!G65,0))-(ROUNDDOWN(ROUNDDOWN(150*【マスター】!G65,0)*R3,0))</f>
        <v>0</v>
      </c>
      <c r="V55" s="201" t="s">
        <v>831</v>
      </c>
      <c r="W55" s="201">
        <f>(ROUNDDOWN(150*【マスター】!G65,0))-(ROUNDDOWN(ROUNDDOWN(150*【マスター】!G65,0)*R3,0))</f>
        <v>0</v>
      </c>
    </row>
    <row r="56" spans="1:23" ht="16.5" customHeight="1">
      <c r="A56" s="2305" t="s">
        <v>1314</v>
      </c>
      <c r="B56" s="2306"/>
      <c r="C56" s="574" t="str">
        <f>IF(【マスター】!D84="","取得なし",S54)</f>
        <v>取得なし</v>
      </c>
      <c r="D56" s="2307" t="s">
        <v>1315</v>
      </c>
      <c r="E56" s="2293"/>
      <c r="F56" s="574">
        <f>IF(【マスター】!D85="","取得なし",U54)</f>
        <v>0</v>
      </c>
      <c r="G56" s="2307" t="s">
        <v>1316</v>
      </c>
      <c r="H56" s="2293"/>
      <c r="I56" s="221">
        <f>IF(【マスター】!D86="","取得なし",W54)</f>
        <v>0</v>
      </c>
      <c r="J56" s="2308" t="str">
        <f>【マスター】!D7&amp;【マスター】!F7</f>
        <v/>
      </c>
      <c r="K56" s="2309"/>
      <c r="L56" s="2309"/>
      <c r="M56" s="2309"/>
      <c r="N56" s="2309"/>
      <c r="O56" s="2309"/>
      <c r="P56" s="2310"/>
      <c r="R56" s="201" t="s">
        <v>826</v>
      </c>
      <c r="S56" s="201">
        <f>(ROUNDDOWN(60*【マスター】!G65,0))-(ROUNDDOWN(ROUNDDOWN(60*【マスター】!G65,0)*R3,0))</f>
        <v>0</v>
      </c>
      <c r="T56" s="229" t="s">
        <v>1282</v>
      </c>
      <c r="U56" s="201">
        <v>18</v>
      </c>
      <c r="V56" s="201">
        <f>(ROUNDDOWN(U56*【マスター】!$G$65,0))-(ROUNDDOWN(ROUNDDOWN(U56*【マスター】!$G$65,0)*$R$3,0))</f>
        <v>0</v>
      </c>
    </row>
    <row r="57" spans="1:23" ht="16.5" customHeight="1">
      <c r="A57" s="2305" t="s">
        <v>1317</v>
      </c>
      <c r="B57" s="2306"/>
      <c r="C57" s="574" t="e">
        <f>IF(【マスター】!#REF!="","取得なし",S55)</f>
        <v>#REF!</v>
      </c>
      <c r="D57" s="2307" t="s">
        <v>1318</v>
      </c>
      <c r="E57" s="2293"/>
      <c r="F57" s="574" t="str">
        <f>IF(【マスター】!D100="","取得なし",U55)</f>
        <v>取得なし</v>
      </c>
      <c r="G57" s="2307" t="s">
        <v>1319</v>
      </c>
      <c r="H57" s="2293"/>
      <c r="I57" s="221" t="str">
        <f>IF(【マスター】!D99="","取得なし",W55)</f>
        <v>取得なし</v>
      </c>
      <c r="J57" s="235" t="s">
        <v>1320</v>
      </c>
      <c r="K57" s="2311" t="e">
        <f>【マスター】!#REF!</f>
        <v>#REF!</v>
      </c>
      <c r="L57" s="2311"/>
      <c r="M57" s="223" t="s">
        <v>1321</v>
      </c>
      <c r="N57" s="2311" t="e">
        <f>【マスター】!#REF!</f>
        <v>#REF!</v>
      </c>
      <c r="O57" s="2311"/>
      <c r="P57" s="224"/>
      <c r="T57" s="229" t="s">
        <v>1283</v>
      </c>
      <c r="U57" s="201">
        <v>12</v>
      </c>
      <c r="V57" s="201">
        <f>(ROUNDDOWN(U57*【マスター】!$G$65,0))-(ROUNDDOWN(ROUNDDOWN(U57*【マスター】!$G$65,0)*$R$3,0))</f>
        <v>0</v>
      </c>
    </row>
    <row r="58" spans="1:23" ht="16.5" customHeight="1">
      <c r="A58" s="2292" t="s">
        <v>1322</v>
      </c>
      <c r="B58" s="2293"/>
      <c r="C58" s="576" t="e">
        <f>IF(【マスター】!#REF!="","取得なし",S56)</f>
        <v>#REF!</v>
      </c>
      <c r="D58" s="2294" t="str">
        <f>IF(X30=0,Z30,VLOOKUP("有",X30:Z33,3,FALSE))</f>
        <v>サービス提供体制強化加算</v>
      </c>
      <c r="E58" s="2294"/>
      <c r="F58" s="574" t="str">
        <f>VLOOKUP(D58,T56:V59,3,FALSE)</f>
        <v>取得なし</v>
      </c>
      <c r="G58" s="2295"/>
      <c r="H58" s="2295"/>
      <c r="I58" s="225"/>
      <c r="J58" s="236" t="s">
        <v>1323</v>
      </c>
      <c r="K58" s="2296">
        <f>【マスター】!G8</f>
        <v>0</v>
      </c>
      <c r="L58" s="2296"/>
      <c r="M58" s="2296"/>
      <c r="N58" s="2296"/>
      <c r="O58" s="2296"/>
      <c r="P58" s="2297"/>
      <c r="T58" s="229" t="s">
        <v>1285</v>
      </c>
      <c r="U58" s="201">
        <v>6</v>
      </c>
      <c r="V58" s="201">
        <f>(ROUNDDOWN(U58*【マスター】!$G$65,0))-(ROUNDDOWN(ROUNDDOWN(U58*【マスター】!$G$65,0)*$R$3,0))</f>
        <v>0</v>
      </c>
    </row>
    <row r="59" spans="1:23" ht="16.5" customHeight="1" thickBot="1">
      <c r="A59" s="2298" t="e">
        <f>#REF!</f>
        <v>#REF!</v>
      </c>
      <c r="B59" s="2299"/>
      <c r="C59" s="2300" t="s">
        <v>1324</v>
      </c>
      <c r="D59" s="2301"/>
      <c r="E59" s="2301"/>
      <c r="F59" s="2300" t="e">
        <f>#REF!</f>
        <v>#REF!</v>
      </c>
      <c r="G59" s="2301"/>
      <c r="H59" s="2301"/>
      <c r="I59" s="2302"/>
      <c r="J59" s="237"/>
      <c r="K59" s="216"/>
      <c r="L59" s="216"/>
      <c r="M59" s="216"/>
      <c r="N59" s="227" t="s">
        <v>1325</v>
      </c>
      <c r="O59" s="2303">
        <f>【マスター】!D20</f>
        <v>0</v>
      </c>
      <c r="P59" s="2304"/>
      <c r="T59" s="201" t="s">
        <v>1326</v>
      </c>
      <c r="U59" s="201">
        <v>0</v>
      </c>
      <c r="V59" s="201" t="s">
        <v>1327</v>
      </c>
    </row>
    <row r="61" spans="1:23" hidden="1">
      <c r="A61" s="201" t="s">
        <v>1328</v>
      </c>
      <c r="B61" s="228" t="s">
        <v>1329</v>
      </c>
    </row>
    <row r="62" spans="1:23" hidden="1">
      <c r="A62" s="201" t="s">
        <v>1330</v>
      </c>
      <c r="B62" s="228" t="s">
        <v>1331</v>
      </c>
    </row>
    <row r="63" spans="1:23" hidden="1">
      <c r="A63" s="201" t="s">
        <v>1332</v>
      </c>
      <c r="B63" s="228" t="s">
        <v>1333</v>
      </c>
    </row>
    <row r="64" spans="1:23" hidden="1">
      <c r="A64" s="201" t="s">
        <v>1334</v>
      </c>
      <c r="B64" s="228" t="s">
        <v>1335</v>
      </c>
    </row>
    <row r="65" spans="1:2" hidden="1">
      <c r="A65" s="201" t="s">
        <v>1336</v>
      </c>
      <c r="B65" s="228" t="s">
        <v>1337</v>
      </c>
    </row>
  </sheetData>
  <mergeCells count="283">
    <mergeCell ref="H2:I2"/>
    <mergeCell ref="J2:L2"/>
    <mergeCell ref="B5:D5"/>
    <mergeCell ref="E5:G5"/>
    <mergeCell ref="H5:J5"/>
    <mergeCell ref="K5:M5"/>
    <mergeCell ref="R6:R7"/>
    <mergeCell ref="B7:C7"/>
    <mergeCell ref="E7:F7"/>
    <mergeCell ref="H7:I7"/>
    <mergeCell ref="K7:L7"/>
    <mergeCell ref="N7:O7"/>
    <mergeCell ref="N5:P5"/>
    <mergeCell ref="A6:A14"/>
    <mergeCell ref="B6:C6"/>
    <mergeCell ref="E6:F6"/>
    <mergeCell ref="H6:I6"/>
    <mergeCell ref="K6:L6"/>
    <mergeCell ref="N6:O6"/>
    <mergeCell ref="B8:C8"/>
    <mergeCell ref="E8:F8"/>
    <mergeCell ref="H8:I8"/>
    <mergeCell ref="K8:L8"/>
    <mergeCell ref="N8:O8"/>
    <mergeCell ref="B11:C11"/>
    <mergeCell ref="E11:F11"/>
    <mergeCell ref="H11:I11"/>
    <mergeCell ref="K11:L11"/>
    <mergeCell ref="N11:O11"/>
    <mergeCell ref="B12:C12"/>
    <mergeCell ref="E12:F12"/>
    <mergeCell ref="H12:I12"/>
    <mergeCell ref="K12:L12"/>
    <mergeCell ref="N12:O12"/>
    <mergeCell ref="B13:C13"/>
    <mergeCell ref="E13:F13"/>
    <mergeCell ref="H13:I13"/>
    <mergeCell ref="R8:R9"/>
    <mergeCell ref="U8:U9"/>
    <mergeCell ref="B9:C9"/>
    <mergeCell ref="E9:F9"/>
    <mergeCell ref="H9:I9"/>
    <mergeCell ref="K9:L9"/>
    <mergeCell ref="N9:O9"/>
    <mergeCell ref="B10:C10"/>
    <mergeCell ref="E10:F10"/>
    <mergeCell ref="H10:I10"/>
    <mergeCell ref="K10:L10"/>
    <mergeCell ref="N10:O10"/>
    <mergeCell ref="K13:L13"/>
    <mergeCell ref="N13:O13"/>
    <mergeCell ref="N15:O15"/>
    <mergeCell ref="R15:R16"/>
    <mergeCell ref="B16:C16"/>
    <mergeCell ref="E16:F16"/>
    <mergeCell ref="H16:I16"/>
    <mergeCell ref="K16:L16"/>
    <mergeCell ref="N16:O16"/>
    <mergeCell ref="B14:C14"/>
    <mergeCell ref="E14:F14"/>
    <mergeCell ref="H14:I14"/>
    <mergeCell ref="K14:L14"/>
    <mergeCell ref="N14:O14"/>
    <mergeCell ref="B15:C15"/>
    <mergeCell ref="E15:F15"/>
    <mergeCell ref="H15:I15"/>
    <mergeCell ref="K15:L15"/>
    <mergeCell ref="U17:U18"/>
    <mergeCell ref="B18:C18"/>
    <mergeCell ref="E18:F18"/>
    <mergeCell ref="H18:I18"/>
    <mergeCell ref="K18:L18"/>
    <mergeCell ref="N18:O18"/>
    <mergeCell ref="B17:C17"/>
    <mergeCell ref="E17:F17"/>
    <mergeCell ref="H17:I17"/>
    <mergeCell ref="K17:L17"/>
    <mergeCell ref="N17:O17"/>
    <mergeCell ref="R17:R18"/>
    <mergeCell ref="N21:O21"/>
    <mergeCell ref="B22:C22"/>
    <mergeCell ref="E22:F22"/>
    <mergeCell ref="H22:I22"/>
    <mergeCell ref="K22:L22"/>
    <mergeCell ref="N22:O22"/>
    <mergeCell ref="B19:C19"/>
    <mergeCell ref="E19:F19"/>
    <mergeCell ref="H19:I19"/>
    <mergeCell ref="K19:L19"/>
    <mergeCell ref="N19:O19"/>
    <mergeCell ref="B20:C20"/>
    <mergeCell ref="E20:F20"/>
    <mergeCell ref="H20:I20"/>
    <mergeCell ref="K20:L20"/>
    <mergeCell ref="N20:O20"/>
    <mergeCell ref="A24:A32"/>
    <mergeCell ref="B24:C24"/>
    <mergeCell ref="E24:F24"/>
    <mergeCell ref="H24:I24"/>
    <mergeCell ref="K24:L24"/>
    <mergeCell ref="B21:C21"/>
    <mergeCell ref="E21:F21"/>
    <mergeCell ref="H21:I21"/>
    <mergeCell ref="K21:L21"/>
    <mergeCell ref="A15:A23"/>
    <mergeCell ref="B28:C28"/>
    <mergeCell ref="E28:F28"/>
    <mergeCell ref="H28:I28"/>
    <mergeCell ref="K28:L28"/>
    <mergeCell ref="B31:C31"/>
    <mergeCell ref="E31:F31"/>
    <mergeCell ref="H31:I31"/>
    <mergeCell ref="K31:L31"/>
    <mergeCell ref="N24:O24"/>
    <mergeCell ref="R24:R25"/>
    <mergeCell ref="B25:C25"/>
    <mergeCell ref="E25:F25"/>
    <mergeCell ref="H25:I25"/>
    <mergeCell ref="K25:L25"/>
    <mergeCell ref="N25:O25"/>
    <mergeCell ref="B23:C23"/>
    <mergeCell ref="E23:F23"/>
    <mergeCell ref="H23:I23"/>
    <mergeCell ref="K23:L23"/>
    <mergeCell ref="N23:O23"/>
    <mergeCell ref="U26:U27"/>
    <mergeCell ref="B27:C27"/>
    <mergeCell ref="E27:F27"/>
    <mergeCell ref="H27:I27"/>
    <mergeCell ref="K27:L27"/>
    <mergeCell ref="N27:O27"/>
    <mergeCell ref="B26:C26"/>
    <mergeCell ref="E26:F26"/>
    <mergeCell ref="H26:I26"/>
    <mergeCell ref="K26:L26"/>
    <mergeCell ref="N26:O26"/>
    <mergeCell ref="R26:R27"/>
    <mergeCell ref="N28:O28"/>
    <mergeCell ref="B29:C29"/>
    <mergeCell ref="E29:F29"/>
    <mergeCell ref="H29:I29"/>
    <mergeCell ref="K29:L29"/>
    <mergeCell ref="N29:O29"/>
    <mergeCell ref="B30:C30"/>
    <mergeCell ref="E30:F30"/>
    <mergeCell ref="H30:I30"/>
    <mergeCell ref="K30:L30"/>
    <mergeCell ref="N30:O30"/>
    <mergeCell ref="N31:O31"/>
    <mergeCell ref="N33:O33"/>
    <mergeCell ref="R33:R34"/>
    <mergeCell ref="B34:C34"/>
    <mergeCell ref="E34:F34"/>
    <mergeCell ref="H34:I34"/>
    <mergeCell ref="K34:L34"/>
    <mergeCell ref="N34:O34"/>
    <mergeCell ref="B32:C32"/>
    <mergeCell ref="E32:F32"/>
    <mergeCell ref="H32:I32"/>
    <mergeCell ref="K32:L32"/>
    <mergeCell ref="N32:O32"/>
    <mergeCell ref="B33:C33"/>
    <mergeCell ref="E33:F33"/>
    <mergeCell ref="H33:I33"/>
    <mergeCell ref="K33:L33"/>
    <mergeCell ref="U35:U36"/>
    <mergeCell ref="B36:C36"/>
    <mergeCell ref="E36:F36"/>
    <mergeCell ref="H36:I36"/>
    <mergeCell ref="K36:L36"/>
    <mergeCell ref="N36:O36"/>
    <mergeCell ref="B35:C35"/>
    <mergeCell ref="E35:F35"/>
    <mergeCell ref="H35:I35"/>
    <mergeCell ref="K35:L35"/>
    <mergeCell ref="N35:O35"/>
    <mergeCell ref="R35:R36"/>
    <mergeCell ref="N39:O39"/>
    <mergeCell ref="B40:C40"/>
    <mergeCell ref="E40:F40"/>
    <mergeCell ref="H40:I40"/>
    <mergeCell ref="K40:L40"/>
    <mergeCell ref="N40:O40"/>
    <mergeCell ref="B37:C37"/>
    <mergeCell ref="E37:F37"/>
    <mergeCell ref="H37:I37"/>
    <mergeCell ref="K37:L37"/>
    <mergeCell ref="N37:O37"/>
    <mergeCell ref="B38:C38"/>
    <mergeCell ref="E38:F38"/>
    <mergeCell ref="H38:I38"/>
    <mergeCell ref="K38:L38"/>
    <mergeCell ref="N38:O38"/>
    <mergeCell ref="B39:C39"/>
    <mergeCell ref="E39:F39"/>
    <mergeCell ref="H39:I39"/>
    <mergeCell ref="K39:L39"/>
    <mergeCell ref="A33:A41"/>
    <mergeCell ref="B44:C44"/>
    <mergeCell ref="E44:F44"/>
    <mergeCell ref="H44:I44"/>
    <mergeCell ref="K44:L44"/>
    <mergeCell ref="N42:O42"/>
    <mergeCell ref="R42:R43"/>
    <mergeCell ref="B43:C43"/>
    <mergeCell ref="E43:F43"/>
    <mergeCell ref="H43:I43"/>
    <mergeCell ref="K43:L43"/>
    <mergeCell ref="N43:O43"/>
    <mergeCell ref="B41:C41"/>
    <mergeCell ref="E41:F41"/>
    <mergeCell ref="H41:I41"/>
    <mergeCell ref="K41:L41"/>
    <mergeCell ref="N41:O41"/>
    <mergeCell ref="B42:C42"/>
    <mergeCell ref="E42:F42"/>
    <mergeCell ref="H42:I42"/>
    <mergeCell ref="K42:L42"/>
    <mergeCell ref="N44:O44"/>
    <mergeCell ref="R44:R45"/>
    <mergeCell ref="B45:C45"/>
    <mergeCell ref="R46:R47"/>
    <mergeCell ref="B47:C47"/>
    <mergeCell ref="E47:F47"/>
    <mergeCell ref="H47:I47"/>
    <mergeCell ref="K47:L47"/>
    <mergeCell ref="N47:O47"/>
    <mergeCell ref="N45:O45"/>
    <mergeCell ref="B46:C46"/>
    <mergeCell ref="E46:F46"/>
    <mergeCell ref="H46:I46"/>
    <mergeCell ref="K46:L46"/>
    <mergeCell ref="N46:O46"/>
    <mergeCell ref="K50:L50"/>
    <mergeCell ref="N50:O50"/>
    <mergeCell ref="B48:C48"/>
    <mergeCell ref="E48:F48"/>
    <mergeCell ref="H48:I48"/>
    <mergeCell ref="K48:L48"/>
    <mergeCell ref="E45:F45"/>
    <mergeCell ref="H45:I45"/>
    <mergeCell ref="K45:L45"/>
    <mergeCell ref="N51:O51"/>
    <mergeCell ref="A52:G52"/>
    <mergeCell ref="H52:P52"/>
    <mergeCell ref="D53:I53"/>
    <mergeCell ref="A54:I54"/>
    <mergeCell ref="J54:P54"/>
    <mergeCell ref="A55:B55"/>
    <mergeCell ref="D55:E55"/>
    <mergeCell ref="G55:H55"/>
    <mergeCell ref="J55:P55"/>
    <mergeCell ref="A42:A51"/>
    <mergeCell ref="B51:C51"/>
    <mergeCell ref="E51:F51"/>
    <mergeCell ref="H51:I51"/>
    <mergeCell ref="K51:L51"/>
    <mergeCell ref="N48:O48"/>
    <mergeCell ref="B49:C49"/>
    <mergeCell ref="E49:F49"/>
    <mergeCell ref="H49:I49"/>
    <mergeCell ref="K49:L49"/>
    <mergeCell ref="N49:O49"/>
    <mergeCell ref="B50:C50"/>
    <mergeCell ref="E50:F50"/>
    <mergeCell ref="H50:I50"/>
    <mergeCell ref="A58:B58"/>
    <mergeCell ref="D58:E58"/>
    <mergeCell ref="G58:H58"/>
    <mergeCell ref="K58:P58"/>
    <mergeCell ref="A59:B59"/>
    <mergeCell ref="C59:E59"/>
    <mergeCell ref="F59:I59"/>
    <mergeCell ref="O59:P59"/>
    <mergeCell ref="A56:B56"/>
    <mergeCell ref="D56:E56"/>
    <mergeCell ref="G56:H56"/>
    <mergeCell ref="J56:P56"/>
    <mergeCell ref="A57:B57"/>
    <mergeCell ref="D57:E57"/>
    <mergeCell ref="G57:H57"/>
    <mergeCell ref="K57:L57"/>
    <mergeCell ref="N57:O57"/>
  </mergeCells>
  <phoneticPr fontId="17"/>
  <conditionalFormatting sqref="H2:I2">
    <cfRule type="cellIs" dxfId="4" priority="1" operator="equal">
      <formula>0</formula>
    </cfRule>
  </conditionalFormatting>
  <conditionalFormatting sqref="J2:L2">
    <cfRule type="cellIs" dxfId="3" priority="2" operator="equal">
      <formula>"自費変更なし"</formula>
    </cfRule>
  </conditionalFormatting>
  <dataValidations count="1">
    <dataValidation type="list" allowBlank="1" showInputMessage="1" showErrorMessage="1" sqref="J2:L2" xr:uid="{00000000-0002-0000-1600-000000000000}">
      <formula1>"1割負担,2割負担,生活保護"</formula1>
    </dataValidation>
  </dataValidations>
  <printOptions horizontalCentered="1" verticalCentered="1"/>
  <pageMargins left="0.70866141732283472" right="0.70866141732283472" top="0.55118110236220474" bottom="0.55118110236220474" header="0.31496062992125984" footer="0.31496062992125984"/>
  <pageSetup paperSize="9" scale="43" fitToHeight="0" orientation="portrait" r:id="rId1"/>
  <headerFooter>
    <oddFooter>&amp;L【地域密着型通所介護】</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pageSetUpPr fitToPage="1"/>
  </sheetPr>
  <dimension ref="A1:X59"/>
  <sheetViews>
    <sheetView workbookViewId="0"/>
  </sheetViews>
  <sheetFormatPr defaultColWidth="9" defaultRowHeight="13.5"/>
  <cols>
    <col min="1" max="1" width="9.625" style="201" customWidth="1"/>
    <col min="2" max="3" width="8.625" style="201" customWidth="1"/>
    <col min="4" max="4" width="11" style="201" customWidth="1"/>
    <col min="5" max="6" width="8.625" style="201" customWidth="1"/>
    <col min="7" max="7" width="11" style="201" customWidth="1"/>
    <col min="8" max="9" width="8.625" style="201" customWidth="1"/>
    <col min="10" max="10" width="11" style="201" customWidth="1"/>
    <col min="11" max="12" width="8.625" style="201" customWidth="1"/>
    <col min="13" max="13" width="11" style="201" customWidth="1"/>
    <col min="14" max="15" width="8.625" style="201" customWidth="1"/>
    <col min="16" max="16" width="11" style="201" customWidth="1"/>
    <col min="17" max="17" width="10.375" style="201" customWidth="1"/>
    <col min="18" max="24" width="9" style="201" hidden="1" customWidth="1"/>
    <col min="25" max="26" width="9" style="201" customWidth="1"/>
    <col min="27" max="16384" width="9" style="201"/>
  </cols>
  <sheetData>
    <row r="1" spans="1:23" s="185" customFormat="1" ht="12">
      <c r="A1" s="179"/>
      <c r="B1" s="180"/>
      <c r="C1" s="180"/>
      <c r="D1" s="180"/>
      <c r="E1" s="180"/>
      <c r="F1" s="180"/>
      <c r="G1" s="180"/>
      <c r="H1" s="181" t="s">
        <v>1254</v>
      </c>
      <c r="I1" s="182"/>
      <c r="J1" s="182"/>
      <c r="K1" s="182"/>
      <c r="L1" s="182"/>
      <c r="M1" s="182"/>
      <c r="N1" s="182"/>
      <c r="O1" s="182"/>
      <c r="P1" s="183"/>
      <c r="Q1" s="184"/>
    </row>
    <row r="2" spans="1:23" s="185" customFormat="1" ht="14.25">
      <c r="A2" s="186"/>
      <c r="B2" s="187"/>
      <c r="C2" s="187"/>
      <c r="D2" s="187"/>
      <c r="E2" s="187"/>
      <c r="F2" s="187"/>
      <c r="G2" s="187"/>
      <c r="H2" s="2359" t="str">
        <f>IF(J2="自費変更なし",     ,"ご利用者の負担状況")</f>
        <v>ご利用者の負担状況</v>
      </c>
      <c r="I2" s="2360"/>
      <c r="J2" s="2361" t="s">
        <v>1255</v>
      </c>
      <c r="K2" s="2362"/>
      <c r="L2" s="2363"/>
      <c r="M2" s="184"/>
      <c r="N2" s="184"/>
      <c r="O2" s="184"/>
      <c r="P2" s="188"/>
      <c r="Q2" s="189"/>
    </row>
    <row r="3" spans="1:23" s="185" customFormat="1" ht="10.5" customHeight="1">
      <c r="A3" s="186"/>
      <c r="B3" s="187"/>
      <c r="C3" s="187"/>
      <c r="D3" s="187"/>
      <c r="E3" s="187"/>
      <c r="F3" s="187"/>
      <c r="G3" s="187"/>
      <c r="H3" s="184"/>
      <c r="I3" s="184"/>
      <c r="J3" s="184"/>
      <c r="K3" s="184"/>
      <c r="L3" s="184"/>
      <c r="M3" s="184"/>
      <c r="N3" s="184"/>
      <c r="O3" s="184"/>
      <c r="P3" s="188"/>
      <c r="Q3" s="184"/>
      <c r="R3" s="185">
        <f>IF(J2="2割負担",0.8,0.9)</f>
        <v>0.9</v>
      </c>
    </row>
    <row r="4" spans="1:23" s="198" customFormat="1" ht="14.25" customHeight="1" thickBot="1">
      <c r="A4" s="190"/>
      <c r="B4" s="191"/>
      <c r="C4" s="192"/>
      <c r="D4" s="193"/>
      <c r="E4" s="194"/>
      <c r="F4" s="192"/>
      <c r="G4" s="193"/>
      <c r="H4" s="194"/>
      <c r="I4" s="192"/>
      <c r="J4" s="193"/>
      <c r="K4" s="194"/>
      <c r="L4" s="192"/>
      <c r="M4" s="193"/>
      <c r="N4" s="194"/>
      <c r="O4" s="192"/>
      <c r="P4" s="195"/>
      <c r="Q4" s="196"/>
      <c r="R4" s="197"/>
      <c r="S4" s="197"/>
      <c r="T4" s="197"/>
      <c r="U4" s="197"/>
      <c r="V4" s="197"/>
      <c r="W4" s="197"/>
    </row>
    <row r="5" spans="1:23" ht="15.75" customHeight="1" thickBot="1">
      <c r="A5" s="199"/>
      <c r="B5" s="2364" t="s">
        <v>1256</v>
      </c>
      <c r="C5" s="2364"/>
      <c r="D5" s="2364"/>
      <c r="E5" s="2364" t="s">
        <v>1257</v>
      </c>
      <c r="F5" s="2364"/>
      <c r="G5" s="2364"/>
      <c r="H5" s="2364" t="s">
        <v>1258</v>
      </c>
      <c r="I5" s="2364"/>
      <c r="J5" s="2364"/>
      <c r="K5" s="2364" t="s">
        <v>1259</v>
      </c>
      <c r="L5" s="2364"/>
      <c r="M5" s="2364"/>
      <c r="N5" s="2364" t="s">
        <v>1260</v>
      </c>
      <c r="O5" s="2364"/>
      <c r="P5" s="2365"/>
      <c r="Q5" s="200"/>
    </row>
    <row r="6" spans="1:23" ht="14.25" customHeight="1" thickBot="1">
      <c r="A6" s="2356" t="s">
        <v>1261</v>
      </c>
      <c r="B6" s="2344" t="s">
        <v>1262</v>
      </c>
      <c r="C6" s="2345"/>
      <c r="D6" s="202">
        <f>S6-S7</f>
        <v>0</v>
      </c>
      <c r="E6" s="2344" t="s">
        <v>1263</v>
      </c>
      <c r="F6" s="2345"/>
      <c r="G6" s="202">
        <f>T6-T7</f>
        <v>0</v>
      </c>
      <c r="H6" s="2344" t="s">
        <v>1264</v>
      </c>
      <c r="I6" s="2345"/>
      <c r="J6" s="202">
        <f>U6-U7</f>
        <v>0</v>
      </c>
      <c r="K6" s="2344" t="s">
        <v>1265</v>
      </c>
      <c r="L6" s="2345"/>
      <c r="M6" s="202">
        <f>V6-V7</f>
        <v>0</v>
      </c>
      <c r="N6" s="2344" t="s">
        <v>1266</v>
      </c>
      <c r="O6" s="2345"/>
      <c r="P6" s="202">
        <f>W6-W7</f>
        <v>0</v>
      </c>
      <c r="Q6" s="203"/>
      <c r="R6" s="2337" t="s">
        <v>1267</v>
      </c>
      <c r="S6" s="201">
        <f>ROUNDDOWN((735*2)*【マスター】!G65,0)</f>
        <v>0</v>
      </c>
      <c r="T6" s="201">
        <f>ROUNDDOWN((868*2)*【マスター】!G65,0)</f>
        <v>0</v>
      </c>
      <c r="U6" s="201">
        <f>ROUNDDOWN((1006*2)*【マスター】!G65,0)</f>
        <v>0</v>
      </c>
      <c r="V6" s="201">
        <f>ROUNDDOWN((1144*2)*【マスター】!G65,0)</f>
        <v>0</v>
      </c>
      <c r="W6" s="201">
        <f>ROUNDDOWN((1281*2)*【マスター】!G65,0)</f>
        <v>0</v>
      </c>
    </row>
    <row r="7" spans="1:23" ht="14.25" customHeight="1" thickBot="1">
      <c r="A7" s="2356"/>
      <c r="B7" s="2346" t="s">
        <v>1268</v>
      </c>
      <c r="C7" s="2347"/>
      <c r="D7" s="204">
        <f>S8-S9</f>
        <v>0</v>
      </c>
      <c r="E7" s="2348" t="s">
        <v>198</v>
      </c>
      <c r="F7" s="2349"/>
      <c r="G7" s="204">
        <f t="shared" ref="G7:G12" si="0">D7</f>
        <v>0</v>
      </c>
      <c r="H7" s="2346" t="s">
        <v>198</v>
      </c>
      <c r="I7" s="2347"/>
      <c r="J7" s="204">
        <f>D7</f>
        <v>0</v>
      </c>
      <c r="K7" s="2346" t="s">
        <v>198</v>
      </c>
      <c r="L7" s="2347"/>
      <c r="M7" s="204">
        <f>D7</f>
        <v>0</v>
      </c>
      <c r="N7" s="2346" t="s">
        <v>198</v>
      </c>
      <c r="O7" s="2347"/>
      <c r="P7" s="204">
        <f>D7</f>
        <v>0</v>
      </c>
      <c r="Q7" s="203"/>
      <c r="R7" s="2337"/>
      <c r="S7" s="201">
        <f>ROUNDDOWN((S6)*R3,0)</f>
        <v>0</v>
      </c>
      <c r="T7" s="201">
        <f>ROUNDDOWN((T6)*R3,0)</f>
        <v>0</v>
      </c>
      <c r="U7" s="201">
        <f>ROUNDDOWN((U6)*R3,0)</f>
        <v>0</v>
      </c>
      <c r="V7" s="201">
        <f>ROUNDDOWN((V6)*R3,0)</f>
        <v>0</v>
      </c>
      <c r="W7" s="201">
        <f>ROUNDDOWN((W6)*R3,0)</f>
        <v>0</v>
      </c>
    </row>
    <row r="8" spans="1:23" ht="14.25" customHeight="1" thickBot="1">
      <c r="A8" s="2356"/>
      <c r="B8" s="2342" t="s">
        <v>1269</v>
      </c>
      <c r="C8" s="2343"/>
      <c r="D8" s="205">
        <f>【マスター】!$L$75*2</f>
        <v>0</v>
      </c>
      <c r="E8" s="2342" t="s">
        <v>1269</v>
      </c>
      <c r="F8" s="2343"/>
      <c r="G8" s="205">
        <f>【マスター】!$L$75*2</f>
        <v>0</v>
      </c>
      <c r="H8" s="2342" t="s">
        <v>1269</v>
      </c>
      <c r="I8" s="2343"/>
      <c r="J8" s="205">
        <f>【マスター】!$L$75*2</f>
        <v>0</v>
      </c>
      <c r="K8" s="2342" t="s">
        <v>1269</v>
      </c>
      <c r="L8" s="2343"/>
      <c r="M8" s="205">
        <f>【マスター】!$L$75*2</f>
        <v>0</v>
      </c>
      <c r="N8" s="2342" t="s">
        <v>1269</v>
      </c>
      <c r="O8" s="2343"/>
      <c r="P8" s="205">
        <f>【マスター】!$L$75*2</f>
        <v>0</v>
      </c>
      <c r="Q8" s="203"/>
      <c r="R8" s="2337" t="s">
        <v>356</v>
      </c>
      <c r="S8" s="201">
        <f>ROUNDDOWN((50*2)*【マスター】!G65,0)</f>
        <v>0</v>
      </c>
      <c r="U8" s="2337" t="s">
        <v>370</v>
      </c>
      <c r="V8" s="201">
        <f>ROUNDDOWN((-47*2)*【マスター】!G65,0)</f>
        <v>0</v>
      </c>
    </row>
    <row r="9" spans="1:23" ht="14.25" customHeight="1" thickBot="1">
      <c r="A9" s="2356"/>
      <c r="B9" s="2335" t="s">
        <v>1270</v>
      </c>
      <c r="C9" s="2336"/>
      <c r="D9" s="206">
        <f>V8-V9</f>
        <v>0</v>
      </c>
      <c r="E9" s="2335" t="s">
        <v>171</v>
      </c>
      <c r="F9" s="2336"/>
      <c r="G9" s="206">
        <f t="shared" si="0"/>
        <v>0</v>
      </c>
      <c r="H9" s="2335" t="s">
        <v>171</v>
      </c>
      <c r="I9" s="2336"/>
      <c r="J9" s="206">
        <f>D9</f>
        <v>0</v>
      </c>
      <c r="K9" s="2335" t="s">
        <v>171</v>
      </c>
      <c r="L9" s="2336"/>
      <c r="M9" s="206">
        <f>D9</f>
        <v>0</v>
      </c>
      <c r="N9" s="2335" t="s">
        <v>171</v>
      </c>
      <c r="O9" s="2336"/>
      <c r="P9" s="206">
        <f>D9</f>
        <v>0</v>
      </c>
      <c r="Q9" s="203"/>
      <c r="R9" s="2337"/>
      <c r="S9" s="201">
        <f>ROUNDDOWN(S8*R3,0)</f>
        <v>0</v>
      </c>
      <c r="U9" s="2337"/>
      <c r="V9" s="201">
        <f>ROUNDDOWN(V8*R3,0)</f>
        <v>0</v>
      </c>
    </row>
    <row r="10" spans="1:23" ht="14.25" customHeight="1" thickBot="1">
      <c r="A10" s="2356"/>
      <c r="B10" s="2340" t="s">
        <v>1271</v>
      </c>
      <c r="C10" s="2341"/>
      <c r="D10" s="207" t="e">
        <f>VLOOKUP($J$2,【マスター】!O82:Y86,4,FALSE)*1</f>
        <v>#N/A</v>
      </c>
      <c r="E10" s="2340" t="s">
        <v>1271</v>
      </c>
      <c r="F10" s="2341"/>
      <c r="G10" s="207" t="e">
        <f t="shared" si="0"/>
        <v>#N/A</v>
      </c>
      <c r="H10" s="2340" t="s">
        <v>1271</v>
      </c>
      <c r="I10" s="2341"/>
      <c r="J10" s="207" t="e">
        <f>G10</f>
        <v>#N/A</v>
      </c>
      <c r="K10" s="2340" t="s">
        <v>1271</v>
      </c>
      <c r="L10" s="2341"/>
      <c r="M10" s="207" t="e">
        <f>J10</f>
        <v>#N/A</v>
      </c>
      <c r="N10" s="2340" t="s">
        <v>1271</v>
      </c>
      <c r="O10" s="2341"/>
      <c r="P10" s="207" t="e">
        <f>M10</f>
        <v>#N/A</v>
      </c>
      <c r="Q10" s="208"/>
    </row>
    <row r="11" spans="1:23" ht="14.25" customHeight="1" thickBot="1">
      <c r="A11" s="2356"/>
      <c r="B11" s="2331" t="s">
        <v>1272</v>
      </c>
      <c r="C11" s="2332"/>
      <c r="D11" s="207" t="e">
        <f>VLOOKUP($J$2,【マスター】!O82:Y86,6,FALSE)*1</f>
        <v>#N/A</v>
      </c>
      <c r="E11" s="2331" t="s">
        <v>1272</v>
      </c>
      <c r="F11" s="2332"/>
      <c r="G11" s="207" t="e">
        <f t="shared" si="0"/>
        <v>#N/A</v>
      </c>
      <c r="H11" s="2331" t="s">
        <v>1272</v>
      </c>
      <c r="I11" s="2332"/>
      <c r="J11" s="207" t="e">
        <f>G11</f>
        <v>#N/A</v>
      </c>
      <c r="K11" s="2331" t="s">
        <v>1272</v>
      </c>
      <c r="L11" s="2332"/>
      <c r="M11" s="207" t="e">
        <f>J11</f>
        <v>#N/A</v>
      </c>
      <c r="N11" s="2331" t="s">
        <v>1272</v>
      </c>
      <c r="O11" s="2332"/>
      <c r="P11" s="207" t="e">
        <f>M11</f>
        <v>#N/A</v>
      </c>
      <c r="Q11" s="208"/>
    </row>
    <row r="12" spans="1:23" ht="14.25" customHeight="1" thickBot="1">
      <c r="A12" s="2356"/>
      <c r="B12" s="2357" t="s">
        <v>1273</v>
      </c>
      <c r="C12" s="2358"/>
      <c r="D12" s="207" t="e">
        <f>VLOOKUP($J$2,【マスター】!O82:Y86,8,FALSE)*1</f>
        <v>#N/A</v>
      </c>
      <c r="E12" s="2357" t="s">
        <v>1273</v>
      </c>
      <c r="F12" s="2358"/>
      <c r="G12" s="207" t="e">
        <f t="shared" si="0"/>
        <v>#N/A</v>
      </c>
      <c r="H12" s="2331" t="s">
        <v>1273</v>
      </c>
      <c r="I12" s="2332"/>
      <c r="J12" s="207" t="e">
        <f>G12</f>
        <v>#N/A</v>
      </c>
      <c r="K12" s="2331" t="s">
        <v>1273</v>
      </c>
      <c r="L12" s="2332"/>
      <c r="M12" s="207" t="e">
        <f>J12</f>
        <v>#N/A</v>
      </c>
      <c r="N12" s="2331" t="s">
        <v>1273</v>
      </c>
      <c r="O12" s="2332"/>
      <c r="P12" s="207" t="e">
        <f>M12</f>
        <v>#N/A</v>
      </c>
      <c r="Q12" s="208"/>
    </row>
    <row r="13" spans="1:23" ht="14.25" customHeight="1" thickBot="1">
      <c r="A13" s="2356"/>
      <c r="B13" s="2333" t="s">
        <v>1274</v>
      </c>
      <c r="C13" s="2334"/>
      <c r="D13" s="209">
        <f>IF($J$2="生活保護",-D$6-D$7-D$9,0)</f>
        <v>0</v>
      </c>
      <c r="E13" s="2333" t="s">
        <v>1274</v>
      </c>
      <c r="F13" s="2334"/>
      <c r="G13" s="209">
        <f>IF($J$2="生活保護",-G$6-G$7-G$9,0)</f>
        <v>0</v>
      </c>
      <c r="H13" s="2333" t="s">
        <v>1274</v>
      </c>
      <c r="I13" s="2334"/>
      <c r="J13" s="209">
        <f>IF($J$2="生活保護",-J$6-J$7-J$9,0)</f>
        <v>0</v>
      </c>
      <c r="K13" s="2333" t="s">
        <v>1274</v>
      </c>
      <c r="L13" s="2334"/>
      <c r="M13" s="209">
        <f>IF($J$2="生活保護",-M$6-M$7-M$9,0)</f>
        <v>0</v>
      </c>
      <c r="N13" s="2333" t="s">
        <v>1274</v>
      </c>
      <c r="O13" s="2334"/>
      <c r="P13" s="209">
        <f>IF($J$2="生活保護",-P$6-P$7-P$9,0)</f>
        <v>0</v>
      </c>
      <c r="Q13" s="208"/>
    </row>
    <row r="14" spans="1:23" ht="14.25" customHeight="1" thickBot="1">
      <c r="A14" s="2356"/>
      <c r="B14" s="2312" t="s">
        <v>1275</v>
      </c>
      <c r="C14" s="2313"/>
      <c r="D14" s="210" t="e">
        <f>SUM(D6:D13)</f>
        <v>#N/A</v>
      </c>
      <c r="E14" s="2354" t="s">
        <v>1275</v>
      </c>
      <c r="F14" s="2355"/>
      <c r="G14" s="210" t="e">
        <f>SUM(G6:G13)</f>
        <v>#N/A</v>
      </c>
      <c r="H14" s="2312" t="s">
        <v>1275</v>
      </c>
      <c r="I14" s="2313"/>
      <c r="J14" s="210" t="e">
        <f>SUM(J6:J13)</f>
        <v>#N/A</v>
      </c>
      <c r="K14" s="2312" t="s">
        <v>1275</v>
      </c>
      <c r="L14" s="2313"/>
      <c r="M14" s="210" t="e">
        <f>SUM(M6:M13)</f>
        <v>#N/A</v>
      </c>
      <c r="N14" s="2312" t="s">
        <v>1275</v>
      </c>
      <c r="O14" s="2313"/>
      <c r="P14" s="210" t="e">
        <f>SUM(P6:P13)</f>
        <v>#N/A</v>
      </c>
      <c r="Q14" s="211"/>
    </row>
    <row r="15" spans="1:23" ht="14.25" customHeight="1" thickBot="1">
      <c r="A15" s="2328" t="s">
        <v>1276</v>
      </c>
      <c r="B15" s="2344" t="s">
        <v>1262</v>
      </c>
      <c r="C15" s="2345"/>
      <c r="D15" s="202">
        <f>S15-S16</f>
        <v>0</v>
      </c>
      <c r="E15" s="2344" t="s">
        <v>1277</v>
      </c>
      <c r="F15" s="2345"/>
      <c r="G15" s="202">
        <f>T15-T16</f>
        <v>0</v>
      </c>
      <c r="H15" s="2344" t="s">
        <v>1278</v>
      </c>
      <c r="I15" s="2345"/>
      <c r="J15" s="202">
        <f>U15-U16</f>
        <v>0</v>
      </c>
      <c r="K15" s="2344" t="s">
        <v>1279</v>
      </c>
      <c r="L15" s="2345"/>
      <c r="M15" s="202">
        <f>V15-V16</f>
        <v>0</v>
      </c>
      <c r="N15" s="2344" t="s">
        <v>1280</v>
      </c>
      <c r="O15" s="2345"/>
      <c r="P15" s="202">
        <f>W15-W16</f>
        <v>0</v>
      </c>
      <c r="Q15" s="203"/>
      <c r="R15" s="2337" t="s">
        <v>1267</v>
      </c>
      <c r="S15" s="201">
        <f>ROUNDDOWN((735*3)*【マスター】!G65,0)</f>
        <v>0</v>
      </c>
      <c r="T15" s="201">
        <f>ROUNDDOWN((868*3)*【マスター】!G65,0)</f>
        <v>0</v>
      </c>
      <c r="U15" s="201">
        <f>ROUNDDOWN((1006*3)*【マスター】!G65,0)</f>
        <v>0</v>
      </c>
      <c r="V15" s="201">
        <f>ROUNDDOWN((1144*3)*【マスター】!G65,0)</f>
        <v>0</v>
      </c>
      <c r="W15" s="201">
        <f>ROUNDDOWN((1281*3)*【マスター】!G65,0)</f>
        <v>0</v>
      </c>
    </row>
    <row r="16" spans="1:23" ht="14.25" customHeight="1" thickBot="1">
      <c r="A16" s="2328"/>
      <c r="B16" s="2346" t="s">
        <v>1268</v>
      </c>
      <c r="C16" s="2347"/>
      <c r="D16" s="204">
        <f>S17-S18</f>
        <v>0</v>
      </c>
      <c r="E16" s="2348" t="s">
        <v>1268</v>
      </c>
      <c r="F16" s="2349"/>
      <c r="G16" s="204">
        <f>D16</f>
        <v>0</v>
      </c>
      <c r="H16" s="2346" t="s">
        <v>1268</v>
      </c>
      <c r="I16" s="2347"/>
      <c r="J16" s="204">
        <f>D16</f>
        <v>0</v>
      </c>
      <c r="K16" s="2346" t="s">
        <v>1268</v>
      </c>
      <c r="L16" s="2347"/>
      <c r="M16" s="204">
        <f>D16</f>
        <v>0</v>
      </c>
      <c r="N16" s="2346" t="s">
        <v>1268</v>
      </c>
      <c r="O16" s="2347"/>
      <c r="P16" s="204">
        <f>D16</f>
        <v>0</v>
      </c>
      <c r="Q16" s="203"/>
      <c r="R16" s="2337"/>
      <c r="S16" s="201">
        <f>ROUNDDOWN((S15)*R3,0)</f>
        <v>0</v>
      </c>
      <c r="T16" s="201">
        <f>ROUNDDOWN((T15)*R3,0)</f>
        <v>0</v>
      </c>
      <c r="U16" s="201">
        <f>ROUNDDOWN((U15)*R3,0)</f>
        <v>0</v>
      </c>
      <c r="V16" s="201">
        <f>ROUNDDOWN((V15)*R3,0)</f>
        <v>0</v>
      </c>
      <c r="W16" s="201">
        <f>ROUNDDOWN((W15)*R3,0)</f>
        <v>0</v>
      </c>
    </row>
    <row r="17" spans="1:23" ht="14.25" customHeight="1" thickBot="1">
      <c r="A17" s="2328"/>
      <c r="B17" s="2348" t="s">
        <v>1269</v>
      </c>
      <c r="C17" s="2349"/>
      <c r="D17" s="205">
        <f>【マスター】!L75*3</f>
        <v>0</v>
      </c>
      <c r="E17" s="2348" t="s">
        <v>1269</v>
      </c>
      <c r="F17" s="2349"/>
      <c r="G17" s="205">
        <f>【マスター】!$L$75*3</f>
        <v>0</v>
      </c>
      <c r="H17" s="2348" t="s">
        <v>1269</v>
      </c>
      <c r="I17" s="2349"/>
      <c r="J17" s="205">
        <f>【マスター】!$L$75*3</f>
        <v>0</v>
      </c>
      <c r="K17" s="2348" t="s">
        <v>1269</v>
      </c>
      <c r="L17" s="2349"/>
      <c r="M17" s="205">
        <f>【マスター】!$L$75*3</f>
        <v>0</v>
      </c>
      <c r="N17" s="2348" t="s">
        <v>1269</v>
      </c>
      <c r="O17" s="2349"/>
      <c r="P17" s="205">
        <f>【マスター】!$L$75*3</f>
        <v>0</v>
      </c>
      <c r="Q17" s="203"/>
      <c r="R17" s="2337" t="s">
        <v>356</v>
      </c>
      <c r="S17" s="201">
        <f>ROUNDDOWN((50*3)*【マスター】!G65,0)</f>
        <v>0</v>
      </c>
      <c r="U17" s="2337" t="s">
        <v>370</v>
      </c>
      <c r="V17" s="201">
        <f>ROUNDDOWN((-47*4)*【マスター】!G65,0)</f>
        <v>0</v>
      </c>
    </row>
    <row r="18" spans="1:23" ht="14.25" customHeight="1" thickBot="1">
      <c r="A18" s="2328"/>
      <c r="B18" s="2352" t="s">
        <v>1270</v>
      </c>
      <c r="C18" s="2353"/>
      <c r="D18" s="206">
        <f>V17-V18</f>
        <v>0</v>
      </c>
      <c r="E18" s="2335" t="s">
        <v>171</v>
      </c>
      <c r="F18" s="2336"/>
      <c r="G18" s="206">
        <f>D18</f>
        <v>0</v>
      </c>
      <c r="H18" s="2335" t="s">
        <v>171</v>
      </c>
      <c r="I18" s="2336"/>
      <c r="J18" s="206">
        <f>D18</f>
        <v>0</v>
      </c>
      <c r="K18" s="2335" t="s">
        <v>171</v>
      </c>
      <c r="L18" s="2336"/>
      <c r="M18" s="206">
        <f>D18</f>
        <v>0</v>
      </c>
      <c r="N18" s="2335" t="s">
        <v>171</v>
      </c>
      <c r="O18" s="2336"/>
      <c r="P18" s="206">
        <f>D18</f>
        <v>0</v>
      </c>
      <c r="Q18" s="203"/>
      <c r="R18" s="2337"/>
      <c r="S18" s="201">
        <f>ROUNDDOWN(S17*R3,0)</f>
        <v>0</v>
      </c>
      <c r="U18" s="2337"/>
      <c r="V18" s="201">
        <f>ROUNDDOWN(V17*R3,0)</f>
        <v>0</v>
      </c>
    </row>
    <row r="19" spans="1:23" ht="14.25" customHeight="1" thickBot="1">
      <c r="A19" s="2328"/>
      <c r="B19" s="2340" t="s">
        <v>1271</v>
      </c>
      <c r="C19" s="2341"/>
      <c r="D19" s="207" t="e">
        <f>VLOOKUP($J$2,【マスター】!O82:Y86,4,FALSE)*2</f>
        <v>#N/A</v>
      </c>
      <c r="E19" s="2340" t="s">
        <v>1271</v>
      </c>
      <c r="F19" s="2341"/>
      <c r="G19" s="207" t="e">
        <f>D19</f>
        <v>#N/A</v>
      </c>
      <c r="H19" s="2340" t="s">
        <v>1271</v>
      </c>
      <c r="I19" s="2341"/>
      <c r="J19" s="207" t="e">
        <f>G19</f>
        <v>#N/A</v>
      </c>
      <c r="K19" s="2340" t="s">
        <v>1271</v>
      </c>
      <c r="L19" s="2341"/>
      <c r="M19" s="207" t="e">
        <f>J19</f>
        <v>#N/A</v>
      </c>
      <c r="N19" s="2340" t="s">
        <v>1271</v>
      </c>
      <c r="O19" s="2341"/>
      <c r="P19" s="207" t="e">
        <f>M19</f>
        <v>#N/A</v>
      </c>
      <c r="Q19" s="208"/>
    </row>
    <row r="20" spans="1:23" ht="14.25" customHeight="1" thickBot="1">
      <c r="A20" s="2328"/>
      <c r="B20" s="2331" t="s">
        <v>1272</v>
      </c>
      <c r="C20" s="2332"/>
      <c r="D20" s="207" t="e">
        <f>VLOOKUP($J$2,【マスター】!O82:Y86,6,FALSE)*2</f>
        <v>#N/A</v>
      </c>
      <c r="E20" s="2331" t="s">
        <v>1272</v>
      </c>
      <c r="F20" s="2332"/>
      <c r="G20" s="207" t="e">
        <f>D20</f>
        <v>#N/A</v>
      </c>
      <c r="H20" s="2331" t="s">
        <v>1272</v>
      </c>
      <c r="I20" s="2332"/>
      <c r="J20" s="207" t="e">
        <f>G20</f>
        <v>#N/A</v>
      </c>
      <c r="K20" s="2331" t="s">
        <v>1272</v>
      </c>
      <c r="L20" s="2332"/>
      <c r="M20" s="207" t="e">
        <f>J20</f>
        <v>#N/A</v>
      </c>
      <c r="N20" s="2331" t="s">
        <v>1272</v>
      </c>
      <c r="O20" s="2332"/>
      <c r="P20" s="207" t="e">
        <f>M20</f>
        <v>#N/A</v>
      </c>
      <c r="Q20" s="208"/>
    </row>
    <row r="21" spans="1:23" ht="14.25" customHeight="1" thickBot="1">
      <c r="A21" s="2328"/>
      <c r="B21" s="2331" t="s">
        <v>1273</v>
      </c>
      <c r="C21" s="2332"/>
      <c r="D21" s="207" t="e">
        <f>VLOOKUP($J$2,【マスター】!O82:Y86,8,FALSE)*2</f>
        <v>#N/A</v>
      </c>
      <c r="E21" s="2331" t="s">
        <v>1273</v>
      </c>
      <c r="F21" s="2332"/>
      <c r="G21" s="207" t="e">
        <f>D21</f>
        <v>#N/A</v>
      </c>
      <c r="H21" s="2331" t="s">
        <v>1273</v>
      </c>
      <c r="I21" s="2332"/>
      <c r="J21" s="207" t="e">
        <f>G21</f>
        <v>#N/A</v>
      </c>
      <c r="K21" s="2331" t="s">
        <v>1273</v>
      </c>
      <c r="L21" s="2332"/>
      <c r="M21" s="207" t="e">
        <f>J21</f>
        <v>#N/A</v>
      </c>
      <c r="N21" s="2331" t="s">
        <v>1273</v>
      </c>
      <c r="O21" s="2332"/>
      <c r="P21" s="207" t="e">
        <f>M21</f>
        <v>#N/A</v>
      </c>
      <c r="Q21" s="208"/>
    </row>
    <row r="22" spans="1:23" ht="14.25" customHeight="1" thickBot="1">
      <c r="A22" s="2328"/>
      <c r="B22" s="2333" t="s">
        <v>1274</v>
      </c>
      <c r="C22" s="2334"/>
      <c r="D22" s="209">
        <f>IF($J$2="生活保護",-D$15-D$16-D$18,0)</f>
        <v>0</v>
      </c>
      <c r="E22" s="2333" t="s">
        <v>1274</v>
      </c>
      <c r="F22" s="2334"/>
      <c r="G22" s="209">
        <f>IF($J$2="生活保護",-G$15-G$16-G$18,0)</f>
        <v>0</v>
      </c>
      <c r="H22" s="2333" t="s">
        <v>1274</v>
      </c>
      <c r="I22" s="2334"/>
      <c r="J22" s="209">
        <f>IF($J$2="生活保護",-J$15-J$16-J$18,0)</f>
        <v>0</v>
      </c>
      <c r="K22" s="2333" t="s">
        <v>1274</v>
      </c>
      <c r="L22" s="2334"/>
      <c r="M22" s="209">
        <f>IF($J$2="生活保護",-M$15-M$16-M$18,0)</f>
        <v>0</v>
      </c>
      <c r="N22" s="2333" t="s">
        <v>1274</v>
      </c>
      <c r="O22" s="2334"/>
      <c r="P22" s="209">
        <f>IF($J$2="生活保護",-P$15-P$16-P$18,0)</f>
        <v>0</v>
      </c>
      <c r="Q22" s="208"/>
    </row>
    <row r="23" spans="1:23" ht="14.25" customHeight="1" thickBot="1">
      <c r="A23" s="2328"/>
      <c r="B23" s="2312" t="s">
        <v>1275</v>
      </c>
      <c r="C23" s="2313"/>
      <c r="D23" s="210" t="e">
        <f>SUM(D15:D22)</f>
        <v>#N/A</v>
      </c>
      <c r="E23" s="2329" t="s">
        <v>1275</v>
      </c>
      <c r="F23" s="2330"/>
      <c r="G23" s="210" t="e">
        <f>SUM(G15:G22)</f>
        <v>#N/A</v>
      </c>
      <c r="H23" s="2312" t="s">
        <v>1275</v>
      </c>
      <c r="I23" s="2313"/>
      <c r="J23" s="210" t="e">
        <f>SUM(J15:J22)</f>
        <v>#N/A</v>
      </c>
      <c r="K23" s="2312" t="s">
        <v>1275</v>
      </c>
      <c r="L23" s="2313"/>
      <c r="M23" s="210" t="e">
        <f>SUM(M15:M22)</f>
        <v>#N/A</v>
      </c>
      <c r="N23" s="2312" t="s">
        <v>1275</v>
      </c>
      <c r="O23" s="2313"/>
      <c r="P23" s="210" t="e">
        <f>SUM(P15:P22)</f>
        <v>#N/A</v>
      </c>
      <c r="Q23" s="211"/>
    </row>
    <row r="24" spans="1:23" ht="14.25" customHeight="1" thickBot="1">
      <c r="A24" s="2328" t="s">
        <v>1281</v>
      </c>
      <c r="B24" s="2344" t="s">
        <v>1262</v>
      </c>
      <c r="C24" s="2345"/>
      <c r="D24" s="202">
        <f>S24-S25</f>
        <v>0</v>
      </c>
      <c r="E24" s="2344" t="s">
        <v>1277</v>
      </c>
      <c r="F24" s="2345"/>
      <c r="G24" s="202">
        <f>T24-T25</f>
        <v>0</v>
      </c>
      <c r="H24" s="2344" t="s">
        <v>1278</v>
      </c>
      <c r="I24" s="2345"/>
      <c r="J24" s="202">
        <f>U24-U25</f>
        <v>0</v>
      </c>
      <c r="K24" s="2344" t="s">
        <v>1279</v>
      </c>
      <c r="L24" s="2345"/>
      <c r="M24" s="202">
        <f>V24-V25</f>
        <v>0</v>
      </c>
      <c r="N24" s="2344" t="s">
        <v>1280</v>
      </c>
      <c r="O24" s="2345"/>
      <c r="P24" s="202">
        <f>W24-W25</f>
        <v>0</v>
      </c>
      <c r="Q24" s="203"/>
      <c r="R24" s="2337" t="s">
        <v>1267</v>
      </c>
      <c r="S24" s="201">
        <f>ROUNDDOWN((735*8)*【マスター】!G65,0)</f>
        <v>0</v>
      </c>
      <c r="T24" s="201">
        <f>ROUNDDOWN((868*8)*【マスター】!G65,0)</f>
        <v>0</v>
      </c>
      <c r="U24" s="201">
        <f>ROUNDDOWN((1006*8)*【マスター】!G65,0)</f>
        <v>0</v>
      </c>
      <c r="V24" s="201">
        <f>ROUNDDOWN((1144*8)*【マスター】!G65,0)</f>
        <v>0</v>
      </c>
      <c r="W24" s="201">
        <f>ROUNDDOWN((1281*8)*【マスター】!G65,0)</f>
        <v>0</v>
      </c>
    </row>
    <row r="25" spans="1:23" ht="14.25" customHeight="1" thickBot="1">
      <c r="A25" s="2328"/>
      <c r="B25" s="2346" t="s">
        <v>1268</v>
      </c>
      <c r="C25" s="2347"/>
      <c r="D25" s="204">
        <f>S26-S27</f>
        <v>0</v>
      </c>
      <c r="E25" s="2348" t="s">
        <v>1268</v>
      </c>
      <c r="F25" s="2349"/>
      <c r="G25" s="204">
        <f>D25</f>
        <v>0</v>
      </c>
      <c r="H25" s="2346" t="s">
        <v>1268</v>
      </c>
      <c r="I25" s="2347"/>
      <c r="J25" s="204">
        <f>D25</f>
        <v>0</v>
      </c>
      <c r="K25" s="2346" t="s">
        <v>1268</v>
      </c>
      <c r="L25" s="2347"/>
      <c r="M25" s="204">
        <f>D25</f>
        <v>0</v>
      </c>
      <c r="N25" s="2346" t="s">
        <v>1268</v>
      </c>
      <c r="O25" s="2347"/>
      <c r="P25" s="204">
        <f>D25</f>
        <v>0</v>
      </c>
      <c r="Q25" s="203"/>
      <c r="R25" s="2337"/>
      <c r="S25" s="201">
        <f>ROUNDDOWN((S24)*R3,0)</f>
        <v>0</v>
      </c>
      <c r="T25" s="201">
        <f>ROUNDDOWN((T24)*R3,0)</f>
        <v>0</v>
      </c>
      <c r="U25" s="201">
        <f>ROUNDDOWN((U24)*R3,0)</f>
        <v>0</v>
      </c>
      <c r="V25" s="201">
        <f>ROUNDDOWN((V24)*R3,0)</f>
        <v>0</v>
      </c>
      <c r="W25" s="201">
        <f>ROUNDDOWN((W24)*R3,0)</f>
        <v>0</v>
      </c>
    </row>
    <row r="26" spans="1:23" ht="14.25" customHeight="1" thickBot="1">
      <c r="A26" s="2328"/>
      <c r="B26" s="2342" t="s">
        <v>1269</v>
      </c>
      <c r="C26" s="2343"/>
      <c r="D26" s="205">
        <f>【マスター】!$L$75*8</f>
        <v>0</v>
      </c>
      <c r="E26" s="2342" t="s">
        <v>1269</v>
      </c>
      <c r="F26" s="2343"/>
      <c r="G26" s="205">
        <f>【マスター】!$L$75*8</f>
        <v>0</v>
      </c>
      <c r="H26" s="2342" t="s">
        <v>1269</v>
      </c>
      <c r="I26" s="2343"/>
      <c r="J26" s="205">
        <f>【マスター】!$L$75*8</f>
        <v>0</v>
      </c>
      <c r="K26" s="2342" t="s">
        <v>1269</v>
      </c>
      <c r="L26" s="2343"/>
      <c r="M26" s="205">
        <f>【マスター】!$L$75*8</f>
        <v>0</v>
      </c>
      <c r="N26" s="2342" t="s">
        <v>1269</v>
      </c>
      <c r="O26" s="2343"/>
      <c r="P26" s="205">
        <f>【マスター】!$L$75*8</f>
        <v>0</v>
      </c>
      <c r="Q26" s="203"/>
      <c r="R26" s="2337" t="s">
        <v>356</v>
      </c>
      <c r="S26" s="201">
        <f>ROUNDDOWN((50*8)*【マスター】!G65,0)</f>
        <v>0</v>
      </c>
      <c r="U26" s="2337" t="s">
        <v>370</v>
      </c>
      <c r="V26" s="201">
        <f>ROUNDDOWN((-47*14)*【マスター】!G65,0)</f>
        <v>0</v>
      </c>
    </row>
    <row r="27" spans="1:23" ht="14.25" customHeight="1" thickBot="1">
      <c r="A27" s="2328"/>
      <c r="B27" s="2335" t="s">
        <v>1270</v>
      </c>
      <c r="C27" s="2336"/>
      <c r="D27" s="206">
        <f>V26-V27</f>
        <v>0</v>
      </c>
      <c r="E27" s="2335" t="s">
        <v>171</v>
      </c>
      <c r="F27" s="2336"/>
      <c r="G27" s="206">
        <f>D27</f>
        <v>0</v>
      </c>
      <c r="H27" s="2335" t="s">
        <v>171</v>
      </c>
      <c r="I27" s="2336"/>
      <c r="J27" s="206">
        <f>D27</f>
        <v>0</v>
      </c>
      <c r="K27" s="2335" t="s">
        <v>171</v>
      </c>
      <c r="L27" s="2336"/>
      <c r="M27" s="206">
        <f>D27</f>
        <v>0</v>
      </c>
      <c r="N27" s="2335" t="s">
        <v>171</v>
      </c>
      <c r="O27" s="2336"/>
      <c r="P27" s="206">
        <f>D27</f>
        <v>0</v>
      </c>
      <c r="Q27" s="203"/>
      <c r="R27" s="2337"/>
      <c r="S27" s="201">
        <f>ROUNDDOWN(S26*R3,0)</f>
        <v>0</v>
      </c>
      <c r="U27" s="2337"/>
      <c r="V27" s="201">
        <f>ROUNDDOWN(V26*R3,0)</f>
        <v>0</v>
      </c>
    </row>
    <row r="28" spans="1:23" ht="14.25" customHeight="1" thickTop="1" thickBot="1">
      <c r="A28" s="2328"/>
      <c r="B28" s="2340" t="s">
        <v>1271</v>
      </c>
      <c r="C28" s="2341"/>
      <c r="D28" s="207" t="e">
        <f>VLOOKUP($J$2,【マスター】!O82:Y86,4,FALSE)*7</f>
        <v>#N/A</v>
      </c>
      <c r="E28" s="2350" t="s">
        <v>1271</v>
      </c>
      <c r="F28" s="2351"/>
      <c r="G28" s="207" t="e">
        <f>D28</f>
        <v>#N/A</v>
      </c>
      <c r="H28" s="2340" t="s">
        <v>1271</v>
      </c>
      <c r="I28" s="2341"/>
      <c r="J28" s="207" t="e">
        <f>G28</f>
        <v>#N/A</v>
      </c>
      <c r="K28" s="2340" t="s">
        <v>1271</v>
      </c>
      <c r="L28" s="2341"/>
      <c r="M28" s="207" t="e">
        <f>J28</f>
        <v>#N/A</v>
      </c>
      <c r="N28" s="2340" t="s">
        <v>1271</v>
      </c>
      <c r="O28" s="2341"/>
      <c r="P28" s="207" t="e">
        <f>M28</f>
        <v>#N/A</v>
      </c>
      <c r="Q28" s="208"/>
    </row>
    <row r="29" spans="1:23" ht="14.25" customHeight="1" thickBot="1">
      <c r="A29" s="2328"/>
      <c r="B29" s="2331" t="s">
        <v>1272</v>
      </c>
      <c r="C29" s="2332"/>
      <c r="D29" s="207" t="e">
        <f>VLOOKUP($J$2,【マスター】!O82:Y86,6,FALSE)*7</f>
        <v>#N/A</v>
      </c>
      <c r="E29" s="2331" t="s">
        <v>1272</v>
      </c>
      <c r="F29" s="2332"/>
      <c r="G29" s="207" t="e">
        <f>D29</f>
        <v>#N/A</v>
      </c>
      <c r="H29" s="2331" t="s">
        <v>1272</v>
      </c>
      <c r="I29" s="2332"/>
      <c r="J29" s="207" t="e">
        <f>G29</f>
        <v>#N/A</v>
      </c>
      <c r="K29" s="2331" t="s">
        <v>1272</v>
      </c>
      <c r="L29" s="2332"/>
      <c r="M29" s="207" t="e">
        <f>J29</f>
        <v>#N/A</v>
      </c>
      <c r="N29" s="2331" t="s">
        <v>1272</v>
      </c>
      <c r="O29" s="2332"/>
      <c r="P29" s="207" t="e">
        <f>M29</f>
        <v>#N/A</v>
      </c>
      <c r="Q29" s="208"/>
    </row>
    <row r="30" spans="1:23" ht="14.25" customHeight="1" thickBot="1">
      <c r="A30" s="2328"/>
      <c r="B30" s="2331" t="s">
        <v>1273</v>
      </c>
      <c r="C30" s="2332"/>
      <c r="D30" s="207" t="e">
        <f>VLOOKUP($J$2,【マスター】!O82:Y86,8,FALSE)*7</f>
        <v>#N/A</v>
      </c>
      <c r="E30" s="2331" t="s">
        <v>1273</v>
      </c>
      <c r="F30" s="2332"/>
      <c r="G30" s="207" t="e">
        <f>D30</f>
        <v>#N/A</v>
      </c>
      <c r="H30" s="2331" t="s">
        <v>1273</v>
      </c>
      <c r="I30" s="2332"/>
      <c r="J30" s="207" t="e">
        <f>G30</f>
        <v>#N/A</v>
      </c>
      <c r="K30" s="2331" t="s">
        <v>1273</v>
      </c>
      <c r="L30" s="2332"/>
      <c r="M30" s="207" t="e">
        <f>J30</f>
        <v>#N/A</v>
      </c>
      <c r="N30" s="2331" t="s">
        <v>1273</v>
      </c>
      <c r="O30" s="2332"/>
      <c r="P30" s="207" t="e">
        <f>M30</f>
        <v>#N/A</v>
      </c>
      <c r="Q30" s="208"/>
    </row>
    <row r="31" spans="1:23" ht="14.25" customHeight="1" thickBot="1">
      <c r="A31" s="2328"/>
      <c r="B31" s="2333" t="s">
        <v>1274</v>
      </c>
      <c r="C31" s="2334"/>
      <c r="D31" s="209">
        <f>IF($J$2="生活保護",-D$24-D$25-D$27,0)</f>
        <v>0</v>
      </c>
      <c r="E31" s="2333" t="s">
        <v>1274</v>
      </c>
      <c r="F31" s="2334"/>
      <c r="G31" s="209">
        <f>IF($J$2="生活保護",-G$24-G$25-G$27,0)</f>
        <v>0</v>
      </c>
      <c r="H31" s="2333" t="s">
        <v>1274</v>
      </c>
      <c r="I31" s="2334"/>
      <c r="J31" s="209">
        <f>IF($J$2="生活保護",-J$24-J$25-J$27,0)</f>
        <v>0</v>
      </c>
      <c r="K31" s="2333" t="s">
        <v>1274</v>
      </c>
      <c r="L31" s="2334"/>
      <c r="M31" s="209">
        <f>IF($J$2="生活保護",-M$24-M$25-M$27,0)</f>
        <v>0</v>
      </c>
      <c r="N31" s="2333" t="s">
        <v>1274</v>
      </c>
      <c r="O31" s="2334"/>
      <c r="P31" s="209">
        <f>IF($J$2="生活保護",-P$24-P$25-P$27,0)</f>
        <v>0</v>
      </c>
      <c r="Q31" s="208"/>
    </row>
    <row r="32" spans="1:23" ht="14.25" customHeight="1" thickBot="1">
      <c r="A32" s="2328"/>
      <c r="B32" s="2312" t="s">
        <v>1275</v>
      </c>
      <c r="C32" s="2313"/>
      <c r="D32" s="210" t="e">
        <f>SUM(D24:D31)</f>
        <v>#N/A</v>
      </c>
      <c r="E32" s="2329" t="s">
        <v>1275</v>
      </c>
      <c r="F32" s="2330"/>
      <c r="G32" s="210" t="e">
        <f>SUM(G24:G31)</f>
        <v>#N/A</v>
      </c>
      <c r="H32" s="2312" t="s">
        <v>1275</v>
      </c>
      <c r="I32" s="2313"/>
      <c r="J32" s="210" t="e">
        <f>SUM(J24:J31)</f>
        <v>#N/A</v>
      </c>
      <c r="K32" s="2312" t="s">
        <v>1275</v>
      </c>
      <c r="L32" s="2313"/>
      <c r="M32" s="210" t="e">
        <f>SUM(M24:M31)</f>
        <v>#N/A</v>
      </c>
      <c r="N32" s="2312" t="s">
        <v>1275</v>
      </c>
      <c r="O32" s="2313"/>
      <c r="P32" s="210" t="e">
        <f>SUM(P24:P31)</f>
        <v>#N/A</v>
      </c>
      <c r="Q32" s="211"/>
    </row>
    <row r="33" spans="1:23" ht="20.25" customHeight="1">
      <c r="A33" s="2314" t="s">
        <v>1338</v>
      </c>
      <c r="B33" s="2315"/>
      <c r="C33" s="2315"/>
      <c r="D33" s="2315"/>
      <c r="E33" s="2315"/>
      <c r="F33" s="2315"/>
      <c r="G33" s="2315"/>
      <c r="H33" s="2315"/>
      <c r="I33" s="2315"/>
      <c r="J33" s="2374"/>
      <c r="K33" s="2374"/>
      <c r="L33" s="2374"/>
      <c r="M33" s="2374"/>
      <c r="N33" s="2374"/>
      <c r="O33" s="2374"/>
      <c r="P33" s="2375"/>
      <c r="Q33" s="212"/>
      <c r="R33" s="2337" t="s">
        <v>1267</v>
      </c>
      <c r="S33" s="201">
        <f>ROUNDDOWN((735*15)*【マスター】!G65,0)</f>
        <v>0</v>
      </c>
      <c r="T33" s="201">
        <f>ROUNDDOWN((868*15)*【マスター】!G65,0)</f>
        <v>0</v>
      </c>
      <c r="U33" s="201">
        <f>ROUNDDOWN((1006*15)*【マスター】!G65,0)</f>
        <v>0</v>
      </c>
      <c r="V33" s="201">
        <f>ROUNDDOWN((1144*15)*【マスター】!G65,0)</f>
        <v>0</v>
      </c>
      <c r="W33" s="201">
        <f>ROUNDDOWN((1281*15)*【マスター】!G65,0)</f>
        <v>0</v>
      </c>
    </row>
    <row r="34" spans="1:23" ht="16.5" customHeight="1" thickBot="1">
      <c r="A34" s="213" t="s">
        <v>1304</v>
      </c>
      <c r="B34" s="185"/>
      <c r="C34" s="214" t="str">
        <f>【マスター】!E65</f>
        <v>１，６２２</v>
      </c>
      <c r="D34" s="2318" t="s">
        <v>1305</v>
      </c>
      <c r="E34" s="2318"/>
      <c r="F34" s="2318"/>
      <c r="G34" s="2318"/>
      <c r="H34" s="2318"/>
      <c r="I34" s="2318"/>
      <c r="J34" s="212"/>
      <c r="K34" s="212"/>
      <c r="L34" s="212"/>
      <c r="M34" s="212"/>
      <c r="N34" s="212"/>
      <c r="O34" s="212"/>
      <c r="P34" s="215"/>
      <c r="R34" s="2337"/>
      <c r="S34" s="201">
        <f>ROUNDDOWN((S33)*R3,0)</f>
        <v>0</v>
      </c>
      <c r="T34" s="201">
        <f>ROUNDDOWN((T33)*R3,0)</f>
        <v>0</v>
      </c>
      <c r="U34" s="201">
        <f>ROUNDDOWN((U33)*R3,0)</f>
        <v>0</v>
      </c>
      <c r="V34" s="201">
        <f>ROUNDDOWN((V33)*R3,0)</f>
        <v>0</v>
      </c>
      <c r="W34" s="201">
        <f>ROUNDDOWN((W33)*R3,0)</f>
        <v>0</v>
      </c>
    </row>
    <row r="35" spans="1:23" ht="16.5" customHeight="1" thickTop="1" thickBot="1">
      <c r="A35" s="2319" t="s">
        <v>1306</v>
      </c>
      <c r="B35" s="2318"/>
      <c r="C35" s="2318"/>
      <c r="D35" s="2318"/>
      <c r="E35" s="2318"/>
      <c r="F35" s="2318"/>
      <c r="G35" s="2318"/>
      <c r="H35" s="2318"/>
      <c r="I35" s="2318"/>
      <c r="J35" s="216"/>
      <c r="K35" s="216"/>
      <c r="L35" s="217"/>
      <c r="M35" s="216"/>
      <c r="N35" s="216"/>
      <c r="O35" s="216"/>
      <c r="P35" s="218"/>
      <c r="Q35" s="219"/>
      <c r="R35" s="2337" t="s">
        <v>356</v>
      </c>
      <c r="S35" s="201">
        <f>ROUNDDOWN((50*15)*【マスター】!G65,0)</f>
        <v>0</v>
      </c>
      <c r="U35" s="2337" t="s">
        <v>370</v>
      </c>
      <c r="V35" s="201">
        <f>ROUNDDOWN((-47*28)*【マスター】!G65,0)</f>
        <v>0</v>
      </c>
    </row>
    <row r="36" spans="1:23" ht="16.5" customHeight="1">
      <c r="A36" s="2322" t="s">
        <v>1309</v>
      </c>
      <c r="B36" s="2323"/>
      <c r="C36" s="578" t="s">
        <v>1310</v>
      </c>
      <c r="D36" s="2324" t="s">
        <v>1309</v>
      </c>
      <c r="E36" s="2324"/>
      <c r="F36" s="578" t="s">
        <v>1310</v>
      </c>
      <c r="G36" s="2324" t="s">
        <v>1309</v>
      </c>
      <c r="H36" s="2324"/>
      <c r="I36" s="220" t="s">
        <v>1311</v>
      </c>
      <c r="J36" s="2325" t="s">
        <v>1312</v>
      </c>
      <c r="K36" s="2326"/>
      <c r="L36" s="2326"/>
      <c r="M36" s="2326"/>
      <c r="N36" s="2326"/>
      <c r="O36" s="2326"/>
      <c r="P36" s="2327"/>
      <c r="R36" s="2337"/>
      <c r="S36" s="201">
        <f>ROUNDDOWN(S35*R3,0)</f>
        <v>0</v>
      </c>
      <c r="U36" s="2337"/>
      <c r="V36" s="201">
        <f>ROUNDDOWN(V35*R3,0)</f>
        <v>0</v>
      </c>
    </row>
    <row r="37" spans="1:23" ht="16.5" customHeight="1">
      <c r="A37" s="2370" t="s">
        <v>1314</v>
      </c>
      <c r="B37" s="2371"/>
      <c r="C37" s="574" t="str">
        <f>'お泊り利用概算見積書 (特例)'!C56</f>
        <v>取得なし</v>
      </c>
      <c r="D37" s="2294" t="s">
        <v>1315</v>
      </c>
      <c r="E37" s="2294"/>
      <c r="F37" s="574">
        <f>'お泊り利用概算見積書 (特例)'!F56</f>
        <v>0</v>
      </c>
      <c r="G37" s="2372" t="s">
        <v>1316</v>
      </c>
      <c r="H37" s="2372"/>
      <c r="I37" s="221">
        <f>'お泊り利用概算見積書 (特例)'!I56</f>
        <v>0</v>
      </c>
      <c r="J37" s="2373" t="str">
        <f>【マスター】!D7&amp;【マスター】!F7</f>
        <v/>
      </c>
      <c r="K37" s="2309"/>
      <c r="L37" s="2309"/>
      <c r="M37" s="2309"/>
      <c r="N37" s="2309"/>
      <c r="O37" s="2309"/>
      <c r="P37" s="2310"/>
      <c r="Q37" s="222"/>
    </row>
    <row r="38" spans="1:23" ht="16.5" customHeight="1">
      <c r="A38" s="2370" t="s">
        <v>1317</v>
      </c>
      <c r="B38" s="2371"/>
      <c r="C38" s="574" t="e">
        <f>'お泊り利用概算見積書 (特例)'!C57</f>
        <v>#REF!</v>
      </c>
      <c r="D38" s="2294" t="s">
        <v>1318</v>
      </c>
      <c r="E38" s="2294"/>
      <c r="F38" s="574" t="str">
        <f>'お泊り利用概算見積書 (特例)'!F57</f>
        <v>取得なし</v>
      </c>
      <c r="G38" s="2294" t="s">
        <v>1319</v>
      </c>
      <c r="H38" s="2294"/>
      <c r="I38" s="221" t="str">
        <f>'お泊り利用概算見積書 (特例)'!I57</f>
        <v>取得なし</v>
      </c>
      <c r="J38" s="223" t="s">
        <v>1320</v>
      </c>
      <c r="K38" s="2311" t="e">
        <f>【マスター】!#REF!</f>
        <v>#REF!</v>
      </c>
      <c r="L38" s="2311"/>
      <c r="M38" s="223" t="s">
        <v>1321</v>
      </c>
      <c r="N38" s="2311" t="e">
        <f>【マスター】!#REF!</f>
        <v>#REF!</v>
      </c>
      <c r="O38" s="2311"/>
      <c r="P38" s="224"/>
      <c r="Q38" s="575"/>
    </row>
    <row r="39" spans="1:23" ht="16.5" customHeight="1">
      <c r="A39" s="2366" t="s">
        <v>1322</v>
      </c>
      <c r="B39" s="2294"/>
      <c r="C39" s="574" t="e">
        <f>'お泊り利用概算見積書 (特例)'!C58</f>
        <v>#REF!</v>
      </c>
      <c r="D39" s="2294" t="str">
        <f>'お泊り利用概算見積書 (特例)'!D58:E58</f>
        <v>サービス提供体制強化加算</v>
      </c>
      <c r="E39" s="2294"/>
      <c r="F39" s="574" t="str">
        <f>'お泊り利用概算見積書 (特例)'!F58</f>
        <v>取得なし</v>
      </c>
      <c r="G39" s="2295"/>
      <c r="H39" s="2295"/>
      <c r="I39" s="225"/>
      <c r="J39" s="226" t="s">
        <v>1323</v>
      </c>
      <c r="K39" s="2296">
        <f>【マスター】!G8</f>
        <v>0</v>
      </c>
      <c r="L39" s="2296"/>
      <c r="M39" s="2296"/>
      <c r="N39" s="2296"/>
      <c r="O39" s="2296"/>
      <c r="P39" s="2297"/>
      <c r="Q39" s="577"/>
    </row>
    <row r="40" spans="1:23" ht="16.5" customHeight="1" thickBot="1">
      <c r="A40" s="2367" t="e">
        <f>'お泊り利用概算見積書 (特例)'!A59:B59</f>
        <v>#REF!</v>
      </c>
      <c r="B40" s="2368"/>
      <c r="C40" s="2368" t="s">
        <v>1324</v>
      </c>
      <c r="D40" s="2368"/>
      <c r="E40" s="2368"/>
      <c r="F40" s="2368" t="e">
        <f>'お泊り利用概算見積書 (特例)'!F59:I59</f>
        <v>#REF!</v>
      </c>
      <c r="G40" s="2368"/>
      <c r="H40" s="2368"/>
      <c r="I40" s="2369"/>
      <c r="J40" s="216"/>
      <c r="K40" s="216"/>
      <c r="L40" s="216"/>
      <c r="M40" s="216"/>
      <c r="N40" s="227" t="s">
        <v>1325</v>
      </c>
      <c r="O40" s="2303">
        <f>【マスター】!D20</f>
        <v>0</v>
      </c>
      <c r="P40" s="2304"/>
    </row>
    <row r="42" spans="1:23">
      <c r="R42" s="2337" t="s">
        <v>1267</v>
      </c>
      <c r="S42" s="201">
        <f>ROUNDDOWN((735*24)*【マスター】!G65,0)</f>
        <v>0</v>
      </c>
      <c r="T42" s="201">
        <f>ROUNDDOWN((868*23)*【マスター】!G65,0)</f>
        <v>0</v>
      </c>
      <c r="U42" s="201">
        <f>ROUNDDOWN((1006*27)*【マスター】!G65,0)</f>
        <v>0</v>
      </c>
      <c r="V42" s="201">
        <f>ROUNDDOWN((1144*28)*【マスター】!G65,0)</f>
        <v>0</v>
      </c>
      <c r="W42" s="201">
        <f>ROUNDDOWN((1281*29)*【マスター】!G65,0)</f>
        <v>0</v>
      </c>
    </row>
    <row r="43" spans="1:23" hidden="1">
      <c r="A43" s="201" t="s">
        <v>1328</v>
      </c>
      <c r="B43" s="228" t="s">
        <v>1329</v>
      </c>
      <c r="R43" s="2337"/>
      <c r="S43" s="201">
        <f>ROUNDDOWN((S42)*R3,0)</f>
        <v>0</v>
      </c>
      <c r="T43" s="201">
        <f>ROUNDDOWN((T42)*R3,0)</f>
        <v>0</v>
      </c>
      <c r="U43" s="201">
        <f>ROUNDDOWN((U42)*R3,0)</f>
        <v>0</v>
      </c>
      <c r="V43" s="201">
        <f>ROUNDDOWN((V42)*R3,0)</f>
        <v>0</v>
      </c>
      <c r="W43" s="201">
        <f>ROUNDDOWN((W42)*R3,0)</f>
        <v>0</v>
      </c>
    </row>
    <row r="44" spans="1:23" hidden="1">
      <c r="A44" s="201" t="s">
        <v>1330</v>
      </c>
      <c r="B44" s="228" t="s">
        <v>1331</v>
      </c>
      <c r="R44" s="2337" t="s">
        <v>356</v>
      </c>
      <c r="S44" s="201">
        <f>ROUNDDOWN((50*24)*【マスター】!G65,0)</f>
        <v>0</v>
      </c>
      <c r="T44" s="201">
        <f>ROUNDDOWN((50*23)*【マスター】!G65,0)</f>
        <v>0</v>
      </c>
      <c r="U44" s="201">
        <f>ROUNDDOWN((50*27)*【マスター】!G65,0)</f>
        <v>0</v>
      </c>
      <c r="V44" s="201">
        <f>ROUNDDOWN((50*28)*【マスター】!G65,0)</f>
        <v>0</v>
      </c>
      <c r="W44" s="201">
        <f>ROUNDDOWN((50*29)*【マスター】!G65,0)</f>
        <v>0</v>
      </c>
    </row>
    <row r="45" spans="1:23" hidden="1">
      <c r="A45" s="201" t="s">
        <v>1332</v>
      </c>
      <c r="B45" s="228" t="s">
        <v>1333</v>
      </c>
      <c r="R45" s="2337"/>
      <c r="S45" s="201">
        <f>ROUNDDOWN(S44*R3,0)</f>
        <v>0</v>
      </c>
      <c r="T45" s="201">
        <f>ROUNDDOWN(T44*R3,0)</f>
        <v>0</v>
      </c>
      <c r="U45" s="201">
        <f>ROUNDDOWN(U44*R3,0)</f>
        <v>0</v>
      </c>
      <c r="V45" s="201">
        <f>ROUNDDOWN(V44*R3,0)</f>
        <v>0</v>
      </c>
      <c r="W45" s="201">
        <f>ROUNDDOWN(W44*R3,0)</f>
        <v>0</v>
      </c>
    </row>
    <row r="46" spans="1:23" hidden="1">
      <c r="A46" s="201" t="s">
        <v>1334</v>
      </c>
      <c r="B46" s="228" t="s">
        <v>1335</v>
      </c>
      <c r="R46" s="2337" t="s">
        <v>370</v>
      </c>
      <c r="S46" s="201">
        <f>ROUNDDOWN((-47*23)*【マスター】!G65,0)</f>
        <v>0</v>
      </c>
      <c r="T46" s="201">
        <f>ROUNDDOWN((-47*22)*【マスター】!G65,0)</f>
        <v>0</v>
      </c>
      <c r="U46" s="201">
        <f>ROUNDDOWN((-47*26)*【マスター】!G65,0)</f>
        <v>0</v>
      </c>
      <c r="V46" s="201">
        <f>ROUNDDOWN((-47*28)*【マスター】!G65,0)</f>
        <v>0</v>
      </c>
      <c r="W46" s="201">
        <f>ROUNDDOWN((-47*28)*【マスター】!G65,0)</f>
        <v>0</v>
      </c>
    </row>
    <row r="47" spans="1:23" hidden="1">
      <c r="A47" s="201" t="s">
        <v>1336</v>
      </c>
      <c r="B47" s="228" t="s">
        <v>1337</v>
      </c>
      <c r="R47" s="2337"/>
      <c r="S47" s="201">
        <f>ROUNDDOWN(S46*R3,0)</f>
        <v>0</v>
      </c>
      <c r="T47" s="201">
        <f>ROUNDDOWN(T46*R3,0)</f>
        <v>0</v>
      </c>
      <c r="U47" s="201">
        <f>ROUNDDOWN(U46*R3,0)</f>
        <v>0</v>
      </c>
      <c r="V47" s="201">
        <f>ROUNDDOWN(V46*R3,0)</f>
        <v>0</v>
      </c>
      <c r="W47" s="201">
        <f>ROUNDDOWN(W46*R3,0)</f>
        <v>0</v>
      </c>
    </row>
    <row r="48" spans="1:23" hidden="1"/>
    <row r="54" spans="18:23">
      <c r="R54" s="201" t="s">
        <v>1307</v>
      </c>
      <c r="S54" s="201">
        <f>(ROUNDDOWN(46*【マスター】!G65,0))-(ROUNDDOWN(ROUNDDOWN(46*【マスター】!G65,0)*R3,0))</f>
        <v>0</v>
      </c>
      <c r="T54" s="201" t="s">
        <v>1308</v>
      </c>
      <c r="U54" s="201">
        <f>(ROUNDDOWN(56*【マスター】!G65,0))-(ROUNDDOWN(ROUNDDOWN(56*【マスター】!G65,0)*R3,0))</f>
        <v>0</v>
      </c>
      <c r="V54" s="201" t="s">
        <v>199</v>
      </c>
      <c r="W54" s="201">
        <f>(ROUNDDOWN(60*【マスター】!G65,0))-(ROUNDDOWN(ROUNDDOWN(60*【マスター】!G65,0)*R3,0))</f>
        <v>0</v>
      </c>
    </row>
    <row r="55" spans="18:23">
      <c r="R55" s="201" t="s">
        <v>1313</v>
      </c>
      <c r="S55" s="201">
        <f>(ROUNDDOWN(45*【マスター】!G65,0))-(ROUNDDOWN(ROUNDDOWN(45*【マスター】!G65,0)*R3,0))</f>
        <v>0</v>
      </c>
      <c r="T55" s="201" t="s">
        <v>834</v>
      </c>
      <c r="U55" s="201">
        <f>(ROUNDDOWN(150*【マスター】!G65,0))-(ROUNDDOWN(ROUNDDOWN(150*【マスター】!G65,0)*R3,0))</f>
        <v>0</v>
      </c>
      <c r="V55" s="201" t="s">
        <v>831</v>
      </c>
      <c r="W55" s="201">
        <f>(ROUNDDOWN(150*【マスター】!G65,0))-(ROUNDDOWN(ROUNDDOWN(150*【マスター】!G65,0)*R3,0))</f>
        <v>0</v>
      </c>
    </row>
    <row r="56" spans="18:23">
      <c r="R56" s="201" t="s">
        <v>826</v>
      </c>
      <c r="S56" s="201">
        <f>(ROUNDDOWN(60*【マスター】!G65,0))-(ROUNDDOWN(ROUNDDOWN(60*【マスター】!G65,0)*R3,0))</f>
        <v>0</v>
      </c>
      <c r="T56" s="229" t="s">
        <v>1282</v>
      </c>
      <c r="U56" s="201">
        <v>18</v>
      </c>
      <c r="V56" s="201">
        <f>(ROUNDDOWN(U56*【マスター】!$G$65,0))-(ROUNDDOWN(ROUNDDOWN(U56*【マスター】!$G$65,0)*$R$3,0))</f>
        <v>0</v>
      </c>
    </row>
    <row r="57" spans="18:23">
      <c r="T57" s="229" t="s">
        <v>1283</v>
      </c>
      <c r="U57" s="201">
        <v>12</v>
      </c>
      <c r="V57" s="201">
        <f>(ROUNDDOWN(U57*【マスター】!$G$65,0))-(ROUNDDOWN(ROUNDDOWN(U57*【マスター】!$G$65,0)*$R$3,0))</f>
        <v>0</v>
      </c>
    </row>
    <row r="58" spans="18:23">
      <c r="T58" s="229" t="s">
        <v>1285</v>
      </c>
      <c r="U58" s="201">
        <v>6</v>
      </c>
      <c r="V58" s="201">
        <f>(ROUNDDOWN(U58*【マスター】!$G$65,0))-(ROUNDDOWN(ROUNDDOWN(U58*【マスター】!$G$65,0)*$R$3,0))</f>
        <v>0</v>
      </c>
    </row>
    <row r="59" spans="18:23">
      <c r="T59" s="201" t="s">
        <v>1326</v>
      </c>
      <c r="U59" s="201">
        <v>0</v>
      </c>
      <c r="V59" s="201" t="s">
        <v>1327</v>
      </c>
    </row>
  </sheetData>
  <mergeCells count="185">
    <mergeCell ref="H2:I2"/>
    <mergeCell ref="J2:L2"/>
    <mergeCell ref="B5:D5"/>
    <mergeCell ref="E5:G5"/>
    <mergeCell ref="H5:J5"/>
    <mergeCell ref="K5:M5"/>
    <mergeCell ref="K7:L7"/>
    <mergeCell ref="N7:O7"/>
    <mergeCell ref="B8:C8"/>
    <mergeCell ref="E8:F8"/>
    <mergeCell ref="H8:I8"/>
    <mergeCell ref="K8:L8"/>
    <mergeCell ref="N8:O8"/>
    <mergeCell ref="N5:P5"/>
    <mergeCell ref="A6:A14"/>
    <mergeCell ref="B6:C6"/>
    <mergeCell ref="E6:F6"/>
    <mergeCell ref="H6:I6"/>
    <mergeCell ref="K6:L6"/>
    <mergeCell ref="N6:O6"/>
    <mergeCell ref="B7:C7"/>
    <mergeCell ref="E7:F7"/>
    <mergeCell ref="H7:I7"/>
    <mergeCell ref="B9:C9"/>
    <mergeCell ref="E9:F9"/>
    <mergeCell ref="H9:I9"/>
    <mergeCell ref="K9:L9"/>
    <mergeCell ref="N9:O9"/>
    <mergeCell ref="B10:C10"/>
    <mergeCell ref="E10:F10"/>
    <mergeCell ref="H10:I10"/>
    <mergeCell ref="K10:L10"/>
    <mergeCell ref="N10:O10"/>
    <mergeCell ref="B11:C11"/>
    <mergeCell ref="E11:F11"/>
    <mergeCell ref="H11:I11"/>
    <mergeCell ref="K11:L11"/>
    <mergeCell ref="N11:O11"/>
    <mergeCell ref="B12:C12"/>
    <mergeCell ref="E12:F12"/>
    <mergeCell ref="H12:I12"/>
    <mergeCell ref="K12:L12"/>
    <mergeCell ref="N12:O12"/>
    <mergeCell ref="B13:C13"/>
    <mergeCell ref="E13:F13"/>
    <mergeCell ref="H13:I13"/>
    <mergeCell ref="K13:L13"/>
    <mergeCell ref="N13:O13"/>
    <mergeCell ref="B14:C14"/>
    <mergeCell ref="E14:F14"/>
    <mergeCell ref="H14:I14"/>
    <mergeCell ref="K14:L14"/>
    <mergeCell ref="N14:O14"/>
    <mergeCell ref="N16:O16"/>
    <mergeCell ref="B17:C17"/>
    <mergeCell ref="E17:F17"/>
    <mergeCell ref="H17:I17"/>
    <mergeCell ref="K17:L17"/>
    <mergeCell ref="N17:O17"/>
    <mergeCell ref="A15:A23"/>
    <mergeCell ref="B15:C15"/>
    <mergeCell ref="E15:F15"/>
    <mergeCell ref="H15:I15"/>
    <mergeCell ref="K15:L15"/>
    <mergeCell ref="N15:O15"/>
    <mergeCell ref="B16:C16"/>
    <mergeCell ref="E16:F16"/>
    <mergeCell ref="H16:I16"/>
    <mergeCell ref="K16:L16"/>
    <mergeCell ref="B18:C18"/>
    <mergeCell ref="E18:F18"/>
    <mergeCell ref="H18:I18"/>
    <mergeCell ref="K18:L18"/>
    <mergeCell ref="N18:O18"/>
    <mergeCell ref="B19:C19"/>
    <mergeCell ref="E19:F19"/>
    <mergeCell ref="H19:I19"/>
    <mergeCell ref="K19:L19"/>
    <mergeCell ref="N19:O19"/>
    <mergeCell ref="B20:C20"/>
    <mergeCell ref="E20:F20"/>
    <mergeCell ref="H20:I20"/>
    <mergeCell ref="K20:L20"/>
    <mergeCell ref="N20:O20"/>
    <mergeCell ref="B21:C21"/>
    <mergeCell ref="E21:F21"/>
    <mergeCell ref="H21:I21"/>
    <mergeCell ref="K21:L21"/>
    <mergeCell ref="N21:O21"/>
    <mergeCell ref="B22:C22"/>
    <mergeCell ref="E22:F22"/>
    <mergeCell ref="H22:I22"/>
    <mergeCell ref="K22:L22"/>
    <mergeCell ref="N22:O22"/>
    <mergeCell ref="B23:C23"/>
    <mergeCell ref="E23:F23"/>
    <mergeCell ref="H23:I23"/>
    <mergeCell ref="K23:L23"/>
    <mergeCell ref="N23:O23"/>
    <mergeCell ref="N25:O25"/>
    <mergeCell ref="B26:C26"/>
    <mergeCell ref="E26:F26"/>
    <mergeCell ref="H26:I26"/>
    <mergeCell ref="K26:L26"/>
    <mergeCell ref="N26:O26"/>
    <mergeCell ref="E28:F28"/>
    <mergeCell ref="H28:I28"/>
    <mergeCell ref="K28:L28"/>
    <mergeCell ref="N28:O28"/>
    <mergeCell ref="B29:C29"/>
    <mergeCell ref="E29:F29"/>
    <mergeCell ref="H29:I29"/>
    <mergeCell ref="K29:L29"/>
    <mergeCell ref="N29:O29"/>
    <mergeCell ref="B30:C30"/>
    <mergeCell ref="E30:F30"/>
    <mergeCell ref="H30:I30"/>
    <mergeCell ref="K30:L30"/>
    <mergeCell ref="N30:O30"/>
    <mergeCell ref="A33:I33"/>
    <mergeCell ref="J33:P33"/>
    <mergeCell ref="D34:I34"/>
    <mergeCell ref="A24:A32"/>
    <mergeCell ref="B24:C24"/>
    <mergeCell ref="E24:F24"/>
    <mergeCell ref="H24:I24"/>
    <mergeCell ref="K24:L24"/>
    <mergeCell ref="N24:O24"/>
    <mergeCell ref="B25:C25"/>
    <mergeCell ref="E25:F25"/>
    <mergeCell ref="H25:I25"/>
    <mergeCell ref="K25:L25"/>
    <mergeCell ref="B27:C27"/>
    <mergeCell ref="E27:F27"/>
    <mergeCell ref="H27:I27"/>
    <mergeCell ref="K27:L27"/>
    <mergeCell ref="N27:O27"/>
    <mergeCell ref="B28:C28"/>
    <mergeCell ref="A35:I35"/>
    <mergeCell ref="A36:B36"/>
    <mergeCell ref="D36:E36"/>
    <mergeCell ref="G36:H36"/>
    <mergeCell ref="J36:P36"/>
    <mergeCell ref="B31:C31"/>
    <mergeCell ref="E31:F31"/>
    <mergeCell ref="H31:I31"/>
    <mergeCell ref="K31:L31"/>
    <mergeCell ref="N31:O31"/>
    <mergeCell ref="B32:C32"/>
    <mergeCell ref="E32:F32"/>
    <mergeCell ref="H32:I32"/>
    <mergeCell ref="K32:L32"/>
    <mergeCell ref="N32:O32"/>
    <mergeCell ref="A39:B39"/>
    <mergeCell ref="D39:E39"/>
    <mergeCell ref="G39:H39"/>
    <mergeCell ref="K39:P39"/>
    <mergeCell ref="A40:B40"/>
    <mergeCell ref="C40:E40"/>
    <mergeCell ref="F40:I40"/>
    <mergeCell ref="O40:P40"/>
    <mergeCell ref="A37:B37"/>
    <mergeCell ref="D37:E37"/>
    <mergeCell ref="G37:H37"/>
    <mergeCell ref="J37:P37"/>
    <mergeCell ref="A38:B38"/>
    <mergeCell ref="D38:E38"/>
    <mergeCell ref="G38:H38"/>
    <mergeCell ref="K38:L38"/>
    <mergeCell ref="N38:O38"/>
    <mergeCell ref="R33:R34"/>
    <mergeCell ref="R35:R36"/>
    <mergeCell ref="U35:U36"/>
    <mergeCell ref="R42:R43"/>
    <mergeCell ref="R44:R45"/>
    <mergeCell ref="R46:R47"/>
    <mergeCell ref="R6:R7"/>
    <mergeCell ref="R8:R9"/>
    <mergeCell ref="U8:U9"/>
    <mergeCell ref="R15:R16"/>
    <mergeCell ref="R17:R18"/>
    <mergeCell ref="U17:U18"/>
    <mergeCell ref="R24:R25"/>
    <mergeCell ref="R26:R27"/>
    <mergeCell ref="U26:U27"/>
  </mergeCells>
  <phoneticPr fontId="17"/>
  <conditionalFormatting sqref="H2:I2">
    <cfRule type="cellIs" dxfId="2" priority="2" operator="equal">
      <formula>0</formula>
    </cfRule>
  </conditionalFormatting>
  <conditionalFormatting sqref="J2:L2">
    <cfRule type="cellIs" dxfId="1" priority="1" operator="equal">
      <formula>"自費変更なし"</formula>
    </cfRule>
  </conditionalFormatting>
  <dataValidations count="1">
    <dataValidation type="list" allowBlank="1" showInputMessage="1" showErrorMessage="1" sqref="J2:L2" xr:uid="{00000000-0002-0000-1700-000000000000}">
      <formula1>"1割負担,2割負担,生活保護"</formula1>
    </dataValidation>
  </dataValidations>
  <printOptions horizontalCentered="1" verticalCentered="1"/>
  <pageMargins left="0.70866141732283472" right="0.70866141732283472" top="0.55118110236220474" bottom="0.55118110236220474" header="0.31496062992125984" footer="0.31496062992125984"/>
  <pageSetup paperSize="9" scale="58" fitToHeight="0" orientation="portrait" r:id="rId1"/>
  <headerFooter>
    <oddFooter>&amp;L【地域密着型通所介護】</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O189"/>
  <sheetViews>
    <sheetView workbookViewId="0"/>
  </sheetViews>
  <sheetFormatPr defaultColWidth="5.625" defaultRowHeight="19.5"/>
  <cols>
    <col min="1" max="20" width="4.625" style="302" customWidth="1"/>
    <col min="21" max="21" width="4.625" style="486" customWidth="1"/>
    <col min="22" max="24" width="4.625" style="302" customWidth="1"/>
    <col min="25" max="25" width="5.625" style="302" customWidth="1"/>
    <col min="26" max="26" width="5.625" style="486" customWidth="1"/>
    <col min="27" max="27" width="3.625" style="302" customWidth="1"/>
    <col min="28" max="28" width="10.125" style="302" bestFit="1" customWidth="1"/>
    <col min="29" max="29" width="30.625" style="302" customWidth="1"/>
    <col min="30" max="30" width="8.5" style="302" customWidth="1"/>
    <col min="31" max="31" width="9.875" style="302" customWidth="1"/>
    <col min="32" max="33" width="35.5" style="302" customWidth="1"/>
    <col min="34" max="34" width="7.875" style="302" customWidth="1"/>
    <col min="35" max="35" width="9.875" style="302" customWidth="1"/>
    <col min="36" max="36" width="14.125" style="302" customWidth="1"/>
    <col min="37" max="37" width="5.625" style="302"/>
    <col min="38" max="38" width="24.125" style="302" bestFit="1" customWidth="1"/>
    <col min="39" max="39" width="6.875" style="302" bestFit="1" customWidth="1"/>
    <col min="40" max="16384" width="5.625" style="302"/>
  </cols>
  <sheetData>
    <row r="1" spans="1:37" ht="20.25" thickBot="1">
      <c r="AB1" s="302" t="s">
        <v>746</v>
      </c>
    </row>
    <row r="2" spans="1:37" ht="40.35" customHeight="1" thickBot="1">
      <c r="A2" s="2388" t="str">
        <f>【マスター】!C7&amp;" 見積書"</f>
        <v>デイサービスさつきの湯 見積書</v>
      </c>
      <c r="B2" s="2388"/>
      <c r="C2" s="2388"/>
      <c r="D2" s="2388"/>
      <c r="E2" s="2388"/>
      <c r="F2" s="2388"/>
      <c r="G2" s="2388"/>
      <c r="H2" s="2388"/>
      <c r="I2" s="2388"/>
      <c r="J2" s="2388"/>
      <c r="K2" s="2388"/>
      <c r="L2" s="2388"/>
      <c r="M2" s="2388"/>
      <c r="N2" s="2388"/>
      <c r="O2" s="2388"/>
      <c r="P2" s="2388"/>
      <c r="Q2" s="2388"/>
      <c r="R2" s="2388"/>
      <c r="S2" s="2388"/>
      <c r="T2" s="2388"/>
      <c r="U2" s="2388"/>
      <c r="V2" s="2388"/>
      <c r="W2" s="2388"/>
      <c r="X2" s="2388"/>
      <c r="AB2" s="353" t="s">
        <v>747</v>
      </c>
      <c r="AC2" s="2424" t="s">
        <v>748</v>
      </c>
      <c r="AD2" s="2425"/>
      <c r="AE2" s="2425"/>
      <c r="AF2" s="2425"/>
    </row>
    <row r="3" spans="1:37" ht="5.0999999999999996" customHeight="1">
      <c r="A3" s="486"/>
      <c r="B3" s="486"/>
      <c r="C3" s="486"/>
      <c r="D3" s="486"/>
      <c r="E3" s="486"/>
      <c r="F3" s="486"/>
      <c r="G3" s="486"/>
      <c r="H3" s="486"/>
      <c r="I3" s="486"/>
      <c r="J3" s="486"/>
      <c r="K3" s="486"/>
      <c r="L3" s="486"/>
      <c r="M3" s="486"/>
      <c r="N3" s="486"/>
      <c r="O3" s="486"/>
      <c r="P3" s="486"/>
      <c r="Q3" s="486"/>
      <c r="R3" s="486"/>
      <c r="S3" s="486"/>
      <c r="T3" s="486"/>
      <c r="V3" s="486"/>
      <c r="W3" s="486"/>
      <c r="X3" s="486"/>
    </row>
    <row r="4" spans="1:37" ht="19.5" customHeight="1">
      <c r="A4" s="2389" t="str">
        <f>IF(【マスター】!B161="","当事業所が、あなたに提供するサービスは以下の通りです。","当事業所が、"&amp;【マスター】!B161&amp;"様に提供するサービスは以下の通りです。")</f>
        <v>当事業所が、あなたに提供するサービスは以下の通りです。</v>
      </c>
      <c r="B4" s="2389"/>
      <c r="C4" s="2389"/>
      <c r="D4" s="2389"/>
      <c r="E4" s="2389"/>
      <c r="F4" s="2389"/>
      <c r="G4" s="2389"/>
      <c r="H4" s="2389"/>
      <c r="I4" s="2389"/>
      <c r="J4" s="2389"/>
      <c r="K4" s="2389"/>
      <c r="L4" s="2389"/>
      <c r="M4" s="2389"/>
      <c r="N4" s="2389"/>
      <c r="O4" s="2389"/>
      <c r="P4" s="2389"/>
      <c r="Q4" s="2389"/>
      <c r="R4" s="2389"/>
      <c r="S4" s="2389"/>
      <c r="T4" s="2389"/>
      <c r="U4" s="2389"/>
      <c r="V4" s="2389"/>
      <c r="W4" s="2389"/>
      <c r="X4" s="2389"/>
      <c r="AF4" s="471"/>
    </row>
    <row r="5" spans="1:37" ht="19.350000000000001" customHeight="1" thickBot="1">
      <c r="A5" s="2390" t="s">
        <v>749</v>
      </c>
      <c r="B5" s="2390"/>
      <c r="C5" s="2390"/>
      <c r="D5" s="2390" t="s">
        <v>750</v>
      </c>
      <c r="E5" s="2390"/>
      <c r="F5" s="2390"/>
      <c r="G5" s="2390"/>
      <c r="H5" s="2390"/>
      <c r="I5" s="2390"/>
      <c r="J5" s="2390"/>
      <c r="K5" s="2390"/>
      <c r="L5" s="2390"/>
      <c r="M5" s="2390"/>
      <c r="N5" s="2390"/>
      <c r="O5" s="2390"/>
      <c r="P5" s="2390"/>
      <c r="Q5" s="2390"/>
      <c r="R5" s="2390"/>
      <c r="S5" s="2390"/>
      <c r="T5" s="2390"/>
      <c r="U5" s="2390"/>
      <c r="V5" s="2390"/>
      <c r="W5" s="2390"/>
      <c r="X5" s="2390"/>
      <c r="AB5" s="354" t="s">
        <v>751</v>
      </c>
      <c r="AC5" s="354" t="s">
        <v>752</v>
      </c>
      <c r="AD5" s="354">
        <v>1</v>
      </c>
      <c r="AF5" s="302" t="s">
        <v>753</v>
      </c>
      <c r="AG5" s="931">
        <f ca="1">SUMIF(B11:H17,"*要介護*",R11:R17)-SUMIF(I11:N17,"*延長*",R11:R17)</f>
        <v>30</v>
      </c>
      <c r="AH5" s="486" t="s">
        <v>2007</v>
      </c>
    </row>
    <row r="6" spans="1:37" ht="19.350000000000001" customHeight="1" thickBot="1">
      <c r="A6" s="2390"/>
      <c r="B6" s="2390"/>
      <c r="C6" s="2390"/>
      <c r="D6" s="1706" t="s">
        <v>2038</v>
      </c>
      <c r="E6" s="1706"/>
      <c r="F6" s="1706"/>
      <c r="G6" s="1706" t="s">
        <v>2010</v>
      </c>
      <c r="H6" s="1706"/>
      <c r="I6" s="1706"/>
      <c r="J6" s="1706"/>
      <c r="K6" s="1706" t="s">
        <v>2041</v>
      </c>
      <c r="L6" s="1706"/>
      <c r="M6" s="1706"/>
      <c r="N6" s="1706"/>
      <c r="O6" s="1706" t="s">
        <v>754</v>
      </c>
      <c r="P6" s="1706"/>
      <c r="Q6" s="1706"/>
      <c r="R6" s="1706" t="s">
        <v>755</v>
      </c>
      <c r="S6" s="1706"/>
      <c r="T6" s="1706"/>
      <c r="U6" s="1706" t="s">
        <v>2011</v>
      </c>
      <c r="V6" s="1706"/>
      <c r="W6" s="1706"/>
      <c r="X6" s="1706"/>
      <c r="AB6" s="354" t="s">
        <v>747</v>
      </c>
      <c r="AC6" s="354" t="s">
        <v>756</v>
      </c>
      <c r="AD6" s="354">
        <v>0.9</v>
      </c>
      <c r="AF6" s="353" t="s">
        <v>757</v>
      </c>
      <c r="AG6" s="931">
        <f ca="1">SUMIF(B11:H17,"*要介護*",T11:X17)-SUMIF(I11:N17,"*延長*",T11:X17)</f>
        <v>19980</v>
      </c>
      <c r="AH6" s="486" t="s">
        <v>2008</v>
      </c>
    </row>
    <row r="7" spans="1:37" s="355" customFormat="1" ht="19.350000000000001" customHeight="1">
      <c r="A7" s="1745" t="s">
        <v>770</v>
      </c>
      <c r="B7" s="1745"/>
      <c r="C7" s="1745"/>
      <c r="D7" s="1706"/>
      <c r="E7" s="1706"/>
      <c r="F7" s="1706"/>
      <c r="G7" s="1706"/>
      <c r="H7" s="1706"/>
      <c r="I7" s="1706"/>
      <c r="J7" s="1706"/>
      <c r="K7" s="1706"/>
      <c r="L7" s="1706"/>
      <c r="M7" s="1706"/>
      <c r="N7" s="1706"/>
      <c r="O7" s="1706"/>
      <c r="P7" s="1706"/>
      <c r="Q7" s="1706"/>
      <c r="R7" s="1706"/>
      <c r="S7" s="1706"/>
      <c r="T7" s="1706"/>
      <c r="U7" s="1706"/>
      <c r="V7" s="1706"/>
      <c r="W7" s="1706"/>
      <c r="X7" s="1706"/>
      <c r="Z7" s="491"/>
      <c r="AB7" s="354" t="s">
        <v>759</v>
      </c>
      <c r="AC7" s="354" t="s">
        <v>760</v>
      </c>
      <c r="AD7" s="354">
        <v>0.8</v>
      </c>
      <c r="AG7" s="932">
        <f ca="1">SUMIF(B11:H17,"*要介護*",T11:X17)+V22</f>
        <v>20980</v>
      </c>
      <c r="AH7" s="486" t="s">
        <v>2009</v>
      </c>
    </row>
    <row r="8" spans="1:37" ht="19.350000000000001" customHeight="1">
      <c r="A8" s="1745"/>
      <c r="B8" s="1745"/>
      <c r="C8" s="1745"/>
      <c r="D8" s="2391" t="str">
        <f>IF(AA14=0,AB14,VLOOKUP(1,AA11:AC13,2,FALSE))</f>
        <v>（Ⅱ）</v>
      </c>
      <c r="E8" s="2391"/>
      <c r="F8" s="2391"/>
      <c r="G8" s="1743" t="str">
        <f>IF(AA44=0,AB44,VLOOKUP(1,AA42:AC43,2,FALSE))</f>
        <v>算定なし</v>
      </c>
      <c r="H8" s="1743"/>
      <c r="I8" s="1743"/>
      <c r="J8" s="1743"/>
      <c r="K8" s="1743" t="str">
        <f>IF(AA51=0,AB51,VLOOKUP(1,AA50:AC51,2,FALSE))</f>
        <v>算定なし</v>
      </c>
      <c r="L8" s="1743"/>
      <c r="M8" s="1743"/>
      <c r="N8" s="1743"/>
      <c r="O8" s="1743" t="str">
        <f>IF(AA22=0,AB22,VLOOKUP(1,AA19:AC21,2,FALSE))</f>
        <v>算定なし</v>
      </c>
      <c r="P8" s="1743"/>
      <c r="Q8" s="1743"/>
      <c r="R8" s="1705" t="str">
        <f>IF(【マスター】!C76="有","有","算定なし")</f>
        <v>算定なし</v>
      </c>
      <c r="S8" s="1705"/>
      <c r="T8" s="1705"/>
      <c r="U8" s="1745" t="s">
        <v>2018</v>
      </c>
      <c r="V8" s="1745"/>
      <c r="W8" s="1745"/>
      <c r="X8" s="1745"/>
      <c r="AB8" s="354" t="s">
        <v>761</v>
      </c>
      <c r="AC8" s="354" t="s">
        <v>762</v>
      </c>
      <c r="AD8" s="354">
        <v>0.7</v>
      </c>
    </row>
    <row r="9" spans="1:37" ht="10.35" customHeight="1">
      <c r="A9" s="486"/>
      <c r="B9" s="486"/>
      <c r="C9" s="486"/>
      <c r="D9" s="486"/>
      <c r="E9" s="486"/>
      <c r="F9" s="486"/>
      <c r="G9" s="486"/>
      <c r="H9" s="486"/>
      <c r="I9" s="486"/>
      <c r="J9" s="486"/>
      <c r="K9" s="486"/>
      <c r="L9" s="486"/>
      <c r="M9" s="486"/>
      <c r="N9" s="486"/>
      <c r="O9" s="486"/>
      <c r="P9" s="486"/>
      <c r="Q9" s="486"/>
      <c r="R9" s="486"/>
      <c r="S9" s="486"/>
      <c r="T9" s="486"/>
      <c r="V9" s="486"/>
      <c r="W9" s="486"/>
      <c r="X9" s="486"/>
    </row>
    <row r="10" spans="1:37" s="356" customFormat="1" ht="19.350000000000001" customHeight="1">
      <c r="A10" s="557" t="s">
        <v>763</v>
      </c>
      <c r="B10" s="2386" t="s">
        <v>764</v>
      </c>
      <c r="C10" s="2386"/>
      <c r="D10" s="2386"/>
      <c r="E10" s="2386"/>
      <c r="F10" s="2386"/>
      <c r="G10" s="2386"/>
      <c r="H10" s="2386"/>
      <c r="I10" s="2383" t="s">
        <v>765</v>
      </c>
      <c r="J10" s="2384"/>
      <c r="K10" s="2384"/>
      <c r="L10" s="2384"/>
      <c r="M10" s="2384"/>
      <c r="N10" s="2385"/>
      <c r="O10" s="2383" t="s">
        <v>766</v>
      </c>
      <c r="P10" s="2384"/>
      <c r="Q10" s="2385"/>
      <c r="R10" s="2386" t="s">
        <v>767</v>
      </c>
      <c r="S10" s="2386"/>
      <c r="T10" s="2386" t="s">
        <v>768</v>
      </c>
      <c r="U10" s="2386"/>
      <c r="V10" s="2386"/>
      <c r="W10" s="2386"/>
      <c r="X10" s="2386"/>
      <c r="Z10" s="492"/>
      <c r="AA10" s="356" t="s">
        <v>769</v>
      </c>
      <c r="AF10" s="356" t="s">
        <v>770</v>
      </c>
      <c r="AG10" s="302"/>
      <c r="AH10" s="302"/>
      <c r="AI10" s="302"/>
      <c r="AJ10" s="302"/>
    </row>
    <row r="11" spans="1:37" ht="19.350000000000001" customHeight="1">
      <c r="A11" s="297">
        <f>IF(B11="","",1)</f>
        <v>1</v>
      </c>
      <c r="B11" s="2392" t="s">
        <v>796</v>
      </c>
      <c r="C11" s="2392"/>
      <c r="D11" s="2392"/>
      <c r="E11" s="2392"/>
      <c r="F11" s="2392"/>
      <c r="G11" s="2392"/>
      <c r="H11" s="2392"/>
      <c r="I11" s="2393" t="str">
        <f t="shared" ref="I11:I17" si="0">IF(B11="","",VLOOKUP(B11,$AF$11:$AI$188,2,FALSE))</f>
        <v>通所介護Ⅰ６１</v>
      </c>
      <c r="J11" s="2394"/>
      <c r="K11" s="2394"/>
      <c r="L11" s="2394"/>
      <c r="M11" s="2394"/>
      <c r="N11" s="2395"/>
      <c r="O11" s="1620">
        <f t="shared" ref="O11:O17" si="1">IF(B11="","",VLOOKUP(B11,$AF$11:$AI$188,3,FALSE))</f>
        <v>666</v>
      </c>
      <c r="P11" s="1621"/>
      <c r="Q11" s="1622"/>
      <c r="R11" s="487">
        <v>30</v>
      </c>
      <c r="S11" s="488" t="str">
        <f t="shared" ref="S11:S17" si="2">IF(B11="","",VLOOKUP(B11,$AF$11:$AI$188,4,FALSE))</f>
        <v>回</v>
      </c>
      <c r="T11" s="2396">
        <f t="shared" ref="T11:T17" si="3">IF(B11="","",O11*R11)</f>
        <v>19980</v>
      </c>
      <c r="U11" s="2396"/>
      <c r="V11" s="2396"/>
      <c r="W11" s="2396"/>
      <c r="X11" s="2396"/>
      <c r="AA11" s="361">
        <f>IF(【マスター】!C73="有",1,0)</f>
        <v>0</v>
      </c>
      <c r="AB11" s="354" t="s">
        <v>772</v>
      </c>
      <c r="AC11" s="354" t="str">
        <f>LEFT(【マスター】!$D$73,3)&amp;"%"</f>
        <v>9.2%</v>
      </c>
      <c r="AD11" s="354">
        <f>AC11*1</f>
        <v>9.1999999999999998E-2</v>
      </c>
      <c r="AE11" s="356" t="s">
        <v>749</v>
      </c>
      <c r="AF11" s="357" t="s">
        <v>773</v>
      </c>
      <c r="AG11" s="357" t="s">
        <v>765</v>
      </c>
      <c r="AH11" s="357" t="s">
        <v>766</v>
      </c>
      <c r="AI11" s="357" t="s">
        <v>767</v>
      </c>
      <c r="AJ11" s="357" t="s">
        <v>774</v>
      </c>
    </row>
    <row r="12" spans="1:37" ht="19.350000000000001" customHeight="1">
      <c r="A12" s="297">
        <f>IF(B12="","",2)</f>
        <v>2</v>
      </c>
      <c r="B12" s="2392" t="s">
        <v>800</v>
      </c>
      <c r="C12" s="2392"/>
      <c r="D12" s="2392"/>
      <c r="E12" s="2392"/>
      <c r="F12" s="2392"/>
      <c r="G12" s="2392"/>
      <c r="H12" s="2392"/>
      <c r="I12" s="2393" t="str">
        <f t="shared" si="0"/>
        <v>地域通所介護延長サービス加算1</v>
      </c>
      <c r="J12" s="2394"/>
      <c r="K12" s="2394"/>
      <c r="L12" s="2394"/>
      <c r="M12" s="2394"/>
      <c r="N12" s="2395"/>
      <c r="O12" s="1620">
        <f t="shared" si="1"/>
        <v>50</v>
      </c>
      <c r="P12" s="1621"/>
      <c r="Q12" s="1622"/>
      <c r="R12" s="487">
        <v>20</v>
      </c>
      <c r="S12" s="488" t="str">
        <f t="shared" si="2"/>
        <v>回</v>
      </c>
      <c r="T12" s="2396">
        <f t="shared" si="3"/>
        <v>1000</v>
      </c>
      <c r="U12" s="2396"/>
      <c r="V12" s="2396"/>
      <c r="W12" s="2396"/>
      <c r="X12" s="2396"/>
      <c r="AA12" s="361">
        <f>IF(【マスター】!C74="有",1,0)</f>
        <v>1</v>
      </c>
      <c r="AB12" s="354" t="s">
        <v>775</v>
      </c>
      <c r="AC12" s="354" t="str">
        <f>LEFT(【マスター】!$D$74,3)&amp;"%"</f>
        <v>9.0%</v>
      </c>
      <c r="AD12" s="354">
        <f>AC12*1</f>
        <v>0.09</v>
      </c>
      <c r="AE12" s="302" t="s">
        <v>770</v>
      </c>
      <c r="AF12" s="354" t="s">
        <v>776</v>
      </c>
      <c r="AG12" s="354" t="s">
        <v>777</v>
      </c>
      <c r="AH12" s="354">
        <f>AK12</f>
        <v>270.2</v>
      </c>
      <c r="AI12" s="354" t="s">
        <v>778</v>
      </c>
      <c r="AJ12" s="354"/>
      <c r="AK12" s="508">
        <f>AK14*0.7</f>
        <v>270.2</v>
      </c>
    </row>
    <row r="13" spans="1:37" ht="19.350000000000001" customHeight="1">
      <c r="A13" s="297">
        <f>IF(B13="","",3)</f>
        <v>3</v>
      </c>
      <c r="B13" s="2392" t="s">
        <v>1846</v>
      </c>
      <c r="C13" s="2392"/>
      <c r="D13" s="2392"/>
      <c r="E13" s="2392"/>
      <c r="F13" s="2392"/>
      <c r="G13" s="2392"/>
      <c r="H13" s="2392"/>
      <c r="I13" s="2393" t="str">
        <f t="shared" si="0"/>
        <v>入浴介助加算（Ⅰ）</v>
      </c>
      <c r="J13" s="2394"/>
      <c r="K13" s="2394"/>
      <c r="L13" s="2394"/>
      <c r="M13" s="2394"/>
      <c r="N13" s="2395"/>
      <c r="O13" s="1620">
        <f t="shared" si="1"/>
        <v>40</v>
      </c>
      <c r="P13" s="1621"/>
      <c r="Q13" s="1622"/>
      <c r="R13" s="487">
        <v>20</v>
      </c>
      <c r="S13" s="488" t="str">
        <f t="shared" si="2"/>
        <v>日</v>
      </c>
      <c r="T13" s="2396">
        <f t="shared" si="3"/>
        <v>800</v>
      </c>
      <c r="U13" s="2396"/>
      <c r="V13" s="2396"/>
      <c r="W13" s="2396"/>
      <c r="X13" s="2396"/>
      <c r="AA13" s="361">
        <f>IF(【マスター】!C75="有",1,0)</f>
        <v>0</v>
      </c>
      <c r="AB13" s="354" t="s">
        <v>779</v>
      </c>
      <c r="AC13" s="354" t="str">
        <f>LEFT(【マスター】!$D$75,3)&amp;"%"</f>
        <v>8.0%</v>
      </c>
      <c r="AD13" s="354">
        <f>AC13*1</f>
        <v>0.08</v>
      </c>
      <c r="AE13" s="302" t="s">
        <v>780</v>
      </c>
      <c r="AF13" s="354" t="s">
        <v>781</v>
      </c>
      <c r="AG13" s="354" t="s">
        <v>782</v>
      </c>
      <c r="AH13" s="354">
        <f t="shared" ref="AH13:AH18" si="4">AK13</f>
        <v>368</v>
      </c>
      <c r="AI13" s="354" t="s">
        <v>778</v>
      </c>
      <c r="AJ13" s="354"/>
      <c r="AK13" s="508">
        <v>368</v>
      </c>
    </row>
    <row r="14" spans="1:37" ht="19.350000000000001" customHeight="1">
      <c r="A14" s="297">
        <f>IF(B14="","",4)</f>
        <v>4</v>
      </c>
      <c r="B14" s="2392" t="s">
        <v>1990</v>
      </c>
      <c r="C14" s="2392"/>
      <c r="D14" s="2392"/>
      <c r="E14" s="2392"/>
      <c r="F14" s="2392"/>
      <c r="G14" s="2392"/>
      <c r="H14" s="2392"/>
      <c r="I14" s="2393" t="str">
        <f t="shared" si="0"/>
        <v>生活機能向上連携加算（Ⅰ）※3か月に1回程度</v>
      </c>
      <c r="J14" s="2394"/>
      <c r="K14" s="2394"/>
      <c r="L14" s="2394"/>
      <c r="M14" s="2394"/>
      <c r="N14" s="2395"/>
      <c r="O14" s="1620">
        <f t="shared" si="1"/>
        <v>100</v>
      </c>
      <c r="P14" s="1621"/>
      <c r="Q14" s="1622"/>
      <c r="R14" s="487">
        <v>1</v>
      </c>
      <c r="S14" s="488" t="str">
        <f t="shared" si="2"/>
        <v>月</v>
      </c>
      <c r="T14" s="2396">
        <f t="shared" si="3"/>
        <v>100</v>
      </c>
      <c r="U14" s="2396"/>
      <c r="V14" s="2396"/>
      <c r="W14" s="2396"/>
      <c r="X14" s="2396"/>
      <c r="Z14" s="486">
        <f>IF(B14="","",VLOOKUP(B14,$AF$11:$AK$184,6,FALSE))</f>
        <v>0</v>
      </c>
      <c r="AA14" s="354">
        <f>SUM(AA11:AA13)</f>
        <v>1</v>
      </c>
      <c r="AB14" s="354" t="s">
        <v>788</v>
      </c>
      <c r="AC14" s="354" t="s">
        <v>789</v>
      </c>
      <c r="AD14" s="354">
        <v>0</v>
      </c>
      <c r="AE14" s="302" t="s">
        <v>758</v>
      </c>
      <c r="AF14" s="354" t="s">
        <v>783</v>
      </c>
      <c r="AG14" s="354" t="s">
        <v>784</v>
      </c>
      <c r="AH14" s="354">
        <f t="shared" si="4"/>
        <v>386</v>
      </c>
      <c r="AI14" s="354" t="s">
        <v>778</v>
      </c>
      <c r="AJ14" s="354"/>
      <c r="AK14" s="508">
        <v>386</v>
      </c>
    </row>
    <row r="15" spans="1:37" ht="19.350000000000001" customHeight="1" thickBot="1">
      <c r="A15" s="297">
        <f>IF(B15="","",5)</f>
        <v>5</v>
      </c>
      <c r="B15" s="2392" t="s">
        <v>171</v>
      </c>
      <c r="C15" s="2392"/>
      <c r="D15" s="2392"/>
      <c r="E15" s="2392"/>
      <c r="F15" s="2392"/>
      <c r="G15" s="2392"/>
      <c r="H15" s="2392"/>
      <c r="I15" s="2393" t="str">
        <f t="shared" si="0"/>
        <v>送迎減算※片道につき</v>
      </c>
      <c r="J15" s="2394"/>
      <c r="K15" s="2394"/>
      <c r="L15" s="2394"/>
      <c r="M15" s="2394"/>
      <c r="N15" s="2395"/>
      <c r="O15" s="1620">
        <f t="shared" si="1"/>
        <v>-47</v>
      </c>
      <c r="P15" s="1621"/>
      <c r="Q15" s="1622"/>
      <c r="R15" s="487">
        <v>2</v>
      </c>
      <c r="S15" s="488" t="str">
        <f t="shared" si="2"/>
        <v>回</v>
      </c>
      <c r="T15" s="2396">
        <f t="shared" si="3"/>
        <v>-94</v>
      </c>
      <c r="U15" s="2396"/>
      <c r="V15" s="2396"/>
      <c r="W15" s="2396"/>
      <c r="X15" s="2396"/>
      <c r="Z15" s="486">
        <f>IF(B15="","",VLOOKUP(B15,$AF$11:$AK$184,6,FALSE))</f>
        <v>0</v>
      </c>
      <c r="AD15" s="358">
        <f>VLOOKUP(D8,AB11:AD14,3,FALSE)</f>
        <v>0.09</v>
      </c>
      <c r="AE15" s="302" t="s">
        <v>785</v>
      </c>
      <c r="AF15" s="354" t="s">
        <v>786</v>
      </c>
      <c r="AG15" s="354" t="s">
        <v>787</v>
      </c>
      <c r="AH15" s="354">
        <f t="shared" si="4"/>
        <v>567</v>
      </c>
      <c r="AI15" s="354" t="s">
        <v>778</v>
      </c>
      <c r="AJ15" s="354"/>
      <c r="AK15" s="508">
        <v>567</v>
      </c>
    </row>
    <row r="16" spans="1:37" ht="19.350000000000001" customHeight="1" thickTop="1">
      <c r="A16" s="297">
        <f>IF(B16="","",6)</f>
        <v>6</v>
      </c>
      <c r="B16" s="2392" t="s">
        <v>2080</v>
      </c>
      <c r="C16" s="2392"/>
      <c r="D16" s="2392"/>
      <c r="E16" s="2392"/>
      <c r="F16" s="2392"/>
      <c r="G16" s="2392"/>
      <c r="H16" s="2392"/>
      <c r="I16" s="2393" t="str">
        <f t="shared" si="0"/>
        <v>同一建物減算</v>
      </c>
      <c r="J16" s="2394"/>
      <c r="K16" s="2394"/>
      <c r="L16" s="2394"/>
      <c r="M16" s="2394"/>
      <c r="N16" s="2395"/>
      <c r="O16" s="1620" t="str">
        <f t="shared" si="1"/>
        <v>-94</v>
      </c>
      <c r="P16" s="1621"/>
      <c r="Q16" s="1622"/>
      <c r="R16" s="487">
        <v>1</v>
      </c>
      <c r="S16" s="488" t="str">
        <f t="shared" si="2"/>
        <v>日</v>
      </c>
      <c r="T16" s="2396">
        <f t="shared" si="3"/>
        <v>-94</v>
      </c>
      <c r="U16" s="2396"/>
      <c r="V16" s="2396"/>
      <c r="W16" s="2396"/>
      <c r="X16" s="2396"/>
      <c r="Z16" s="486">
        <f>IF(B16="","",VLOOKUP(B16,$AF$11:$AK$184,6,FALSE))</f>
        <v>0</v>
      </c>
      <c r="AD16" s="359" t="s">
        <v>795</v>
      </c>
      <c r="AE16" s="302" t="s">
        <v>790</v>
      </c>
      <c r="AF16" s="354" t="s">
        <v>791</v>
      </c>
      <c r="AG16" s="354" t="s">
        <v>792</v>
      </c>
      <c r="AH16" s="354">
        <f t="shared" si="4"/>
        <v>581</v>
      </c>
      <c r="AI16" s="354" t="s">
        <v>778</v>
      </c>
      <c r="AJ16" s="354"/>
      <c r="AK16" s="508">
        <v>581</v>
      </c>
    </row>
    <row r="17" spans="1:41" ht="19.350000000000001" customHeight="1">
      <c r="A17" s="297" t="str">
        <f>IF(B17="","",7)</f>
        <v/>
      </c>
      <c r="B17" s="2392"/>
      <c r="C17" s="2392"/>
      <c r="D17" s="2392"/>
      <c r="E17" s="2392"/>
      <c r="F17" s="2392"/>
      <c r="G17" s="2392"/>
      <c r="H17" s="2392"/>
      <c r="I17" s="2393" t="str">
        <f t="shared" si="0"/>
        <v/>
      </c>
      <c r="J17" s="2394"/>
      <c r="K17" s="2394"/>
      <c r="L17" s="2394"/>
      <c r="M17" s="2394"/>
      <c r="N17" s="2395"/>
      <c r="O17" s="1620" t="str">
        <f t="shared" si="1"/>
        <v/>
      </c>
      <c r="P17" s="1621"/>
      <c r="Q17" s="1622"/>
      <c r="R17" s="487"/>
      <c r="S17" s="488" t="str">
        <f t="shared" si="2"/>
        <v/>
      </c>
      <c r="T17" s="2396" t="str">
        <f t="shared" si="3"/>
        <v/>
      </c>
      <c r="U17" s="2396"/>
      <c r="V17" s="2396"/>
      <c r="W17" s="2396"/>
      <c r="X17" s="2396"/>
      <c r="Z17" s="486" t="str">
        <f>IF(B17="","",VLOOKUP(B17,$AF$11:$AK$184,6,FALSE))</f>
        <v/>
      </c>
      <c r="AD17" s="360" t="s">
        <v>799</v>
      </c>
      <c r="AF17" s="354" t="s">
        <v>793</v>
      </c>
      <c r="AG17" s="354" t="s">
        <v>794</v>
      </c>
      <c r="AH17" s="354">
        <f t="shared" si="4"/>
        <v>655</v>
      </c>
      <c r="AI17" s="354" t="s">
        <v>778</v>
      </c>
      <c r="AJ17" s="354"/>
      <c r="AK17" s="508">
        <v>655</v>
      </c>
    </row>
    <row r="18" spans="1:41" ht="19.350000000000001" customHeight="1">
      <c r="A18" s="486"/>
      <c r="B18" s="486"/>
      <c r="C18" s="486"/>
      <c r="D18" s="486"/>
      <c r="E18" s="486"/>
      <c r="F18" s="486"/>
      <c r="G18" s="486"/>
      <c r="H18" s="486"/>
      <c r="I18" s="486"/>
      <c r="J18" s="486"/>
      <c r="K18" s="486"/>
      <c r="L18" s="486"/>
      <c r="M18" s="486"/>
      <c r="N18" s="486"/>
      <c r="O18" s="2410" t="s">
        <v>798</v>
      </c>
      <c r="P18" s="2410"/>
      <c r="Q18" s="2410"/>
      <c r="R18" s="2410"/>
      <c r="S18" s="2410"/>
      <c r="T18" s="2426">
        <f>IF(T11="","",SUM(T11:X17))</f>
        <v>21692</v>
      </c>
      <c r="U18" s="2427"/>
      <c r="V18" s="2427"/>
      <c r="W18" s="2427"/>
      <c r="X18" s="2427"/>
      <c r="AA18" s="356" t="s">
        <v>805</v>
      </c>
      <c r="AB18" s="311"/>
      <c r="AC18" s="311"/>
      <c r="AF18" s="354" t="s">
        <v>796</v>
      </c>
      <c r="AG18" s="354" t="s">
        <v>797</v>
      </c>
      <c r="AH18" s="354">
        <f t="shared" si="4"/>
        <v>666</v>
      </c>
      <c r="AI18" s="354" t="s">
        <v>778</v>
      </c>
      <c r="AJ18" s="354"/>
      <c r="AK18" s="508">
        <v>666</v>
      </c>
    </row>
    <row r="19" spans="1:41" ht="19.350000000000001" customHeight="1">
      <c r="A19" s="489" t="s">
        <v>801</v>
      </c>
      <c r="B19" s="489"/>
      <c r="C19" s="489"/>
      <c r="D19" s="489"/>
      <c r="E19" s="489" t="s">
        <v>802</v>
      </c>
      <c r="F19" s="489"/>
      <c r="G19" s="489"/>
      <c r="H19" s="489" t="s">
        <v>384</v>
      </c>
      <c r="I19" s="489"/>
      <c r="J19" s="489"/>
      <c r="K19" s="489" t="s">
        <v>386</v>
      </c>
      <c r="L19" s="489"/>
      <c r="M19" s="489"/>
      <c r="N19" s="489" t="s">
        <v>388</v>
      </c>
      <c r="O19" s="489"/>
      <c r="P19" s="489"/>
      <c r="Q19" s="489" t="s">
        <v>390</v>
      </c>
      <c r="R19" s="489"/>
      <c r="S19" s="489"/>
      <c r="T19" s="489" t="s">
        <v>481</v>
      </c>
      <c r="U19" s="489"/>
      <c r="V19" s="489"/>
      <c r="W19" s="489"/>
      <c r="X19" s="489"/>
      <c r="AA19" s="361">
        <f>IF(【マスター】!C57="有",1,0)</f>
        <v>0</v>
      </c>
      <c r="AB19" s="927" t="s">
        <v>1858</v>
      </c>
      <c r="AC19" s="954" t="str">
        <f>ASC(【マスター】!D57)</f>
        <v>22</v>
      </c>
      <c r="AD19" s="311"/>
      <c r="AF19" s="906" t="s">
        <v>1952</v>
      </c>
      <c r="AG19" s="892" t="s">
        <v>1953</v>
      </c>
      <c r="AH19" s="892">
        <v>50</v>
      </c>
      <c r="AI19" s="354" t="s">
        <v>778</v>
      </c>
      <c r="AJ19" s="892"/>
      <c r="AK19" s="508">
        <f>AK18+50</f>
        <v>716</v>
      </c>
    </row>
    <row r="20" spans="1:41" s="311" customFormat="1" ht="19.350000000000001" customHeight="1">
      <c r="A20" s="1597" t="s">
        <v>806</v>
      </c>
      <c r="B20" s="1699"/>
      <c r="C20" s="1700"/>
      <c r="D20" s="1603" t="s">
        <v>807</v>
      </c>
      <c r="E20" s="1610" t="s">
        <v>769</v>
      </c>
      <c r="F20" s="1611"/>
      <c r="G20" s="1612"/>
      <c r="H20" s="1604" t="s">
        <v>808</v>
      </c>
      <c r="I20" s="1605"/>
      <c r="J20" s="1606"/>
      <c r="K20" s="1604" t="s">
        <v>2030</v>
      </c>
      <c r="L20" s="1605"/>
      <c r="M20" s="1606"/>
      <c r="N20" s="1604" t="s">
        <v>2003</v>
      </c>
      <c r="O20" s="1605"/>
      <c r="P20" s="1605"/>
      <c r="Q20" s="1626" t="s">
        <v>2004</v>
      </c>
      <c r="R20" s="1627"/>
      <c r="S20" s="1628"/>
      <c r="T20" s="1632" t="s">
        <v>2005</v>
      </c>
      <c r="U20" s="2387"/>
      <c r="V20" s="1634"/>
      <c r="W20" s="1720" t="s">
        <v>2031</v>
      </c>
      <c r="X20" s="1721"/>
      <c r="Z20" s="489"/>
      <c r="AA20" s="361">
        <f>IF(【マスター】!C58="有",1,0)</f>
        <v>0</v>
      </c>
      <c r="AB20" s="928" t="s">
        <v>1860</v>
      </c>
      <c r="AC20" s="954" t="str">
        <f>ASC(【マスター】!D58)</f>
        <v>18</v>
      </c>
      <c r="AD20" s="302"/>
      <c r="AE20" s="302"/>
      <c r="AF20" s="906" t="s">
        <v>1954</v>
      </c>
      <c r="AG20" s="892" t="s">
        <v>1955</v>
      </c>
      <c r="AH20" s="892">
        <v>100</v>
      </c>
      <c r="AI20" s="354" t="s">
        <v>778</v>
      </c>
      <c r="AJ20" s="892"/>
      <c r="AK20" s="508">
        <f t="shared" ref="AK20:AK23" si="5">AK19+50</f>
        <v>766</v>
      </c>
    </row>
    <row r="21" spans="1:41" ht="19.350000000000001" customHeight="1">
      <c r="A21" s="1701"/>
      <c r="B21" s="1702"/>
      <c r="C21" s="1703"/>
      <c r="D21" s="1603"/>
      <c r="E21" s="1607" t="str">
        <f>"("&amp;IF(AA14=0,AB14,VLOOKUP(1,AA11:AC13,3,FALSE))&amp;")"</f>
        <v>(9.0%)</v>
      </c>
      <c r="F21" s="1608"/>
      <c r="G21" s="1609"/>
      <c r="H21" s="1607" t="str">
        <f>"("&amp;IF(AA44=0,AB44,VLOOKUP(1,AA42:AC43,3,FALSE))&amp;")"</f>
        <v>(算定なし)</v>
      </c>
      <c r="I21" s="1608"/>
      <c r="J21" s="1609"/>
      <c r="K21" s="1607" t="str">
        <f>"("&amp;IF(AA51=0,AB51,VLOOKUP(1,AA50:AC51,3,FALSE))&amp;")"</f>
        <v>(算定なし)</v>
      </c>
      <c r="L21" s="1608"/>
      <c r="M21" s="1609"/>
      <c r="N21" s="1607" t="str">
        <f>IF(O8="算定なし","算定なし","("&amp;VLOOKUP(O8,AB19:AC22,2,FALSE)&amp;"単位/回"&amp;")")</f>
        <v>算定なし</v>
      </c>
      <c r="O21" s="1608"/>
      <c r="P21" s="1609"/>
      <c r="Q21" s="1629"/>
      <c r="R21" s="1630"/>
      <c r="S21" s="1631"/>
      <c r="T21" s="1635"/>
      <c r="U21" s="1636"/>
      <c r="V21" s="1637"/>
      <c r="W21" s="1720"/>
      <c r="X21" s="1721"/>
      <c r="AA21" s="361">
        <f>IF(【マスター】!C59="有",1,0)</f>
        <v>0</v>
      </c>
      <c r="AB21" s="927" t="s">
        <v>1859</v>
      </c>
      <c r="AC21" s="954" t="str">
        <f>ASC(【マスター】!D59)</f>
        <v>6</v>
      </c>
      <c r="AF21" s="906" t="s">
        <v>1956</v>
      </c>
      <c r="AG21" s="892" t="s">
        <v>1957</v>
      </c>
      <c r="AH21" s="892">
        <v>150</v>
      </c>
      <c r="AI21" s="354" t="s">
        <v>778</v>
      </c>
      <c r="AJ21" s="907"/>
      <c r="AK21" s="508">
        <f t="shared" si="5"/>
        <v>816</v>
      </c>
    </row>
    <row r="22" spans="1:41" ht="19.350000000000001" customHeight="1">
      <c r="A22" s="1704">
        <f>IF(T18="","",IF(T18&gt;AC30,AC30,T18))</f>
        <v>16765</v>
      </c>
      <c r="B22" s="1705"/>
      <c r="C22" s="1705"/>
      <c r="D22" s="1603"/>
      <c r="E22" s="1619">
        <f>IF(T18="","",ROUND(A22*AD15,0))</f>
        <v>1509</v>
      </c>
      <c r="F22" s="1619"/>
      <c r="G22" s="1619"/>
      <c r="H22" s="1620">
        <f>IF(T18="","",ROUND(A22*AD45,0))</f>
        <v>0</v>
      </c>
      <c r="I22" s="1621"/>
      <c r="J22" s="1622"/>
      <c r="K22" s="1620">
        <f>IF(T18="","",ROUND(A22*AD52,0))</f>
        <v>0</v>
      </c>
      <c r="L22" s="1621"/>
      <c r="M22" s="1622"/>
      <c r="N22" s="1620">
        <f>IF(B11="","",IF(O8=AB22,0,AB23))</f>
        <v>0</v>
      </c>
      <c r="O22" s="1621"/>
      <c r="P22" s="1622"/>
      <c r="Q22" s="1620">
        <f>IF(R8="有",AG7*0.05,0)</f>
        <v>0</v>
      </c>
      <c r="R22" s="1621"/>
      <c r="S22" s="1622"/>
      <c r="T22" s="1620">
        <f ca="1">IF(U8="有",AG6*0.03,0)</f>
        <v>599.4</v>
      </c>
      <c r="U22" s="1621"/>
      <c r="V22" s="1622"/>
      <c r="W22" s="1720"/>
      <c r="X22" s="1721"/>
      <c r="AA22" s="354">
        <f>SUM(AA19:AA21)</f>
        <v>0</v>
      </c>
      <c r="AB22" s="354" t="s">
        <v>788</v>
      </c>
      <c r="AC22" s="354">
        <v>0</v>
      </c>
      <c r="AD22" s="363"/>
      <c r="AF22" s="906" t="s">
        <v>1958</v>
      </c>
      <c r="AG22" s="892" t="s">
        <v>1959</v>
      </c>
      <c r="AH22" s="892">
        <v>200</v>
      </c>
      <c r="AI22" s="354" t="s">
        <v>778</v>
      </c>
      <c r="AJ22" s="892"/>
      <c r="AK22" s="508">
        <f t="shared" si="5"/>
        <v>866</v>
      </c>
    </row>
    <row r="23" spans="1:41" ht="19.350000000000001" customHeight="1">
      <c r="A23" s="489" t="s">
        <v>483</v>
      </c>
      <c r="B23" s="489"/>
      <c r="C23" s="489"/>
      <c r="D23" s="930"/>
      <c r="E23" s="930"/>
      <c r="F23" s="930"/>
      <c r="G23" s="930"/>
      <c r="H23" s="930"/>
      <c r="I23" s="930"/>
      <c r="J23" s="930" t="s">
        <v>2032</v>
      </c>
      <c r="K23" s="930"/>
      <c r="L23" s="930"/>
      <c r="M23" s="930"/>
      <c r="N23" s="486"/>
      <c r="X23" s="783"/>
      <c r="AB23" s="486">
        <f ca="1">AC23*AG5</f>
        <v>0</v>
      </c>
      <c r="AC23" s="501">
        <f>VLOOKUP(O8,AB19:AC22,2,FALSE)</f>
        <v>0</v>
      </c>
      <c r="AF23" s="906" t="s">
        <v>1960</v>
      </c>
      <c r="AG23" s="892" t="s">
        <v>1961</v>
      </c>
      <c r="AH23" s="892">
        <v>250</v>
      </c>
      <c r="AI23" s="354" t="s">
        <v>778</v>
      </c>
      <c r="AJ23" s="892"/>
      <c r="AK23" s="508">
        <f t="shared" si="5"/>
        <v>916</v>
      </c>
    </row>
    <row r="24" spans="1:41" s="363" customFormat="1" ht="19.350000000000001" customHeight="1">
      <c r="A24" s="1597" t="s">
        <v>2006</v>
      </c>
      <c r="B24" s="1598"/>
      <c r="C24" s="1598"/>
      <c r="D24" s="1599"/>
      <c r="E24" s="1603" t="s">
        <v>810</v>
      </c>
      <c r="F24" s="1604" t="s">
        <v>504</v>
      </c>
      <c r="G24" s="1605"/>
      <c r="H24" s="1606"/>
      <c r="I24" s="1603" t="s">
        <v>809</v>
      </c>
      <c r="J24" s="1610" t="s">
        <v>811</v>
      </c>
      <c r="K24" s="1611"/>
      <c r="L24" s="1612"/>
      <c r="M24" s="929"/>
      <c r="N24" s="486"/>
      <c r="X24" s="783"/>
      <c r="Z24" s="490"/>
      <c r="AA24" s="356"/>
      <c r="AB24" s="302"/>
      <c r="AC24" s="302"/>
      <c r="AD24" s="302"/>
      <c r="AE24" s="302"/>
      <c r="AF24" s="906" t="s">
        <v>1861</v>
      </c>
      <c r="AG24" s="892" t="s">
        <v>1861</v>
      </c>
      <c r="AH24" s="892">
        <v>40</v>
      </c>
      <c r="AI24" s="892" t="s">
        <v>1906</v>
      </c>
      <c r="AJ24" s="892"/>
    </row>
    <row r="25" spans="1:41" ht="19.350000000000001" customHeight="1">
      <c r="A25" s="1600"/>
      <c r="B25" s="1601"/>
      <c r="C25" s="1601"/>
      <c r="D25" s="1602"/>
      <c r="E25" s="1603"/>
      <c r="F25" s="1607"/>
      <c r="G25" s="1608"/>
      <c r="H25" s="1609"/>
      <c r="I25" s="1603"/>
      <c r="J25" s="1607" t="s">
        <v>812</v>
      </c>
      <c r="K25" s="1608"/>
      <c r="L25" s="1609"/>
      <c r="M25" s="929"/>
      <c r="N25" s="486"/>
      <c r="X25" s="783"/>
      <c r="AA25" s="356"/>
      <c r="AB25" s="354" t="s">
        <v>770</v>
      </c>
      <c r="AC25" s="364">
        <f>【マスター】!Q37</f>
        <v>16765</v>
      </c>
      <c r="AF25" s="906" t="s">
        <v>1862</v>
      </c>
      <c r="AG25" s="892" t="s">
        <v>1862</v>
      </c>
      <c r="AH25" s="892">
        <v>55</v>
      </c>
      <c r="AI25" s="892" t="s">
        <v>1906</v>
      </c>
      <c r="AJ25" s="892"/>
      <c r="AK25" s="363"/>
      <c r="AL25" s="363"/>
      <c r="AM25" s="363"/>
      <c r="AN25" s="363"/>
    </row>
    <row r="26" spans="1:41" ht="19.350000000000001" customHeight="1">
      <c r="A26" s="1613">
        <f ca="1">IF(T18="","",A22+E22+H22+K22+N22+Q22+T22)</f>
        <v>18873.400000000001</v>
      </c>
      <c r="B26" s="1614"/>
      <c r="C26" s="1614"/>
      <c r="D26" s="1615"/>
      <c r="E26" s="1603"/>
      <c r="F26" s="2397">
        <f>【マスター】!F39</f>
        <v>10.14</v>
      </c>
      <c r="G26" s="2397"/>
      <c r="H26" s="2397"/>
      <c r="I26" s="1603"/>
      <c r="J26" s="1619">
        <f ca="1">IF(T18="","",ROUNDDOWN(A26*F26,0))</f>
        <v>191376</v>
      </c>
      <c r="K26" s="1619"/>
      <c r="L26" s="1619"/>
      <c r="M26" s="929"/>
      <c r="N26" s="486"/>
      <c r="X26" s="783"/>
      <c r="AA26" s="356"/>
      <c r="AB26" s="354" t="s">
        <v>780</v>
      </c>
      <c r="AC26" s="364">
        <f>【マスター】!Q38</f>
        <v>19705</v>
      </c>
      <c r="AF26" s="906" t="s">
        <v>817</v>
      </c>
      <c r="AG26" s="892" t="s">
        <v>817</v>
      </c>
      <c r="AH26" s="899">
        <v>45</v>
      </c>
      <c r="AI26" s="892" t="s">
        <v>778</v>
      </c>
      <c r="AJ26" s="899"/>
    </row>
    <row r="27" spans="1:41" ht="19.350000000000001" customHeight="1" thickBot="1">
      <c r="A27" s="489" t="s">
        <v>1181</v>
      </c>
      <c r="B27" s="489"/>
      <c r="C27" s="489"/>
      <c r="D27" s="489"/>
      <c r="E27" s="489"/>
      <c r="F27" s="489"/>
      <c r="G27" s="489"/>
      <c r="H27" s="489"/>
      <c r="I27" s="489" t="s">
        <v>2016</v>
      </c>
      <c r="J27" s="489"/>
      <c r="K27" s="489"/>
      <c r="L27" s="489"/>
      <c r="M27" s="490"/>
      <c r="N27" s="363"/>
      <c r="O27" s="489" t="s">
        <v>2016</v>
      </c>
      <c r="P27" s="489"/>
      <c r="Q27" s="489"/>
      <c r="R27" s="490"/>
      <c r="S27" s="490"/>
      <c r="T27" s="490"/>
      <c r="U27" s="490"/>
      <c r="V27" s="490"/>
      <c r="W27" s="490"/>
      <c r="X27" s="490"/>
      <c r="AB27" s="354" t="s">
        <v>758</v>
      </c>
      <c r="AC27" s="364">
        <f>【マスター】!Q39</f>
        <v>27048</v>
      </c>
      <c r="AF27" s="906" t="s">
        <v>1863</v>
      </c>
      <c r="AG27" s="906" t="s">
        <v>1962</v>
      </c>
      <c r="AH27" s="892">
        <v>100</v>
      </c>
      <c r="AI27" s="892" t="s">
        <v>818</v>
      </c>
      <c r="AJ27" s="912" t="s">
        <v>1963</v>
      </c>
    </row>
    <row r="28" spans="1:41" ht="19.350000000000001" customHeight="1">
      <c r="A28" s="1604" t="s">
        <v>811</v>
      </c>
      <c r="B28" s="1605"/>
      <c r="C28" s="1606"/>
      <c r="D28" s="1603" t="s">
        <v>810</v>
      </c>
      <c r="E28" s="1604" t="s">
        <v>815</v>
      </c>
      <c r="F28" s="1605"/>
      <c r="G28" s="1606"/>
      <c r="H28" s="1603" t="s">
        <v>809</v>
      </c>
      <c r="I28" s="2399" t="s">
        <v>816</v>
      </c>
      <c r="J28" s="2399"/>
      <c r="K28" s="2399"/>
      <c r="L28" s="2399"/>
      <c r="M28" s="503"/>
      <c r="O28" s="2400" t="s">
        <v>2034</v>
      </c>
      <c r="P28" s="2401"/>
      <c r="Q28" s="2401"/>
      <c r="R28" s="2401"/>
      <c r="S28" s="2401"/>
      <c r="T28" s="2401"/>
      <c r="U28" s="2401"/>
      <c r="V28" s="2401"/>
      <c r="W28" s="2401"/>
      <c r="X28" s="2402"/>
      <c r="AB28" s="354" t="s">
        <v>785</v>
      </c>
      <c r="AC28" s="364">
        <f>【マスター】!Q40</f>
        <v>30938</v>
      </c>
      <c r="AF28" s="906" t="s">
        <v>1864</v>
      </c>
      <c r="AG28" s="906" t="s">
        <v>1864</v>
      </c>
      <c r="AH28" s="892">
        <v>200</v>
      </c>
      <c r="AI28" s="892" t="s">
        <v>818</v>
      </c>
      <c r="AJ28" s="892"/>
    </row>
    <row r="29" spans="1:41" ht="19.350000000000001" customHeight="1">
      <c r="A29" s="1607" t="s">
        <v>812</v>
      </c>
      <c r="B29" s="1608"/>
      <c r="C29" s="1609"/>
      <c r="D29" s="1603"/>
      <c r="E29" s="1607" t="str">
        <f>IF(AB2="","",VLOOKUP(AB2,AB5:AD8,2,FALSE))</f>
        <v>９割</v>
      </c>
      <c r="F29" s="1608"/>
      <c r="G29" s="1609"/>
      <c r="H29" s="1603"/>
      <c r="I29" s="2399"/>
      <c r="J29" s="2399"/>
      <c r="K29" s="2399"/>
      <c r="L29" s="2399"/>
      <c r="M29" s="504"/>
      <c r="O29" s="2403">
        <f ca="1">IF(T18="","",IF(AC33&gt;0,A30-I30+(AC33+AC33*AD15+AC33*AD45)*10,A30-I30))</f>
        <v>72842.3</v>
      </c>
      <c r="P29" s="2404"/>
      <c r="Q29" s="2404"/>
      <c r="R29" s="2404"/>
      <c r="S29" s="2404"/>
      <c r="T29" s="2404"/>
      <c r="U29" s="2404"/>
      <c r="V29" s="2404"/>
      <c r="W29" s="2404"/>
      <c r="X29" s="2405"/>
      <c r="AB29" s="354" t="s">
        <v>790</v>
      </c>
      <c r="AC29" s="364">
        <f>【マスター】!Q41</f>
        <v>36217</v>
      </c>
      <c r="AF29" s="906" t="s">
        <v>1865</v>
      </c>
      <c r="AG29" s="906" t="s">
        <v>1865</v>
      </c>
      <c r="AH29" s="892">
        <v>56</v>
      </c>
      <c r="AI29" s="892" t="s">
        <v>820</v>
      </c>
      <c r="AJ29" s="892"/>
      <c r="AL29" s="354"/>
      <c r="AM29" s="354"/>
    </row>
    <row r="30" spans="1:41" ht="19.350000000000001" customHeight="1" thickBot="1">
      <c r="A30" s="2398">
        <f ca="1">J26</f>
        <v>191376</v>
      </c>
      <c r="B30" s="2398"/>
      <c r="C30" s="2398"/>
      <c r="D30" s="1603"/>
      <c r="E30" s="1705">
        <f>IF(AB2="","",VLOOKUP(AB2,AB5:AD8,3,FALSE))</f>
        <v>0.9</v>
      </c>
      <c r="F30" s="1705"/>
      <c r="G30" s="1705"/>
      <c r="H30" s="1603"/>
      <c r="I30" s="2398">
        <f ca="1">IF(T18="","",ROUNDDOWN(A30*E30,0))</f>
        <v>172238</v>
      </c>
      <c r="J30" s="2398"/>
      <c r="K30" s="2398"/>
      <c r="L30" s="2398"/>
      <c r="M30" s="504"/>
      <c r="O30" s="2406"/>
      <c r="P30" s="2407"/>
      <c r="Q30" s="2407"/>
      <c r="R30" s="2407"/>
      <c r="S30" s="2407"/>
      <c r="T30" s="2407"/>
      <c r="U30" s="2407"/>
      <c r="V30" s="2407"/>
      <c r="W30" s="2407"/>
      <c r="X30" s="2408"/>
      <c r="AC30" s="512">
        <f>VLOOKUP(A7,AB25:AC29,2,FALSE)</f>
        <v>16765</v>
      </c>
      <c r="AF30" s="906" t="s">
        <v>1866</v>
      </c>
      <c r="AG30" s="906" t="s">
        <v>1866</v>
      </c>
      <c r="AH30" s="892">
        <v>85</v>
      </c>
      <c r="AI30" s="892" t="s">
        <v>888</v>
      </c>
      <c r="AJ30" s="892"/>
      <c r="AL30" s="948" t="s">
        <v>2076</v>
      </c>
      <c r="AM30" s="948" t="s">
        <v>2074</v>
      </c>
    </row>
    <row r="31" spans="1:41" ht="19.350000000000001" customHeight="1">
      <c r="A31" s="486" t="s">
        <v>819</v>
      </c>
      <c r="B31" s="486"/>
      <c r="C31" s="486"/>
      <c r="D31" s="486"/>
      <c r="E31" s="486"/>
      <c r="F31" s="486"/>
      <c r="G31" s="486"/>
      <c r="H31" s="486"/>
      <c r="I31" s="486"/>
      <c r="J31" s="486"/>
      <c r="K31" s="486"/>
      <c r="L31" s="486"/>
      <c r="M31" s="486"/>
      <c r="N31" s="486"/>
      <c r="O31" s="486"/>
      <c r="P31" s="486"/>
      <c r="Q31" s="486"/>
      <c r="R31" s="486"/>
      <c r="S31" s="486"/>
      <c r="T31" s="486"/>
      <c r="V31" s="486"/>
      <c r="W31" s="486"/>
      <c r="X31" s="486"/>
      <c r="AC31" s="359" t="s">
        <v>795</v>
      </c>
      <c r="AF31" s="906" t="s">
        <v>823</v>
      </c>
      <c r="AG31" s="906" t="s">
        <v>823</v>
      </c>
      <c r="AH31" s="892">
        <v>20</v>
      </c>
      <c r="AI31" s="892" t="s">
        <v>818</v>
      </c>
      <c r="AJ31" s="892"/>
      <c r="AL31" s="354" t="s">
        <v>2064</v>
      </c>
      <c r="AM31" s="941">
        <f>【マスター】!J39</f>
        <v>3500</v>
      </c>
      <c r="AN31" s="302" t="s">
        <v>2065</v>
      </c>
      <c r="AO31" s="946" t="s">
        <v>2072</v>
      </c>
    </row>
    <row r="32" spans="1:41" ht="19.350000000000001" customHeight="1">
      <c r="A32" s="557" t="s">
        <v>763</v>
      </c>
      <c r="B32" s="2383" t="s">
        <v>764</v>
      </c>
      <c r="C32" s="2384"/>
      <c r="D32" s="2384"/>
      <c r="E32" s="2384"/>
      <c r="F32" s="2384"/>
      <c r="G32" s="2384"/>
      <c r="H32" s="2384"/>
      <c r="I32" s="2384"/>
      <c r="J32" s="2384"/>
      <c r="K32" s="2384"/>
      <c r="L32" s="2384"/>
      <c r="M32" s="2384"/>
      <c r="N32" s="2385"/>
      <c r="O32" s="2383" t="s">
        <v>821</v>
      </c>
      <c r="P32" s="2384"/>
      <c r="Q32" s="2385"/>
      <c r="R32" s="2386" t="s">
        <v>767</v>
      </c>
      <c r="S32" s="2386"/>
      <c r="T32" s="2386" t="s">
        <v>822</v>
      </c>
      <c r="U32" s="2386"/>
      <c r="V32" s="2386"/>
      <c r="W32" s="2386"/>
      <c r="X32" s="2386"/>
      <c r="AC32" s="360" t="s">
        <v>830</v>
      </c>
      <c r="AF32" s="906" t="s">
        <v>208</v>
      </c>
      <c r="AG32" s="906" t="s">
        <v>208</v>
      </c>
      <c r="AH32" s="892">
        <v>30</v>
      </c>
      <c r="AI32" s="892" t="s">
        <v>818</v>
      </c>
      <c r="AJ32" s="892"/>
      <c r="AL32" s="354" t="s">
        <v>2066</v>
      </c>
      <c r="AM32" s="941">
        <f>【マスター】!J40</f>
        <v>3500</v>
      </c>
      <c r="AN32" s="302" t="s">
        <v>2065</v>
      </c>
      <c r="AO32" s="946" t="s">
        <v>2072</v>
      </c>
    </row>
    <row r="33" spans="1:41" ht="19.350000000000001" customHeight="1" thickBot="1">
      <c r="A33" s="297">
        <f>IF(B33="","",1)</f>
        <v>1</v>
      </c>
      <c r="B33" s="2376" t="s">
        <v>188</v>
      </c>
      <c r="C33" s="2377"/>
      <c r="D33" s="2377"/>
      <c r="E33" s="2377"/>
      <c r="F33" s="2377"/>
      <c r="G33" s="2377"/>
      <c r="H33" s="2377"/>
      <c r="I33" s="2377"/>
      <c r="J33" s="2377"/>
      <c r="K33" s="2377"/>
      <c r="L33" s="2377"/>
      <c r="M33" s="2377"/>
      <c r="N33" s="2378"/>
      <c r="O33" s="2379">
        <f>IF(B33="","",VLOOKUP(B33,$AL$31:$AN$40,2,FALSE))</f>
        <v>0</v>
      </c>
      <c r="P33" s="2380"/>
      <c r="Q33" s="2381"/>
      <c r="R33" s="487">
        <v>3</v>
      </c>
      <c r="S33" s="488" t="str">
        <f>IF(B33="","",VLOOKUP(B33,$AL$31:$AN$40,3,FALSE))</f>
        <v>食</v>
      </c>
      <c r="T33" s="2382">
        <f t="shared" ref="T33:T40" si="6">IF(B33="","",O33*R33)</f>
        <v>0</v>
      </c>
      <c r="U33" s="2382"/>
      <c r="V33" s="2382"/>
      <c r="W33" s="2382"/>
      <c r="X33" s="2382"/>
      <c r="AC33" s="365">
        <f>IF(T18="","",IF(AC30&gt;T18,0,T18-AC30))</f>
        <v>4927</v>
      </c>
      <c r="AF33" s="906" t="s">
        <v>209</v>
      </c>
      <c r="AG33" s="906" t="s">
        <v>209</v>
      </c>
      <c r="AH33" s="892">
        <v>60</v>
      </c>
      <c r="AI33" s="892" t="s">
        <v>818</v>
      </c>
      <c r="AJ33" s="892"/>
      <c r="AL33" s="354" t="s">
        <v>1641</v>
      </c>
      <c r="AM33" s="941">
        <f>【マスター】!J41</f>
        <v>0</v>
      </c>
      <c r="AN33" s="302" t="s">
        <v>2065</v>
      </c>
      <c r="AO33" s="946" t="s">
        <v>2072</v>
      </c>
    </row>
    <row r="34" spans="1:41" ht="19.350000000000001" customHeight="1" thickTop="1">
      <c r="A34" s="297" t="str">
        <f>IF(B34="","",2)</f>
        <v/>
      </c>
      <c r="B34" s="2376"/>
      <c r="C34" s="2377"/>
      <c r="D34" s="2377"/>
      <c r="E34" s="2377"/>
      <c r="F34" s="2377"/>
      <c r="G34" s="2377"/>
      <c r="H34" s="2377"/>
      <c r="I34" s="2377"/>
      <c r="J34" s="2377"/>
      <c r="K34" s="2377"/>
      <c r="L34" s="2377"/>
      <c r="M34" s="2377"/>
      <c r="N34" s="2378"/>
      <c r="O34" s="2379" t="str">
        <f t="shared" ref="O34:O40" si="7">IF(B34="","",VLOOKUP(B34,$AL$31:$AN$40,2,FALSE))</f>
        <v/>
      </c>
      <c r="P34" s="2380"/>
      <c r="Q34" s="2381"/>
      <c r="R34" s="487"/>
      <c r="S34" s="488" t="str">
        <f t="shared" ref="S34:S40" si="8">IF(B34="","",VLOOKUP(B34,$AL$31:$AN$40,3,FALSE))</f>
        <v/>
      </c>
      <c r="T34" s="2382" t="str">
        <f t="shared" si="6"/>
        <v/>
      </c>
      <c r="U34" s="2382"/>
      <c r="V34" s="2382"/>
      <c r="W34" s="2382"/>
      <c r="X34" s="2382"/>
      <c r="AC34" s="359" t="s">
        <v>795</v>
      </c>
      <c r="AF34" s="906" t="s">
        <v>1867</v>
      </c>
      <c r="AG34" s="906" t="s">
        <v>1867</v>
      </c>
      <c r="AH34" s="892">
        <v>3</v>
      </c>
      <c r="AI34" s="892" t="s">
        <v>1907</v>
      </c>
      <c r="AJ34" s="892"/>
      <c r="AL34" s="354" t="s">
        <v>2067</v>
      </c>
      <c r="AM34" s="941">
        <f>【マスター】!J42</f>
        <v>300</v>
      </c>
      <c r="AN34" s="302" t="s">
        <v>829</v>
      </c>
      <c r="AO34" s="946" t="s">
        <v>2072</v>
      </c>
    </row>
    <row r="35" spans="1:41" ht="19.350000000000001" customHeight="1">
      <c r="A35" s="297" t="str">
        <f>IF(B35="","",3)</f>
        <v/>
      </c>
      <c r="B35" s="2376"/>
      <c r="C35" s="2377"/>
      <c r="D35" s="2377"/>
      <c r="E35" s="2377"/>
      <c r="F35" s="2377"/>
      <c r="G35" s="2377"/>
      <c r="H35" s="2377"/>
      <c r="I35" s="2377"/>
      <c r="J35" s="2377"/>
      <c r="K35" s="2377"/>
      <c r="L35" s="2377"/>
      <c r="M35" s="2377"/>
      <c r="N35" s="2378"/>
      <c r="O35" s="2379" t="str">
        <f t="shared" si="7"/>
        <v/>
      </c>
      <c r="P35" s="2380"/>
      <c r="Q35" s="2381"/>
      <c r="R35" s="487"/>
      <c r="S35" s="488" t="str">
        <f t="shared" si="8"/>
        <v/>
      </c>
      <c r="T35" s="2382" t="str">
        <f t="shared" si="6"/>
        <v/>
      </c>
      <c r="U35" s="2382"/>
      <c r="V35" s="2382"/>
      <c r="W35" s="2382"/>
      <c r="X35" s="2382"/>
      <c r="AC35" s="360" t="s">
        <v>835</v>
      </c>
      <c r="AF35" s="906" t="s">
        <v>826</v>
      </c>
      <c r="AG35" s="906" t="s">
        <v>826</v>
      </c>
      <c r="AH35" s="892">
        <v>60</v>
      </c>
      <c r="AI35" s="892" t="s">
        <v>820</v>
      </c>
      <c r="AJ35" s="892"/>
      <c r="AL35" s="354" t="s">
        <v>188</v>
      </c>
      <c r="AM35" s="941">
        <f>【マスター】!J43</f>
        <v>0</v>
      </c>
      <c r="AN35" s="302" t="s">
        <v>824</v>
      </c>
      <c r="AO35" s="946" t="s">
        <v>2072</v>
      </c>
    </row>
    <row r="36" spans="1:41" ht="19.350000000000001" customHeight="1">
      <c r="A36" s="297" t="str">
        <f>IF(B36="","",4)</f>
        <v/>
      </c>
      <c r="B36" s="2376"/>
      <c r="C36" s="2377"/>
      <c r="D36" s="2377"/>
      <c r="E36" s="2377"/>
      <c r="F36" s="2377"/>
      <c r="G36" s="2377"/>
      <c r="H36" s="2377"/>
      <c r="I36" s="2377"/>
      <c r="J36" s="2377"/>
      <c r="K36" s="2377"/>
      <c r="L36" s="2377"/>
      <c r="M36" s="2377"/>
      <c r="N36" s="2378"/>
      <c r="O36" s="2379" t="str">
        <f t="shared" si="7"/>
        <v/>
      </c>
      <c r="P36" s="2380"/>
      <c r="Q36" s="2381"/>
      <c r="R36" s="487"/>
      <c r="S36" s="488" t="str">
        <f t="shared" si="8"/>
        <v/>
      </c>
      <c r="T36" s="2382" t="str">
        <f t="shared" si="6"/>
        <v/>
      </c>
      <c r="U36" s="2382"/>
      <c r="V36" s="2382"/>
      <c r="W36" s="2382"/>
      <c r="X36" s="2382"/>
      <c r="AF36" s="906" t="s">
        <v>828</v>
      </c>
      <c r="AG36" s="906" t="s">
        <v>828</v>
      </c>
      <c r="AH36" s="892">
        <v>60</v>
      </c>
      <c r="AI36" s="892" t="s">
        <v>820</v>
      </c>
      <c r="AJ36" s="892"/>
      <c r="AL36" s="354" t="s">
        <v>190</v>
      </c>
      <c r="AM36" s="941">
        <f>【マスター】!J44</f>
        <v>570</v>
      </c>
      <c r="AN36" s="302" t="s">
        <v>824</v>
      </c>
      <c r="AO36" s="946" t="s">
        <v>2072</v>
      </c>
    </row>
    <row r="37" spans="1:41" ht="19.350000000000001" customHeight="1">
      <c r="A37" s="297" t="str">
        <f>IF(B37="","",5)</f>
        <v/>
      </c>
      <c r="B37" s="2376"/>
      <c r="C37" s="2377"/>
      <c r="D37" s="2377"/>
      <c r="E37" s="2377"/>
      <c r="F37" s="2377"/>
      <c r="G37" s="2377"/>
      <c r="H37" s="2377"/>
      <c r="I37" s="2377"/>
      <c r="J37" s="2377"/>
      <c r="K37" s="2377"/>
      <c r="L37" s="2377"/>
      <c r="M37" s="2377"/>
      <c r="N37" s="2378"/>
      <c r="O37" s="2379" t="str">
        <f t="shared" si="7"/>
        <v/>
      </c>
      <c r="P37" s="2380"/>
      <c r="Q37" s="2381"/>
      <c r="R37" s="487"/>
      <c r="S37" s="488" t="str">
        <f t="shared" si="8"/>
        <v/>
      </c>
      <c r="T37" s="2382" t="str">
        <f t="shared" si="6"/>
        <v/>
      </c>
      <c r="U37" s="2382"/>
      <c r="V37" s="2382"/>
      <c r="W37" s="2382"/>
      <c r="X37" s="2382"/>
      <c r="AC37" s="360" t="s">
        <v>839</v>
      </c>
      <c r="AF37" s="906" t="s">
        <v>831</v>
      </c>
      <c r="AG37" s="906" t="s">
        <v>1964</v>
      </c>
      <c r="AH37" s="892">
        <v>200</v>
      </c>
      <c r="AI37" s="892" t="s">
        <v>778</v>
      </c>
      <c r="AJ37" s="892" t="s">
        <v>832</v>
      </c>
      <c r="AL37" s="354" t="s">
        <v>192</v>
      </c>
      <c r="AM37" s="941">
        <f>【マスター】!J45</f>
        <v>630</v>
      </c>
      <c r="AN37" s="302" t="s">
        <v>824</v>
      </c>
      <c r="AO37" s="946" t="s">
        <v>2072</v>
      </c>
    </row>
    <row r="38" spans="1:41" ht="19.350000000000001" customHeight="1">
      <c r="A38" s="297" t="str">
        <f>IF(B38="","",6)</f>
        <v/>
      </c>
      <c r="B38" s="2376"/>
      <c r="C38" s="2377"/>
      <c r="D38" s="2377"/>
      <c r="E38" s="2377"/>
      <c r="F38" s="2377"/>
      <c r="G38" s="2377"/>
      <c r="H38" s="2377"/>
      <c r="I38" s="2377"/>
      <c r="J38" s="2377"/>
      <c r="K38" s="2377"/>
      <c r="L38" s="2377"/>
      <c r="M38" s="2377"/>
      <c r="N38" s="2378"/>
      <c r="O38" s="2379" t="str">
        <f t="shared" si="7"/>
        <v/>
      </c>
      <c r="P38" s="2380"/>
      <c r="Q38" s="2381"/>
      <c r="R38" s="487"/>
      <c r="S38" s="488" t="str">
        <f t="shared" si="8"/>
        <v/>
      </c>
      <c r="T38" s="2382" t="str">
        <f t="shared" si="6"/>
        <v/>
      </c>
      <c r="U38" s="2382"/>
      <c r="V38" s="2382"/>
      <c r="W38" s="2382"/>
      <c r="X38" s="2382"/>
      <c r="AB38" s="354" t="s">
        <v>840</v>
      </c>
      <c r="AC38" s="354" t="s">
        <v>841</v>
      </c>
      <c r="AF38" s="906" t="s">
        <v>1868</v>
      </c>
      <c r="AG38" s="906" t="s">
        <v>1868</v>
      </c>
      <c r="AH38" s="892">
        <v>50</v>
      </c>
      <c r="AI38" s="892" t="s">
        <v>1869</v>
      </c>
      <c r="AJ38" s="892"/>
      <c r="AL38" s="354" t="s">
        <v>2062</v>
      </c>
      <c r="AM38" s="941">
        <f>【マスター】!J46</f>
        <v>100</v>
      </c>
      <c r="AN38" s="302" t="s">
        <v>2068</v>
      </c>
      <c r="AO38" s="946" t="s">
        <v>2072</v>
      </c>
    </row>
    <row r="39" spans="1:41" ht="19.350000000000001" customHeight="1">
      <c r="A39" s="297" t="str">
        <f>IF(B39="","",8)</f>
        <v/>
      </c>
      <c r="B39" s="2376"/>
      <c r="C39" s="2377"/>
      <c r="D39" s="2377"/>
      <c r="E39" s="2377"/>
      <c r="F39" s="2377"/>
      <c r="G39" s="2377"/>
      <c r="H39" s="2377"/>
      <c r="I39" s="2377"/>
      <c r="J39" s="2377"/>
      <c r="K39" s="2377"/>
      <c r="L39" s="2377"/>
      <c r="M39" s="2377"/>
      <c r="N39" s="2378"/>
      <c r="O39" s="2379" t="str">
        <f t="shared" si="7"/>
        <v/>
      </c>
      <c r="P39" s="2380"/>
      <c r="Q39" s="2381"/>
      <c r="R39" s="487"/>
      <c r="S39" s="488" t="str">
        <f t="shared" si="8"/>
        <v/>
      </c>
      <c r="T39" s="2382" t="str">
        <f t="shared" si="6"/>
        <v/>
      </c>
      <c r="U39" s="2382"/>
      <c r="V39" s="2382"/>
      <c r="W39" s="2382"/>
      <c r="X39" s="2382"/>
      <c r="AB39" s="354" t="s">
        <v>757</v>
      </c>
      <c r="AC39" s="354" t="s">
        <v>844</v>
      </c>
      <c r="AF39" s="906" t="s">
        <v>2022</v>
      </c>
      <c r="AG39" s="906" t="s">
        <v>1965</v>
      </c>
      <c r="AH39" s="892">
        <v>20</v>
      </c>
      <c r="AI39" s="892" t="s">
        <v>778</v>
      </c>
      <c r="AJ39" s="906" t="s">
        <v>1872</v>
      </c>
      <c r="AL39" s="354" t="s">
        <v>2063</v>
      </c>
      <c r="AM39" s="941">
        <f>【マスター】!J47</f>
        <v>50</v>
      </c>
      <c r="AN39" s="302" t="s">
        <v>833</v>
      </c>
      <c r="AO39" s="946" t="s">
        <v>2072</v>
      </c>
    </row>
    <row r="40" spans="1:41" ht="19.350000000000001" customHeight="1">
      <c r="A40" s="297" t="str">
        <f>IF(B40="","",9)</f>
        <v/>
      </c>
      <c r="B40" s="2376"/>
      <c r="C40" s="2377"/>
      <c r="D40" s="2377"/>
      <c r="E40" s="2377"/>
      <c r="F40" s="2377"/>
      <c r="G40" s="2377"/>
      <c r="H40" s="2377"/>
      <c r="I40" s="2377"/>
      <c r="J40" s="2377"/>
      <c r="K40" s="2377"/>
      <c r="L40" s="2377"/>
      <c r="M40" s="2377"/>
      <c r="N40" s="2378"/>
      <c r="O40" s="2379" t="str">
        <f t="shared" si="7"/>
        <v/>
      </c>
      <c r="P40" s="2380"/>
      <c r="Q40" s="2381"/>
      <c r="R40" s="487"/>
      <c r="S40" s="488" t="str">
        <f t="shared" si="8"/>
        <v/>
      </c>
      <c r="T40" s="2382" t="str">
        <f t="shared" si="6"/>
        <v/>
      </c>
      <c r="U40" s="2382"/>
      <c r="V40" s="2382"/>
      <c r="W40" s="2382"/>
      <c r="X40" s="2382"/>
      <c r="AF40" s="906" t="s">
        <v>2023</v>
      </c>
      <c r="AG40" s="906" t="s">
        <v>1966</v>
      </c>
      <c r="AH40" s="892">
        <v>5</v>
      </c>
      <c r="AI40" s="892" t="s">
        <v>827</v>
      </c>
      <c r="AJ40" s="906" t="s">
        <v>1872</v>
      </c>
      <c r="AL40" s="354" t="s">
        <v>2069</v>
      </c>
      <c r="AM40" s="941">
        <f>【マスター】!J48</f>
        <v>2000</v>
      </c>
      <c r="AN40" s="302" t="s">
        <v>1791</v>
      </c>
      <c r="AO40" s="946" t="s">
        <v>2072</v>
      </c>
    </row>
    <row r="41" spans="1:41" ht="19.350000000000001" customHeight="1">
      <c r="A41" s="486"/>
      <c r="B41" s="486"/>
      <c r="C41" s="486"/>
      <c r="D41" s="486"/>
      <c r="E41" s="486"/>
      <c r="F41" s="486"/>
      <c r="G41" s="486"/>
      <c r="H41" s="486"/>
      <c r="I41" s="486"/>
      <c r="J41" s="486"/>
      <c r="K41" s="486"/>
      <c r="L41" s="486"/>
      <c r="M41" s="486"/>
      <c r="N41" s="486"/>
      <c r="O41" s="2410" t="s">
        <v>2033</v>
      </c>
      <c r="P41" s="2410"/>
      <c r="Q41" s="2410"/>
      <c r="R41" s="2410"/>
      <c r="S41" s="2410"/>
      <c r="T41" s="2379">
        <f>IF(B33="","",SUM(T33:X40))</f>
        <v>0</v>
      </c>
      <c r="U41" s="2380"/>
      <c r="V41" s="2380"/>
      <c r="W41" s="2380"/>
      <c r="X41" s="2380"/>
      <c r="AA41" s="492" t="s">
        <v>808</v>
      </c>
      <c r="AB41" s="492"/>
      <c r="AC41" s="492"/>
      <c r="AD41" s="492"/>
      <c r="AF41" s="906" t="s">
        <v>1870</v>
      </c>
      <c r="AG41" s="906" t="s">
        <v>1967</v>
      </c>
      <c r="AH41" s="892">
        <v>150</v>
      </c>
      <c r="AI41" s="892" t="s">
        <v>778</v>
      </c>
      <c r="AJ41" s="892" t="s">
        <v>832</v>
      </c>
    </row>
    <row r="42" spans="1:41" ht="19.350000000000001" customHeight="1" thickBot="1">
      <c r="A42" s="489" t="s">
        <v>2016</v>
      </c>
      <c r="B42" s="490"/>
      <c r="C42" s="490"/>
      <c r="D42" s="489"/>
      <c r="E42" s="489"/>
      <c r="F42" s="489"/>
      <c r="G42" s="490"/>
      <c r="H42" s="489" t="s">
        <v>2017</v>
      </c>
      <c r="I42" s="486"/>
      <c r="J42" s="486"/>
      <c r="K42" s="486"/>
      <c r="L42" s="486"/>
      <c r="M42" s="486"/>
      <c r="N42" s="486"/>
      <c r="O42" s="489" t="s">
        <v>2042</v>
      </c>
      <c r="P42" s="489"/>
      <c r="Q42" s="486"/>
      <c r="R42" s="486"/>
      <c r="S42" s="486"/>
      <c r="T42" s="486"/>
      <c r="V42" s="486"/>
      <c r="W42" s="486"/>
      <c r="X42" s="486"/>
      <c r="AA42" s="297">
        <f>IF(【マスター】!C77="有",1,0)</f>
        <v>0</v>
      </c>
      <c r="AB42" s="297" t="s">
        <v>772</v>
      </c>
      <c r="AC42" s="297" t="str">
        <f>LEFT(【マスター】!$D$77,3)&amp;"%"</f>
        <v>%</v>
      </c>
      <c r="AD42" s="297" t="e">
        <f>AC42*1</f>
        <v>#VALUE!</v>
      </c>
      <c r="AF42" s="906" t="s">
        <v>1871</v>
      </c>
      <c r="AG42" s="906" t="s">
        <v>1968</v>
      </c>
      <c r="AH42" s="892">
        <v>160</v>
      </c>
      <c r="AI42" s="892" t="s">
        <v>778</v>
      </c>
      <c r="AJ42" s="892" t="s">
        <v>832</v>
      </c>
    </row>
    <row r="43" spans="1:41" ht="19.350000000000001" customHeight="1">
      <c r="A43" s="2386" t="s">
        <v>2035</v>
      </c>
      <c r="B43" s="2386"/>
      <c r="C43" s="2386"/>
      <c r="D43" s="2386"/>
      <c r="E43" s="2386"/>
      <c r="F43" s="2386"/>
      <c r="G43" s="2409" t="s">
        <v>807</v>
      </c>
      <c r="H43" s="2410" t="s">
        <v>2033</v>
      </c>
      <c r="I43" s="2410"/>
      <c r="J43" s="2410"/>
      <c r="K43" s="2410"/>
      <c r="L43" s="2410"/>
      <c r="M43" s="2410"/>
      <c r="N43" s="1603" t="s">
        <v>809</v>
      </c>
      <c r="O43" s="2411" t="str">
        <f>IF(AF6="月間","ご利用時見積総額（※１ヶ月あたり）",IF(AF6="週間","ご利用時見積総額（※1週間あたり）","ご利用時見積総額"))</f>
        <v>ご利用時見積総額（※１ヶ月あたり）</v>
      </c>
      <c r="P43" s="2412"/>
      <c r="Q43" s="2413"/>
      <c r="R43" s="2413"/>
      <c r="S43" s="2413"/>
      <c r="T43" s="2413"/>
      <c r="U43" s="2413"/>
      <c r="V43" s="2414"/>
      <c r="W43" s="2414"/>
      <c r="X43" s="2414"/>
      <c r="Y43" s="475"/>
      <c r="AA43" s="297">
        <f>IF(【マスター】!C78="有",1,0)</f>
        <v>0</v>
      </c>
      <c r="AB43" s="297" t="s">
        <v>775</v>
      </c>
      <c r="AC43" s="297" t="str">
        <f>LEFT(【マスター】!$D$78,3)&amp;"%"</f>
        <v>%</v>
      </c>
      <c r="AD43" s="297" t="e">
        <f>AC43*1</f>
        <v>#VALUE!</v>
      </c>
      <c r="AF43" s="933" t="s">
        <v>2013</v>
      </c>
      <c r="AG43" s="933" t="s">
        <v>2014</v>
      </c>
      <c r="AH43" s="354">
        <v>40</v>
      </c>
      <c r="AI43" s="354" t="s">
        <v>2015</v>
      </c>
      <c r="AJ43" s="354"/>
      <c r="AK43" s="486"/>
    </row>
    <row r="44" spans="1:41" ht="19.350000000000001" customHeight="1">
      <c r="A44" s="2415">
        <f ca="1">O29</f>
        <v>72842.3</v>
      </c>
      <c r="B44" s="2415"/>
      <c r="C44" s="2415"/>
      <c r="D44" s="2415"/>
      <c r="E44" s="2415"/>
      <c r="F44" s="2415"/>
      <c r="G44" s="2409"/>
      <c r="H44" s="2416">
        <f>T41</f>
        <v>0</v>
      </c>
      <c r="I44" s="2416"/>
      <c r="J44" s="2416"/>
      <c r="K44" s="2416"/>
      <c r="L44" s="2416"/>
      <c r="M44" s="2416"/>
      <c r="N44" s="1603"/>
      <c r="O44" s="2417">
        <f ca="1">IF(H44="",A44,A44+H44)</f>
        <v>72842.3</v>
      </c>
      <c r="P44" s="2418"/>
      <c r="Q44" s="2415"/>
      <c r="R44" s="2415"/>
      <c r="S44" s="2415"/>
      <c r="T44" s="2415"/>
      <c r="U44" s="2415"/>
      <c r="V44" s="2419"/>
      <c r="W44" s="2419"/>
      <c r="X44" s="2419"/>
      <c r="AA44" s="297">
        <f>SUM(AA42:AA43)</f>
        <v>0</v>
      </c>
      <c r="AB44" s="297" t="s">
        <v>788</v>
      </c>
      <c r="AC44" s="297" t="s">
        <v>789</v>
      </c>
      <c r="AD44" s="297">
        <v>0</v>
      </c>
      <c r="AF44" s="906" t="s">
        <v>171</v>
      </c>
      <c r="AG44" s="906" t="s">
        <v>1969</v>
      </c>
      <c r="AH44" s="892">
        <v>-47</v>
      </c>
      <c r="AI44" s="892" t="s">
        <v>778</v>
      </c>
      <c r="AJ44" s="892" t="s">
        <v>836</v>
      </c>
    </row>
    <row r="45" spans="1:41" ht="19.350000000000001" customHeight="1" thickBot="1">
      <c r="A45" s="2415"/>
      <c r="B45" s="2415"/>
      <c r="C45" s="2415"/>
      <c r="D45" s="2415"/>
      <c r="E45" s="2415"/>
      <c r="F45" s="2415"/>
      <c r="G45" s="2409"/>
      <c r="H45" s="2416"/>
      <c r="I45" s="2416"/>
      <c r="J45" s="2416"/>
      <c r="K45" s="2416"/>
      <c r="L45" s="2416"/>
      <c r="M45" s="2416"/>
      <c r="N45" s="1603"/>
      <c r="O45" s="2420"/>
      <c r="P45" s="2421"/>
      <c r="Q45" s="2422"/>
      <c r="R45" s="2422"/>
      <c r="S45" s="2422"/>
      <c r="T45" s="2422"/>
      <c r="U45" s="2422"/>
      <c r="V45" s="2423"/>
      <c r="W45" s="2423"/>
      <c r="X45" s="2423"/>
      <c r="AA45" s="486"/>
      <c r="AB45" s="486"/>
      <c r="AC45" s="486"/>
      <c r="AD45" s="500">
        <f>VLOOKUP(G8,AB42:AD44,3,FALSE)</f>
        <v>0</v>
      </c>
      <c r="AF45" s="354" t="s">
        <v>2080</v>
      </c>
      <c r="AG45" s="354" t="s">
        <v>2080</v>
      </c>
      <c r="AH45" s="892" t="str">
        <f>ASC("-"&amp;【マスター】!$K$52)</f>
        <v>-94</v>
      </c>
      <c r="AI45" s="892" t="s">
        <v>2079</v>
      </c>
      <c r="AJ45" s="892"/>
      <c r="AK45" s="889"/>
    </row>
    <row r="46" spans="1:41" ht="19.350000000000001" customHeight="1">
      <c r="AA46" s="486"/>
      <c r="AB46" s="486"/>
      <c r="AC46" s="486"/>
      <c r="AD46" s="501" t="s">
        <v>795</v>
      </c>
      <c r="AF46" s="356" t="s">
        <v>780</v>
      </c>
    </row>
    <row r="47" spans="1:41">
      <c r="AA47" s="486"/>
      <c r="AB47" s="486"/>
      <c r="AC47" s="486"/>
      <c r="AD47" s="502" t="s">
        <v>860</v>
      </c>
      <c r="AF47" s="357" t="s">
        <v>773</v>
      </c>
      <c r="AG47" s="357" t="s">
        <v>765</v>
      </c>
      <c r="AH47" s="357" t="s">
        <v>766</v>
      </c>
      <c r="AI47" s="357" t="s">
        <v>767</v>
      </c>
      <c r="AJ47" s="357" t="s">
        <v>774</v>
      </c>
    </row>
    <row r="48" spans="1:41">
      <c r="AF48" s="354" t="s">
        <v>842</v>
      </c>
      <c r="AG48" s="354" t="s">
        <v>843</v>
      </c>
      <c r="AH48" s="950">
        <f>$AH$50*0.7</f>
        <v>310.79999999999995</v>
      </c>
      <c r="AI48" s="354" t="s">
        <v>778</v>
      </c>
      <c r="AJ48" s="354"/>
      <c r="AK48" s="508">
        <f>AK50*0.7</f>
        <v>309.39999999999998</v>
      </c>
    </row>
    <row r="49" spans="27:37">
      <c r="AA49" s="896" t="s">
        <v>2039</v>
      </c>
      <c r="AB49" s="896"/>
      <c r="AC49" s="896"/>
      <c r="AD49" s="896"/>
      <c r="AF49" s="354" t="s">
        <v>845</v>
      </c>
      <c r="AG49" s="354" t="s">
        <v>846</v>
      </c>
      <c r="AH49" s="950">
        <f>【マスター】!$W$18</f>
        <v>423</v>
      </c>
      <c r="AI49" s="354" t="s">
        <v>778</v>
      </c>
      <c r="AJ49" s="354"/>
      <c r="AK49" s="508">
        <v>421</v>
      </c>
    </row>
    <row r="50" spans="27:37">
      <c r="AA50" s="892">
        <f>IF(【マスター】!C79="有",1,0)</f>
        <v>0</v>
      </c>
      <c r="AB50" s="892" t="s">
        <v>2040</v>
      </c>
      <c r="AC50" s="892" t="str">
        <f>LEFT(【マスター】!$D$79,3)&amp;"%"</f>
        <v>%</v>
      </c>
      <c r="AD50" s="892" t="e">
        <f>AC50*1</f>
        <v>#VALUE!</v>
      </c>
      <c r="AF50" s="354" t="s">
        <v>847</v>
      </c>
      <c r="AG50" s="354" t="s">
        <v>848</v>
      </c>
      <c r="AH50" s="950">
        <f>【マスター】!$AB$18</f>
        <v>444</v>
      </c>
      <c r="AI50" s="354" t="s">
        <v>778</v>
      </c>
      <c r="AJ50" s="354"/>
      <c r="AK50" s="508">
        <v>442</v>
      </c>
    </row>
    <row r="51" spans="27:37">
      <c r="AA51" s="892">
        <f>SUM(AA50:AA50)</f>
        <v>0</v>
      </c>
      <c r="AB51" s="892" t="s">
        <v>788</v>
      </c>
      <c r="AC51" s="892" t="s">
        <v>789</v>
      </c>
      <c r="AD51" s="892">
        <v>0</v>
      </c>
      <c r="AF51" s="354" t="s">
        <v>849</v>
      </c>
      <c r="AG51" s="354" t="s">
        <v>850</v>
      </c>
      <c r="AH51" s="950">
        <f>【マスター】!$AG$18</f>
        <v>673</v>
      </c>
      <c r="AI51" s="354" t="s">
        <v>778</v>
      </c>
      <c r="AJ51" s="354"/>
      <c r="AK51" s="508">
        <v>670</v>
      </c>
    </row>
    <row r="52" spans="27:37" ht="20.25" thickBot="1">
      <c r="AA52" s="889"/>
      <c r="AB52" s="889"/>
      <c r="AC52" s="889"/>
      <c r="AD52" s="902">
        <f>VLOOKUP(K8,AB50:AD51,3,FALSE)</f>
        <v>0</v>
      </c>
      <c r="AF52" s="354" t="s">
        <v>854</v>
      </c>
      <c r="AG52" s="354" t="s">
        <v>855</v>
      </c>
      <c r="AH52" s="950">
        <f>【マスター】!$AL$18</f>
        <v>689</v>
      </c>
      <c r="AI52" s="354" t="s">
        <v>778</v>
      </c>
      <c r="AJ52" s="354"/>
      <c r="AK52" s="508">
        <v>686</v>
      </c>
    </row>
    <row r="53" spans="27:37" ht="20.25" thickTop="1">
      <c r="AA53" s="889"/>
      <c r="AB53" s="889"/>
      <c r="AC53" s="889"/>
      <c r="AD53" s="903" t="s">
        <v>795</v>
      </c>
      <c r="AF53" s="354" t="s">
        <v>856</v>
      </c>
      <c r="AG53" s="354" t="s">
        <v>857</v>
      </c>
      <c r="AH53" s="950">
        <f>【マスター】!$AQ$18</f>
        <v>777</v>
      </c>
      <c r="AI53" s="354" t="s">
        <v>778</v>
      </c>
      <c r="AJ53" s="354"/>
      <c r="AK53" s="508">
        <v>773</v>
      </c>
    </row>
    <row r="54" spans="27:37">
      <c r="AA54" s="889"/>
      <c r="AB54" s="889"/>
      <c r="AC54" s="889"/>
      <c r="AD54" s="905" t="s">
        <v>2037</v>
      </c>
      <c r="AF54" s="354" t="s">
        <v>858</v>
      </c>
      <c r="AG54" s="354" t="s">
        <v>859</v>
      </c>
      <c r="AH54" s="950">
        <f>【マスター】!$AV$18</f>
        <v>791</v>
      </c>
      <c r="AI54" s="354" t="s">
        <v>778</v>
      </c>
      <c r="AJ54" s="354"/>
      <c r="AK54" s="508">
        <v>787</v>
      </c>
    </row>
    <row r="55" spans="27:37">
      <c r="AF55" s="906" t="s">
        <v>1985</v>
      </c>
      <c r="AG55" s="892" t="s">
        <v>1953</v>
      </c>
      <c r="AH55" s="950">
        <f>$AH$54+50</f>
        <v>841</v>
      </c>
      <c r="AI55" s="354" t="s">
        <v>778</v>
      </c>
      <c r="AJ55" s="892"/>
      <c r="AK55" s="508">
        <f>AK54+50</f>
        <v>837</v>
      </c>
    </row>
    <row r="56" spans="27:37">
      <c r="AF56" s="906" t="s">
        <v>1986</v>
      </c>
      <c r="AG56" s="892" t="s">
        <v>1955</v>
      </c>
      <c r="AH56" s="950">
        <f>$AH$55+50</f>
        <v>891</v>
      </c>
      <c r="AI56" s="354" t="s">
        <v>778</v>
      </c>
      <c r="AJ56" s="892"/>
      <c r="AK56" s="508">
        <f t="shared" ref="AK56:AK58" si="9">AK55+50</f>
        <v>887</v>
      </c>
    </row>
    <row r="57" spans="27:37">
      <c r="AF57" s="906" t="s">
        <v>1987</v>
      </c>
      <c r="AG57" s="892" t="s">
        <v>1957</v>
      </c>
      <c r="AH57" s="950">
        <f>$AH$56+50</f>
        <v>941</v>
      </c>
      <c r="AI57" s="354" t="s">
        <v>778</v>
      </c>
      <c r="AJ57" s="907"/>
      <c r="AK57" s="508">
        <f t="shared" si="9"/>
        <v>937</v>
      </c>
    </row>
    <row r="58" spans="27:37">
      <c r="AF58" s="906" t="s">
        <v>1988</v>
      </c>
      <c r="AG58" s="892" t="s">
        <v>1959</v>
      </c>
      <c r="AH58" s="950">
        <f>$AH$57+50</f>
        <v>991</v>
      </c>
      <c r="AI58" s="354" t="s">
        <v>778</v>
      </c>
      <c r="AJ58" s="892"/>
      <c r="AK58" s="508">
        <f t="shared" si="9"/>
        <v>987</v>
      </c>
    </row>
    <row r="59" spans="27:37">
      <c r="AF59" s="906" t="s">
        <v>1989</v>
      </c>
      <c r="AG59" s="892" t="s">
        <v>1961</v>
      </c>
      <c r="AH59" s="950">
        <f>$AH$58+50</f>
        <v>1041</v>
      </c>
      <c r="AI59" s="354" t="s">
        <v>778</v>
      </c>
      <c r="AJ59" s="892"/>
      <c r="AK59" s="508">
        <f>AK58+50</f>
        <v>1037</v>
      </c>
    </row>
    <row r="60" spans="27:37">
      <c r="AF60" s="906" t="s">
        <v>1861</v>
      </c>
      <c r="AG60" s="892" t="s">
        <v>1861</v>
      </c>
      <c r="AH60" s="892" t="str">
        <f>ASC(【マスター】!$D$49)</f>
        <v>40</v>
      </c>
      <c r="AI60" s="892" t="s">
        <v>1906</v>
      </c>
      <c r="AJ60" s="892"/>
    </row>
    <row r="61" spans="27:37">
      <c r="AF61" s="906" t="s">
        <v>1862</v>
      </c>
      <c r="AG61" s="892" t="s">
        <v>1862</v>
      </c>
      <c r="AH61" s="892" t="str">
        <f>ASC(【マスター】!$D$50)</f>
        <v>55</v>
      </c>
      <c r="AI61" s="892" t="s">
        <v>1906</v>
      </c>
      <c r="AJ61" s="892"/>
    </row>
    <row r="62" spans="27:37">
      <c r="AF62" s="906" t="s">
        <v>817</v>
      </c>
      <c r="AG62" s="892" t="s">
        <v>817</v>
      </c>
      <c r="AH62" s="899" t="str">
        <f>ASC(【マスター】!$D$53)</f>
        <v>45</v>
      </c>
      <c r="AI62" s="892" t="s">
        <v>778</v>
      </c>
      <c r="AJ62" s="899"/>
    </row>
    <row r="63" spans="27:37">
      <c r="AF63" s="906" t="s">
        <v>1863</v>
      </c>
      <c r="AG63" s="906" t="s">
        <v>1962</v>
      </c>
      <c r="AH63" s="892" t="str">
        <f>ASC(【マスター】!$D$69)</f>
        <v>100</v>
      </c>
      <c r="AI63" s="892" t="s">
        <v>818</v>
      </c>
      <c r="AJ63" s="912" t="s">
        <v>1963</v>
      </c>
    </row>
    <row r="64" spans="27:37">
      <c r="AF64" s="906" t="s">
        <v>1864</v>
      </c>
      <c r="AG64" s="906" t="s">
        <v>1864</v>
      </c>
      <c r="AH64" s="892" t="str">
        <f>ASC(【マスター】!$D$70)</f>
        <v>100</v>
      </c>
      <c r="AI64" s="892" t="s">
        <v>818</v>
      </c>
      <c r="AJ64" s="892"/>
    </row>
    <row r="65" spans="32:37">
      <c r="AF65" s="906" t="s">
        <v>1865</v>
      </c>
      <c r="AG65" s="906" t="s">
        <v>1865</v>
      </c>
      <c r="AH65" s="892" t="str">
        <f>ASC(【マスター】!$D$54)</f>
        <v>56</v>
      </c>
      <c r="AI65" s="892" t="s">
        <v>820</v>
      </c>
      <c r="AJ65" s="892"/>
    </row>
    <row r="66" spans="32:37">
      <c r="AF66" s="906" t="s">
        <v>1866</v>
      </c>
      <c r="AG66" s="906" t="s">
        <v>1866</v>
      </c>
      <c r="AH66" s="892" t="str">
        <f>ASC(【マスター】!$D$55)</f>
        <v>85</v>
      </c>
      <c r="AI66" s="892" t="s">
        <v>888</v>
      </c>
      <c r="AJ66" s="892"/>
    </row>
    <row r="67" spans="32:37">
      <c r="AF67" s="906" t="s">
        <v>823</v>
      </c>
      <c r="AG67" s="906" t="s">
        <v>823</v>
      </c>
      <c r="AH67" s="892" t="str">
        <f>ASC(【マスター】!$D$56)</f>
        <v>20</v>
      </c>
      <c r="AI67" s="892" t="s">
        <v>818</v>
      </c>
      <c r="AJ67" s="892"/>
    </row>
    <row r="68" spans="32:37">
      <c r="AF68" s="906" t="s">
        <v>208</v>
      </c>
      <c r="AG68" s="906" t="s">
        <v>208</v>
      </c>
      <c r="AH68" s="892" t="str">
        <f>ASC(【マスター】!$D$66)</f>
        <v>30</v>
      </c>
      <c r="AI68" s="892" t="s">
        <v>818</v>
      </c>
      <c r="AJ68" s="892"/>
    </row>
    <row r="69" spans="32:37">
      <c r="AF69" s="906" t="s">
        <v>209</v>
      </c>
      <c r="AG69" s="906" t="s">
        <v>209</v>
      </c>
      <c r="AH69" s="892" t="str">
        <f>ASC(【マスター】!$D$67)</f>
        <v>60</v>
      </c>
      <c r="AI69" s="892" t="s">
        <v>818</v>
      </c>
      <c r="AJ69" s="892"/>
    </row>
    <row r="70" spans="32:37">
      <c r="AF70" s="906" t="s">
        <v>1867</v>
      </c>
      <c r="AG70" s="906" t="s">
        <v>1867</v>
      </c>
      <c r="AH70" s="892" t="str">
        <f>ASC(【マスター】!$D$68)</f>
        <v>3</v>
      </c>
      <c r="AI70" s="892" t="s">
        <v>1907</v>
      </c>
      <c r="AJ70" s="892"/>
    </row>
    <row r="71" spans="32:37">
      <c r="AF71" s="906" t="s">
        <v>826</v>
      </c>
      <c r="AG71" s="906" t="s">
        <v>826</v>
      </c>
      <c r="AH71" s="892" t="str">
        <f>ASC(【マスター】!$D$51)</f>
        <v>60</v>
      </c>
      <c r="AI71" s="892" t="s">
        <v>820</v>
      </c>
      <c r="AJ71" s="892"/>
    </row>
    <row r="72" spans="32:37">
      <c r="AF72" s="906" t="s">
        <v>828</v>
      </c>
      <c r="AG72" s="906" t="s">
        <v>828</v>
      </c>
      <c r="AH72" s="892" t="str">
        <f>ASC(【マスター】!$D$52)</f>
        <v>60</v>
      </c>
      <c r="AI72" s="892" t="s">
        <v>820</v>
      </c>
      <c r="AJ72" s="892"/>
    </row>
    <row r="73" spans="32:37">
      <c r="AF73" s="906" t="s">
        <v>831</v>
      </c>
      <c r="AG73" s="906" t="s">
        <v>1964</v>
      </c>
      <c r="AH73" s="892" t="str">
        <f>ASC(【マスター】!$D$60)</f>
        <v>200</v>
      </c>
      <c r="AI73" s="892" t="s">
        <v>778</v>
      </c>
      <c r="AJ73" s="892" t="s">
        <v>832</v>
      </c>
    </row>
    <row r="74" spans="32:37">
      <c r="AF74" s="906" t="s">
        <v>1868</v>
      </c>
      <c r="AG74" s="906" t="s">
        <v>1868</v>
      </c>
      <c r="AH74" s="892" t="str">
        <f>ASC(【マスター】!$D$61)</f>
        <v>50</v>
      </c>
      <c r="AI74" s="892" t="s">
        <v>1869</v>
      </c>
      <c r="AJ74" s="892"/>
    </row>
    <row r="75" spans="32:37">
      <c r="AF75" s="906" t="s">
        <v>2022</v>
      </c>
      <c r="AG75" s="906" t="s">
        <v>1965</v>
      </c>
      <c r="AH75" s="892" t="str">
        <f>ASC(【マスター】!$D$62)</f>
        <v>20</v>
      </c>
      <c r="AI75" s="892" t="s">
        <v>778</v>
      </c>
      <c r="AJ75" s="906" t="s">
        <v>1872</v>
      </c>
    </row>
    <row r="76" spans="32:37">
      <c r="AF76" s="906" t="s">
        <v>2023</v>
      </c>
      <c r="AG76" s="906" t="s">
        <v>1966</v>
      </c>
      <c r="AH76" s="892" t="str">
        <f>ASC(【マスター】!$D$63)</f>
        <v>5</v>
      </c>
      <c r="AI76" s="892" t="s">
        <v>827</v>
      </c>
      <c r="AJ76" s="906" t="s">
        <v>1872</v>
      </c>
    </row>
    <row r="77" spans="32:37">
      <c r="AF77" s="906" t="s">
        <v>1870</v>
      </c>
      <c r="AG77" s="906" t="s">
        <v>1967</v>
      </c>
      <c r="AH77" s="892" t="str">
        <f>ASC(【マスター】!$D$64)</f>
        <v>150</v>
      </c>
      <c r="AI77" s="892" t="s">
        <v>778</v>
      </c>
      <c r="AJ77" s="892" t="s">
        <v>832</v>
      </c>
    </row>
    <row r="78" spans="32:37">
      <c r="AF78" s="906" t="s">
        <v>1871</v>
      </c>
      <c r="AG78" s="906" t="s">
        <v>1968</v>
      </c>
      <c r="AH78" s="892" t="str">
        <f>ASC(【マスター】!$D$65)</f>
        <v>160</v>
      </c>
      <c r="AI78" s="892" t="s">
        <v>778</v>
      </c>
      <c r="AJ78" s="892" t="s">
        <v>832</v>
      </c>
    </row>
    <row r="79" spans="32:37">
      <c r="AF79" s="933" t="s">
        <v>2013</v>
      </c>
      <c r="AG79" s="933" t="s">
        <v>2014</v>
      </c>
      <c r="AH79" s="354" t="str">
        <f>ASC(【マスター】!$D$72)</f>
        <v>40</v>
      </c>
      <c r="AI79" s="354" t="s">
        <v>2015</v>
      </c>
      <c r="AJ79" s="354"/>
      <c r="AK79" s="486"/>
    </row>
    <row r="80" spans="32:37">
      <c r="AF80" s="906" t="s">
        <v>171</v>
      </c>
      <c r="AG80" s="906" t="s">
        <v>1969</v>
      </c>
      <c r="AH80" s="892" t="str">
        <f>ASC("-"&amp;【マスター】!$K$51)</f>
        <v>-47</v>
      </c>
      <c r="AI80" s="892" t="s">
        <v>778</v>
      </c>
      <c r="AJ80" s="892" t="s">
        <v>836</v>
      </c>
    </row>
    <row r="81" spans="32:37">
      <c r="AF81" s="354" t="s">
        <v>2080</v>
      </c>
      <c r="AG81" s="354" t="s">
        <v>2080</v>
      </c>
      <c r="AH81" s="901" t="str">
        <f>ASC("-"&amp;【マスター】!$K$52)</f>
        <v>-94</v>
      </c>
      <c r="AI81" s="892" t="s">
        <v>2079</v>
      </c>
      <c r="AJ81" s="892"/>
      <c r="AK81" s="889"/>
    </row>
    <row r="82" spans="32:37">
      <c r="AF82" s="356" t="s">
        <v>758</v>
      </c>
    </row>
    <row r="83" spans="32:37">
      <c r="AF83" s="357" t="s">
        <v>773</v>
      </c>
      <c r="AG83" s="357" t="s">
        <v>765</v>
      </c>
      <c r="AH83" s="357" t="s">
        <v>766</v>
      </c>
      <c r="AI83" s="357" t="s">
        <v>767</v>
      </c>
      <c r="AJ83" s="357" t="s">
        <v>774</v>
      </c>
    </row>
    <row r="84" spans="32:37">
      <c r="AF84" s="354" t="s">
        <v>861</v>
      </c>
      <c r="AG84" s="354" t="s">
        <v>862</v>
      </c>
      <c r="AH84" s="950">
        <f>$AH$86*0.7</f>
        <v>351.4</v>
      </c>
      <c r="AI84" s="354" t="s">
        <v>778</v>
      </c>
      <c r="AJ84" s="354"/>
      <c r="AK84" s="508"/>
    </row>
    <row r="85" spans="32:37">
      <c r="AF85" s="354" t="s">
        <v>863</v>
      </c>
      <c r="AG85" s="354" t="s">
        <v>864</v>
      </c>
      <c r="AH85" s="950">
        <f>【マスター】!$X$18</f>
        <v>479</v>
      </c>
      <c r="AI85" s="354" t="s">
        <v>778</v>
      </c>
      <c r="AJ85" s="354"/>
      <c r="AK85" s="509"/>
    </row>
    <row r="86" spans="32:37">
      <c r="AF86" s="354" t="s">
        <v>865</v>
      </c>
      <c r="AG86" s="354" t="s">
        <v>866</v>
      </c>
      <c r="AH86" s="950">
        <f>【マスター】!$AC$18</f>
        <v>502</v>
      </c>
      <c r="AI86" s="354" t="s">
        <v>778</v>
      </c>
      <c r="AJ86" s="354"/>
      <c r="AK86" s="510"/>
    </row>
    <row r="87" spans="32:37">
      <c r="AF87" s="354" t="s">
        <v>867</v>
      </c>
      <c r="AG87" s="354" t="s">
        <v>868</v>
      </c>
      <c r="AH87" s="950">
        <f>【マスター】!$AH$18</f>
        <v>777</v>
      </c>
      <c r="AI87" s="354" t="s">
        <v>778</v>
      </c>
      <c r="AJ87" s="354"/>
      <c r="AK87" s="510"/>
    </row>
    <row r="88" spans="32:37">
      <c r="AF88" s="354" t="s">
        <v>869</v>
      </c>
      <c r="AG88" s="354" t="s">
        <v>870</v>
      </c>
      <c r="AH88" s="950">
        <f>【マスター】!$AM$18</f>
        <v>796</v>
      </c>
      <c r="AI88" s="354" t="s">
        <v>778</v>
      </c>
      <c r="AJ88" s="354"/>
      <c r="AK88" s="510"/>
    </row>
    <row r="89" spans="32:37">
      <c r="AF89" s="354" t="s">
        <v>871</v>
      </c>
      <c r="AG89" s="354" t="s">
        <v>872</v>
      </c>
      <c r="AH89" s="950">
        <f>【マスター】!$AR$18</f>
        <v>900</v>
      </c>
      <c r="AI89" s="354" t="s">
        <v>778</v>
      </c>
      <c r="AJ89" s="354"/>
      <c r="AK89" s="510"/>
    </row>
    <row r="90" spans="32:37">
      <c r="AF90" s="354" t="s">
        <v>771</v>
      </c>
      <c r="AG90" s="354" t="s">
        <v>873</v>
      </c>
      <c r="AH90" s="950">
        <f>【マスター】!$AW$18</f>
        <v>915</v>
      </c>
      <c r="AI90" s="354" t="s">
        <v>778</v>
      </c>
      <c r="AJ90" s="354"/>
      <c r="AK90" s="511"/>
    </row>
    <row r="91" spans="32:37">
      <c r="AF91" s="906" t="s">
        <v>1980</v>
      </c>
      <c r="AG91" s="892" t="s">
        <v>1953</v>
      </c>
      <c r="AH91" s="950">
        <f>$AH$89+50</f>
        <v>950</v>
      </c>
      <c r="AI91" s="354" t="s">
        <v>778</v>
      </c>
      <c r="AJ91" s="892"/>
      <c r="AK91" s="508"/>
    </row>
    <row r="92" spans="32:37">
      <c r="AF92" s="906" t="s">
        <v>1981</v>
      </c>
      <c r="AG92" s="892" t="s">
        <v>1955</v>
      </c>
      <c r="AH92" s="950">
        <f>$AH$90+50</f>
        <v>965</v>
      </c>
      <c r="AI92" s="354" t="s">
        <v>778</v>
      </c>
      <c r="AJ92" s="892"/>
      <c r="AK92" s="508"/>
    </row>
    <row r="93" spans="32:37">
      <c r="AF93" s="906" t="s">
        <v>1982</v>
      </c>
      <c r="AG93" s="892" t="s">
        <v>1957</v>
      </c>
      <c r="AH93" s="950">
        <f>$AH$91+50</f>
        <v>1000</v>
      </c>
      <c r="AI93" s="354" t="s">
        <v>778</v>
      </c>
      <c r="AJ93" s="907"/>
      <c r="AK93" s="508"/>
    </row>
    <row r="94" spans="32:37">
      <c r="AF94" s="906" t="s">
        <v>1983</v>
      </c>
      <c r="AG94" s="892" t="s">
        <v>1959</v>
      </c>
      <c r="AH94" s="950">
        <f>$AH$92+50</f>
        <v>1015</v>
      </c>
      <c r="AI94" s="354" t="s">
        <v>778</v>
      </c>
      <c r="AJ94" s="892"/>
      <c r="AK94" s="508"/>
    </row>
    <row r="95" spans="32:37">
      <c r="AF95" s="906" t="s">
        <v>1984</v>
      </c>
      <c r="AG95" s="892" t="s">
        <v>1961</v>
      </c>
      <c r="AH95" s="950">
        <f>$AH$93+50</f>
        <v>1050</v>
      </c>
      <c r="AI95" s="354" t="s">
        <v>778</v>
      </c>
      <c r="AJ95" s="892"/>
      <c r="AK95" s="508"/>
    </row>
    <row r="96" spans="32:37">
      <c r="AF96" s="906" t="s">
        <v>1861</v>
      </c>
      <c r="AG96" s="892" t="s">
        <v>1861</v>
      </c>
      <c r="AH96" s="901" t="str">
        <f>ASC(【マスター】!$D$49)</f>
        <v>40</v>
      </c>
      <c r="AI96" s="892" t="s">
        <v>1906</v>
      </c>
      <c r="AJ96" s="892"/>
    </row>
    <row r="97" spans="32:36">
      <c r="AF97" s="906" t="s">
        <v>1862</v>
      </c>
      <c r="AG97" s="892" t="s">
        <v>1862</v>
      </c>
      <c r="AH97" s="901" t="str">
        <f>ASC(【マスター】!$D$50)</f>
        <v>55</v>
      </c>
      <c r="AI97" s="892" t="s">
        <v>1906</v>
      </c>
      <c r="AJ97" s="892"/>
    </row>
    <row r="98" spans="32:36">
      <c r="AF98" s="906" t="s">
        <v>817</v>
      </c>
      <c r="AG98" s="892" t="s">
        <v>817</v>
      </c>
      <c r="AH98" s="955" t="str">
        <f>ASC(【マスター】!$D$53)</f>
        <v>45</v>
      </c>
      <c r="AI98" s="892" t="s">
        <v>778</v>
      </c>
      <c r="AJ98" s="899"/>
    </row>
    <row r="99" spans="32:36">
      <c r="AF99" s="906" t="s">
        <v>1863</v>
      </c>
      <c r="AG99" s="906" t="s">
        <v>1962</v>
      </c>
      <c r="AH99" s="901" t="str">
        <f>ASC(【マスター】!$D$69)</f>
        <v>100</v>
      </c>
      <c r="AI99" s="892" t="s">
        <v>818</v>
      </c>
      <c r="AJ99" s="912" t="s">
        <v>1963</v>
      </c>
    </row>
    <row r="100" spans="32:36">
      <c r="AF100" s="906" t="s">
        <v>1864</v>
      </c>
      <c r="AG100" s="906" t="s">
        <v>1864</v>
      </c>
      <c r="AH100" s="901" t="str">
        <f>ASC(【マスター】!$D$70)</f>
        <v>100</v>
      </c>
      <c r="AI100" s="892" t="s">
        <v>818</v>
      </c>
      <c r="AJ100" s="892"/>
    </row>
    <row r="101" spans="32:36">
      <c r="AF101" s="906" t="s">
        <v>1865</v>
      </c>
      <c r="AG101" s="906" t="s">
        <v>1865</v>
      </c>
      <c r="AH101" s="901" t="str">
        <f>ASC(【マスター】!$D$54)</f>
        <v>56</v>
      </c>
      <c r="AI101" s="892" t="s">
        <v>820</v>
      </c>
      <c r="AJ101" s="892"/>
    </row>
    <row r="102" spans="32:36">
      <c r="AF102" s="906" t="s">
        <v>1866</v>
      </c>
      <c r="AG102" s="906" t="s">
        <v>1866</v>
      </c>
      <c r="AH102" s="901" t="str">
        <f>ASC(【マスター】!$D$55)</f>
        <v>85</v>
      </c>
      <c r="AI102" s="892" t="s">
        <v>888</v>
      </c>
      <c r="AJ102" s="892"/>
    </row>
    <row r="103" spans="32:36">
      <c r="AF103" s="906" t="s">
        <v>823</v>
      </c>
      <c r="AG103" s="906" t="s">
        <v>823</v>
      </c>
      <c r="AH103" s="901" t="str">
        <f>ASC(【マスター】!$D$56)</f>
        <v>20</v>
      </c>
      <c r="AI103" s="892" t="s">
        <v>818</v>
      </c>
      <c r="AJ103" s="892"/>
    </row>
    <row r="104" spans="32:36">
      <c r="AF104" s="906" t="s">
        <v>208</v>
      </c>
      <c r="AG104" s="906" t="s">
        <v>208</v>
      </c>
      <c r="AH104" s="901" t="str">
        <f>ASC(【マスター】!$D$66)</f>
        <v>30</v>
      </c>
      <c r="AI104" s="892" t="s">
        <v>818</v>
      </c>
      <c r="AJ104" s="892"/>
    </row>
    <row r="105" spans="32:36">
      <c r="AF105" s="906" t="s">
        <v>209</v>
      </c>
      <c r="AG105" s="906" t="s">
        <v>209</v>
      </c>
      <c r="AH105" s="901" t="str">
        <f>ASC(【マスター】!$D$67)</f>
        <v>60</v>
      </c>
      <c r="AI105" s="892" t="s">
        <v>818</v>
      </c>
      <c r="AJ105" s="892"/>
    </row>
    <row r="106" spans="32:36">
      <c r="AF106" s="906" t="s">
        <v>1867</v>
      </c>
      <c r="AG106" s="906" t="s">
        <v>1867</v>
      </c>
      <c r="AH106" s="901" t="str">
        <f>ASC(【マスター】!$D$68)</f>
        <v>3</v>
      </c>
      <c r="AI106" s="892" t="s">
        <v>1907</v>
      </c>
      <c r="AJ106" s="892"/>
    </row>
    <row r="107" spans="32:36">
      <c r="AF107" s="906" t="s">
        <v>826</v>
      </c>
      <c r="AG107" s="906" t="s">
        <v>826</v>
      </c>
      <c r="AH107" s="901" t="str">
        <f>ASC(【マスター】!$D$51)</f>
        <v>60</v>
      </c>
      <c r="AI107" s="892" t="s">
        <v>820</v>
      </c>
      <c r="AJ107" s="892"/>
    </row>
    <row r="108" spans="32:36">
      <c r="AF108" s="906" t="s">
        <v>828</v>
      </c>
      <c r="AG108" s="906" t="s">
        <v>828</v>
      </c>
      <c r="AH108" s="901" t="str">
        <f>ASC(【マスター】!$D$52)</f>
        <v>60</v>
      </c>
      <c r="AI108" s="892" t="s">
        <v>820</v>
      </c>
      <c r="AJ108" s="892"/>
    </row>
    <row r="109" spans="32:36">
      <c r="AF109" s="906" t="s">
        <v>831</v>
      </c>
      <c r="AG109" s="906" t="s">
        <v>1964</v>
      </c>
      <c r="AH109" s="901" t="str">
        <f>ASC(【マスター】!$D$60)</f>
        <v>200</v>
      </c>
      <c r="AI109" s="892" t="s">
        <v>778</v>
      </c>
      <c r="AJ109" s="892" t="s">
        <v>832</v>
      </c>
    </row>
    <row r="110" spans="32:36">
      <c r="AF110" s="906" t="s">
        <v>1868</v>
      </c>
      <c r="AG110" s="906" t="s">
        <v>1868</v>
      </c>
      <c r="AH110" s="901" t="str">
        <f>ASC(【マスター】!$D$61)</f>
        <v>50</v>
      </c>
      <c r="AI110" s="892" t="s">
        <v>1869</v>
      </c>
      <c r="AJ110" s="892"/>
    </row>
    <row r="111" spans="32:36">
      <c r="AF111" s="906" t="s">
        <v>2022</v>
      </c>
      <c r="AG111" s="906" t="s">
        <v>1965</v>
      </c>
      <c r="AH111" s="901" t="str">
        <f>ASC(【マスター】!$D$62)</f>
        <v>20</v>
      </c>
      <c r="AI111" s="892" t="s">
        <v>778</v>
      </c>
      <c r="AJ111" s="906" t="s">
        <v>1872</v>
      </c>
    </row>
    <row r="112" spans="32:36">
      <c r="AF112" s="906" t="s">
        <v>2023</v>
      </c>
      <c r="AG112" s="906" t="s">
        <v>1966</v>
      </c>
      <c r="AH112" s="901" t="str">
        <f>ASC(【マスター】!$D$63)</f>
        <v>5</v>
      </c>
      <c r="AI112" s="892" t="s">
        <v>827</v>
      </c>
      <c r="AJ112" s="906" t="s">
        <v>1872</v>
      </c>
    </row>
    <row r="113" spans="32:37">
      <c r="AF113" s="906" t="s">
        <v>1870</v>
      </c>
      <c r="AG113" s="906" t="s">
        <v>1967</v>
      </c>
      <c r="AH113" s="901" t="str">
        <f>ASC(【マスター】!$D$64)</f>
        <v>150</v>
      </c>
      <c r="AI113" s="892" t="s">
        <v>778</v>
      </c>
      <c r="AJ113" s="892" t="s">
        <v>832</v>
      </c>
    </row>
    <row r="114" spans="32:37">
      <c r="AF114" s="906" t="s">
        <v>1871</v>
      </c>
      <c r="AG114" s="906" t="s">
        <v>1968</v>
      </c>
      <c r="AH114" s="901" t="str">
        <f>ASC(【マスター】!$D$65)</f>
        <v>160</v>
      </c>
      <c r="AI114" s="892" t="s">
        <v>778</v>
      </c>
      <c r="AJ114" s="892" t="s">
        <v>832</v>
      </c>
    </row>
    <row r="115" spans="32:37">
      <c r="AF115" s="933" t="s">
        <v>2013</v>
      </c>
      <c r="AG115" s="933" t="s">
        <v>2014</v>
      </c>
      <c r="AH115" s="784" t="str">
        <f>ASC(【マスター】!$D$72)</f>
        <v>40</v>
      </c>
      <c r="AI115" s="354" t="s">
        <v>2015</v>
      </c>
      <c r="AJ115" s="354"/>
      <c r="AK115" s="486"/>
    </row>
    <row r="116" spans="32:37">
      <c r="AF116" s="906" t="s">
        <v>171</v>
      </c>
      <c r="AG116" s="906" t="s">
        <v>1969</v>
      </c>
      <c r="AH116" s="901" t="str">
        <f>ASC("-"&amp;【マスター】!$K$51)</f>
        <v>-47</v>
      </c>
      <c r="AI116" s="892" t="s">
        <v>778</v>
      </c>
      <c r="AJ116" s="892" t="s">
        <v>836</v>
      </c>
    </row>
    <row r="117" spans="32:37">
      <c r="AF117" s="354" t="s">
        <v>2080</v>
      </c>
      <c r="AG117" s="354" t="s">
        <v>2080</v>
      </c>
      <c r="AH117" s="901" t="str">
        <f>ASC("-"&amp;【マスター】!$K$52)</f>
        <v>-94</v>
      </c>
      <c r="AI117" s="892" t="s">
        <v>2079</v>
      </c>
      <c r="AJ117" s="892"/>
      <c r="AK117" s="889"/>
    </row>
    <row r="118" spans="32:37">
      <c r="AF118" s="356" t="s">
        <v>785</v>
      </c>
    </row>
    <row r="119" spans="32:37">
      <c r="AF119" s="357" t="s">
        <v>773</v>
      </c>
      <c r="AG119" s="357" t="s">
        <v>765</v>
      </c>
      <c r="AH119" s="357" t="s">
        <v>766</v>
      </c>
      <c r="AI119" s="357" t="s">
        <v>767</v>
      </c>
      <c r="AJ119" s="357" t="s">
        <v>774</v>
      </c>
    </row>
    <row r="120" spans="32:37">
      <c r="AF120" s="354" t="s">
        <v>874</v>
      </c>
      <c r="AG120" s="354" t="s">
        <v>875</v>
      </c>
      <c r="AH120" s="950">
        <f>$AH$122*0.7</f>
        <v>392</v>
      </c>
      <c r="AI120" s="354" t="s">
        <v>827</v>
      </c>
      <c r="AJ120" s="354"/>
      <c r="AK120" s="508">
        <f>AK122*0.7</f>
        <v>389.9</v>
      </c>
    </row>
    <row r="121" spans="32:37">
      <c r="AF121" s="354" t="s">
        <v>876</v>
      </c>
      <c r="AG121" s="354" t="s">
        <v>877</v>
      </c>
      <c r="AH121" s="950">
        <f>【マスター】!$Y$18</f>
        <v>533</v>
      </c>
      <c r="AI121" s="354" t="s">
        <v>827</v>
      </c>
      <c r="AJ121" s="354"/>
      <c r="AK121" s="509">
        <v>530</v>
      </c>
    </row>
    <row r="122" spans="32:37">
      <c r="AF122" s="354" t="s">
        <v>878</v>
      </c>
      <c r="AG122" s="354" t="s">
        <v>879</v>
      </c>
      <c r="AH122" s="950">
        <f>【マスター】!$AD$18</f>
        <v>560</v>
      </c>
      <c r="AI122" s="354" t="s">
        <v>827</v>
      </c>
      <c r="AJ122" s="361"/>
      <c r="AK122" s="510">
        <v>557</v>
      </c>
    </row>
    <row r="123" spans="32:37">
      <c r="AF123" s="354" t="s">
        <v>880</v>
      </c>
      <c r="AG123" s="354" t="s">
        <v>881</v>
      </c>
      <c r="AH123" s="950">
        <f>【マスター】!$AI$18</f>
        <v>880</v>
      </c>
      <c r="AI123" s="354" t="s">
        <v>827</v>
      </c>
      <c r="AJ123" s="354"/>
      <c r="AK123" s="510">
        <v>876</v>
      </c>
    </row>
    <row r="124" spans="32:37">
      <c r="AF124" s="354" t="s">
        <v>882</v>
      </c>
      <c r="AG124" s="354" t="s">
        <v>883</v>
      </c>
      <c r="AH124" s="950">
        <f>【マスター】!$AN$18</f>
        <v>901</v>
      </c>
      <c r="AI124" s="354" t="s">
        <v>827</v>
      </c>
      <c r="AJ124" s="354"/>
      <c r="AK124" s="511">
        <v>897</v>
      </c>
    </row>
    <row r="125" spans="32:37">
      <c r="AF125" s="354" t="s">
        <v>884</v>
      </c>
      <c r="AG125" s="354" t="s">
        <v>885</v>
      </c>
      <c r="AH125" s="950">
        <f>【マスター】!$AS$18</f>
        <v>1023</v>
      </c>
      <c r="AI125" s="354" t="s">
        <v>827</v>
      </c>
      <c r="AJ125" s="354"/>
      <c r="AK125" s="510">
        <v>1018</v>
      </c>
    </row>
    <row r="126" spans="32:37">
      <c r="AF126" s="354" t="s">
        <v>886</v>
      </c>
      <c r="AG126" s="354" t="s">
        <v>887</v>
      </c>
      <c r="AH126" s="950">
        <f>【マスター】!$AX$18</f>
        <v>1041</v>
      </c>
      <c r="AI126" s="354" t="s">
        <v>827</v>
      </c>
      <c r="AJ126" s="354"/>
      <c r="AK126" s="511">
        <v>1036</v>
      </c>
    </row>
    <row r="127" spans="32:37">
      <c r="AF127" s="906" t="s">
        <v>1975</v>
      </c>
      <c r="AG127" s="892" t="s">
        <v>1953</v>
      </c>
      <c r="AH127" s="950">
        <f>$AH$125+50</f>
        <v>1073</v>
      </c>
      <c r="AI127" s="354" t="s">
        <v>827</v>
      </c>
      <c r="AJ127" s="892"/>
      <c r="AK127" s="508">
        <f>AK126+50</f>
        <v>1086</v>
      </c>
    </row>
    <row r="128" spans="32:37">
      <c r="AF128" s="906" t="s">
        <v>1976</v>
      </c>
      <c r="AG128" s="892" t="s">
        <v>1955</v>
      </c>
      <c r="AH128" s="950">
        <f>$AH$126+50</f>
        <v>1091</v>
      </c>
      <c r="AI128" s="354" t="s">
        <v>827</v>
      </c>
      <c r="AJ128" s="892"/>
      <c r="AK128" s="508">
        <f t="shared" ref="AK128:AK130" si="10">AK127+50</f>
        <v>1136</v>
      </c>
    </row>
    <row r="129" spans="32:37">
      <c r="AF129" s="906" t="s">
        <v>1977</v>
      </c>
      <c r="AG129" s="892" t="s">
        <v>1957</v>
      </c>
      <c r="AH129" s="950">
        <f>$AH$127+50</f>
        <v>1123</v>
      </c>
      <c r="AI129" s="354" t="s">
        <v>827</v>
      </c>
      <c r="AJ129" s="907"/>
      <c r="AK129" s="508">
        <f t="shared" si="10"/>
        <v>1186</v>
      </c>
    </row>
    <row r="130" spans="32:37">
      <c r="AF130" s="906" t="s">
        <v>1978</v>
      </c>
      <c r="AG130" s="892" t="s">
        <v>1959</v>
      </c>
      <c r="AH130" s="950">
        <f>$AH$128+50</f>
        <v>1141</v>
      </c>
      <c r="AI130" s="354" t="s">
        <v>827</v>
      </c>
      <c r="AJ130" s="892"/>
      <c r="AK130" s="508">
        <f t="shared" si="10"/>
        <v>1236</v>
      </c>
    </row>
    <row r="131" spans="32:37">
      <c r="AF131" s="906" t="s">
        <v>1979</v>
      </c>
      <c r="AG131" s="892" t="s">
        <v>1961</v>
      </c>
      <c r="AH131" s="950">
        <f>$AH$129+50</f>
        <v>1173</v>
      </c>
      <c r="AI131" s="354" t="s">
        <v>827</v>
      </c>
      <c r="AJ131" s="892"/>
      <c r="AK131" s="508">
        <f>AK130+50</f>
        <v>1286</v>
      </c>
    </row>
    <row r="132" spans="32:37">
      <c r="AF132" s="906" t="s">
        <v>1861</v>
      </c>
      <c r="AG132" s="892" t="s">
        <v>1861</v>
      </c>
      <c r="AH132" s="892" t="str">
        <f>ASC(【マスター】!$D$49)</f>
        <v>40</v>
      </c>
      <c r="AI132" s="892" t="s">
        <v>1906</v>
      </c>
      <c r="AJ132" s="892"/>
    </row>
    <row r="133" spans="32:37">
      <c r="AF133" s="906" t="s">
        <v>1862</v>
      </c>
      <c r="AG133" s="892" t="s">
        <v>1862</v>
      </c>
      <c r="AH133" s="892" t="str">
        <f>ASC(【マスター】!$D$50)</f>
        <v>55</v>
      </c>
      <c r="AI133" s="892" t="s">
        <v>1906</v>
      </c>
      <c r="AJ133" s="892"/>
    </row>
    <row r="134" spans="32:37">
      <c r="AF134" s="906" t="s">
        <v>817</v>
      </c>
      <c r="AG134" s="892" t="s">
        <v>817</v>
      </c>
      <c r="AH134" s="899" t="str">
        <f>ASC(【マスター】!$D$53)</f>
        <v>45</v>
      </c>
      <c r="AI134" s="892" t="s">
        <v>778</v>
      </c>
      <c r="AJ134" s="899"/>
    </row>
    <row r="135" spans="32:37">
      <c r="AF135" s="906" t="s">
        <v>1863</v>
      </c>
      <c r="AG135" s="906" t="s">
        <v>1962</v>
      </c>
      <c r="AH135" s="892" t="str">
        <f>ASC(【マスター】!$D$69)</f>
        <v>100</v>
      </c>
      <c r="AI135" s="892" t="s">
        <v>818</v>
      </c>
      <c r="AJ135" s="912" t="s">
        <v>1963</v>
      </c>
    </row>
    <row r="136" spans="32:37">
      <c r="AF136" s="906" t="s">
        <v>1864</v>
      </c>
      <c r="AG136" s="906" t="s">
        <v>1864</v>
      </c>
      <c r="AH136" s="892" t="str">
        <f>ASC(【マスター】!$D$70)</f>
        <v>100</v>
      </c>
      <c r="AI136" s="892" t="s">
        <v>818</v>
      </c>
      <c r="AJ136" s="892"/>
    </row>
    <row r="137" spans="32:37">
      <c r="AF137" s="906" t="s">
        <v>1865</v>
      </c>
      <c r="AG137" s="906" t="s">
        <v>1865</v>
      </c>
      <c r="AH137" s="892" t="str">
        <f>ASC(【マスター】!$D$54)</f>
        <v>56</v>
      </c>
      <c r="AI137" s="892" t="s">
        <v>820</v>
      </c>
      <c r="AJ137" s="892"/>
    </row>
    <row r="138" spans="32:37">
      <c r="AF138" s="906" t="s">
        <v>1866</v>
      </c>
      <c r="AG138" s="906" t="s">
        <v>1866</v>
      </c>
      <c r="AH138" s="892" t="str">
        <f>ASC(【マスター】!$D$55)</f>
        <v>85</v>
      </c>
      <c r="AI138" s="892" t="s">
        <v>888</v>
      </c>
      <c r="AJ138" s="892"/>
    </row>
    <row r="139" spans="32:37">
      <c r="AF139" s="906" t="s">
        <v>823</v>
      </c>
      <c r="AG139" s="906" t="s">
        <v>823</v>
      </c>
      <c r="AH139" s="892" t="str">
        <f>ASC(【マスター】!$D$56)</f>
        <v>20</v>
      </c>
      <c r="AI139" s="892" t="s">
        <v>818</v>
      </c>
      <c r="AJ139" s="892"/>
    </row>
    <row r="140" spans="32:37">
      <c r="AF140" s="906" t="s">
        <v>208</v>
      </c>
      <c r="AG140" s="906" t="s">
        <v>208</v>
      </c>
      <c r="AH140" s="892" t="str">
        <f>ASC(【マスター】!$D$66)</f>
        <v>30</v>
      </c>
      <c r="AI140" s="892" t="s">
        <v>818</v>
      </c>
      <c r="AJ140" s="892"/>
    </row>
    <row r="141" spans="32:37">
      <c r="AF141" s="906" t="s">
        <v>209</v>
      </c>
      <c r="AG141" s="906" t="s">
        <v>209</v>
      </c>
      <c r="AH141" s="892" t="str">
        <f>ASC(【マスター】!$D$67)</f>
        <v>60</v>
      </c>
      <c r="AI141" s="892" t="s">
        <v>818</v>
      </c>
      <c r="AJ141" s="892"/>
    </row>
    <row r="142" spans="32:37">
      <c r="AF142" s="906" t="s">
        <v>1867</v>
      </c>
      <c r="AG142" s="906" t="s">
        <v>1867</v>
      </c>
      <c r="AH142" s="892" t="str">
        <f>ASC(【マスター】!$D$68)</f>
        <v>3</v>
      </c>
      <c r="AI142" s="892" t="s">
        <v>1907</v>
      </c>
      <c r="AJ142" s="892"/>
    </row>
    <row r="143" spans="32:37">
      <c r="AF143" s="906" t="s">
        <v>826</v>
      </c>
      <c r="AG143" s="906" t="s">
        <v>826</v>
      </c>
      <c r="AH143" s="892" t="str">
        <f>ASC(【マスター】!$D$51)</f>
        <v>60</v>
      </c>
      <c r="AI143" s="892" t="s">
        <v>820</v>
      </c>
      <c r="AJ143" s="892"/>
    </row>
    <row r="144" spans="32:37">
      <c r="AF144" s="906" t="s">
        <v>828</v>
      </c>
      <c r="AG144" s="906" t="s">
        <v>828</v>
      </c>
      <c r="AH144" s="892" t="str">
        <f>ASC(【マスター】!$D$52)</f>
        <v>60</v>
      </c>
      <c r="AI144" s="892" t="s">
        <v>820</v>
      </c>
      <c r="AJ144" s="892"/>
    </row>
    <row r="145" spans="32:37">
      <c r="AF145" s="906" t="s">
        <v>831</v>
      </c>
      <c r="AG145" s="906" t="s">
        <v>1964</v>
      </c>
      <c r="AH145" s="892" t="str">
        <f>ASC(【マスター】!$D$60)</f>
        <v>200</v>
      </c>
      <c r="AI145" s="892" t="s">
        <v>778</v>
      </c>
      <c r="AJ145" s="892" t="s">
        <v>832</v>
      </c>
    </row>
    <row r="146" spans="32:37">
      <c r="AF146" s="906" t="s">
        <v>1868</v>
      </c>
      <c r="AG146" s="906" t="s">
        <v>1868</v>
      </c>
      <c r="AH146" s="892" t="str">
        <f>ASC(【マスター】!$D$61)</f>
        <v>50</v>
      </c>
      <c r="AI146" s="892" t="s">
        <v>1869</v>
      </c>
      <c r="AJ146" s="892"/>
    </row>
    <row r="147" spans="32:37">
      <c r="AF147" s="906" t="s">
        <v>2022</v>
      </c>
      <c r="AG147" s="906" t="s">
        <v>1965</v>
      </c>
      <c r="AH147" s="892" t="str">
        <f>ASC(【マスター】!$D$62)</f>
        <v>20</v>
      </c>
      <c r="AI147" s="892" t="s">
        <v>778</v>
      </c>
      <c r="AJ147" s="906" t="s">
        <v>1872</v>
      </c>
    </row>
    <row r="148" spans="32:37">
      <c r="AF148" s="906" t="s">
        <v>2023</v>
      </c>
      <c r="AG148" s="906" t="s">
        <v>1966</v>
      </c>
      <c r="AH148" s="892" t="str">
        <f>ASC(【マスター】!$D$63)</f>
        <v>5</v>
      </c>
      <c r="AI148" s="892" t="s">
        <v>827</v>
      </c>
      <c r="AJ148" s="906" t="s">
        <v>1872</v>
      </c>
    </row>
    <row r="149" spans="32:37">
      <c r="AF149" s="906" t="s">
        <v>1870</v>
      </c>
      <c r="AG149" s="906" t="s">
        <v>1967</v>
      </c>
      <c r="AH149" s="892" t="str">
        <f>ASC(【マスター】!$D$64)</f>
        <v>150</v>
      </c>
      <c r="AI149" s="892" t="s">
        <v>778</v>
      </c>
      <c r="AJ149" s="892" t="s">
        <v>832</v>
      </c>
    </row>
    <row r="150" spans="32:37">
      <c r="AF150" s="906" t="s">
        <v>1871</v>
      </c>
      <c r="AG150" s="906" t="s">
        <v>1968</v>
      </c>
      <c r="AH150" s="892" t="str">
        <f>ASC(【マスター】!$D$65)</f>
        <v>160</v>
      </c>
      <c r="AI150" s="892" t="s">
        <v>778</v>
      </c>
      <c r="AJ150" s="892" t="s">
        <v>832</v>
      </c>
    </row>
    <row r="151" spans="32:37">
      <c r="AF151" s="933" t="s">
        <v>2013</v>
      </c>
      <c r="AG151" s="933" t="s">
        <v>2014</v>
      </c>
      <c r="AH151" s="354" t="str">
        <f>ASC(【マスター】!$D$72)</f>
        <v>40</v>
      </c>
      <c r="AI151" s="354" t="s">
        <v>2015</v>
      </c>
      <c r="AJ151" s="354"/>
      <c r="AK151" s="486"/>
    </row>
    <row r="152" spans="32:37">
      <c r="AF152" s="906" t="s">
        <v>171</v>
      </c>
      <c r="AG152" s="906" t="s">
        <v>1969</v>
      </c>
      <c r="AH152" s="892" t="str">
        <f>ASC("-"&amp;【マスター】!$K$51)</f>
        <v>-47</v>
      </c>
      <c r="AI152" s="892" t="s">
        <v>778</v>
      </c>
      <c r="AJ152" s="892" t="s">
        <v>836</v>
      </c>
    </row>
    <row r="153" spans="32:37">
      <c r="AF153" s="354" t="s">
        <v>2080</v>
      </c>
      <c r="AG153" s="354" t="s">
        <v>2080</v>
      </c>
      <c r="AH153" s="892" t="str">
        <f>ASC("-"&amp;【マスター】!$K$52)</f>
        <v>-94</v>
      </c>
      <c r="AI153" s="892" t="s">
        <v>2079</v>
      </c>
      <c r="AJ153" s="892"/>
      <c r="AK153" s="889"/>
    </row>
    <row r="154" spans="32:37">
      <c r="AF154" s="356" t="s">
        <v>790</v>
      </c>
    </row>
    <row r="155" spans="32:37">
      <c r="AF155" s="357" t="s">
        <v>773</v>
      </c>
      <c r="AG155" s="357" t="s">
        <v>765</v>
      </c>
      <c r="AH155" s="357" t="s">
        <v>766</v>
      </c>
      <c r="AI155" s="357" t="s">
        <v>767</v>
      </c>
      <c r="AJ155" s="357" t="s">
        <v>774</v>
      </c>
    </row>
    <row r="156" spans="32:37">
      <c r="AF156" s="354" t="s">
        <v>889</v>
      </c>
      <c r="AG156" s="354" t="s">
        <v>890</v>
      </c>
      <c r="AH156" s="950">
        <f>$AH$157*0.7</f>
        <v>411.59999999999997</v>
      </c>
      <c r="AI156" s="354" t="s">
        <v>827</v>
      </c>
      <c r="AJ156" s="354"/>
      <c r="AK156" s="508">
        <f>AK158*0.7</f>
        <v>429.79999999999995</v>
      </c>
    </row>
    <row r="157" spans="32:37">
      <c r="AF157" s="354" t="s">
        <v>891</v>
      </c>
      <c r="AG157" s="354" t="s">
        <v>892</v>
      </c>
      <c r="AH157" s="950">
        <f>【マスター】!$Z$18</f>
        <v>588</v>
      </c>
      <c r="AI157" s="354" t="s">
        <v>827</v>
      </c>
      <c r="AJ157" s="362"/>
      <c r="AK157" s="509">
        <v>585</v>
      </c>
    </row>
    <row r="158" spans="32:37">
      <c r="AF158" s="354" t="s">
        <v>893</v>
      </c>
      <c r="AG158" s="354" t="s">
        <v>894</v>
      </c>
      <c r="AH158" s="950">
        <f>【マスター】!$AE$18</f>
        <v>617</v>
      </c>
      <c r="AI158" s="354" t="s">
        <v>827</v>
      </c>
      <c r="AJ158" s="354"/>
      <c r="AK158" s="510">
        <v>614</v>
      </c>
    </row>
    <row r="159" spans="32:37">
      <c r="AF159" s="354" t="s">
        <v>895</v>
      </c>
      <c r="AG159" s="361" t="s">
        <v>896</v>
      </c>
      <c r="AH159" s="950">
        <f>【マスター】!$AJ$18</f>
        <v>984</v>
      </c>
      <c r="AI159" s="354" t="s">
        <v>827</v>
      </c>
      <c r="AJ159" s="354"/>
      <c r="AK159" s="511">
        <v>979</v>
      </c>
    </row>
    <row r="160" spans="32:37">
      <c r="AF160" s="354" t="s">
        <v>897</v>
      </c>
      <c r="AG160" s="354" t="s">
        <v>898</v>
      </c>
      <c r="AH160" s="950">
        <f>【マスター】!$AO$18</f>
        <v>1008</v>
      </c>
      <c r="AI160" s="354" t="s">
        <v>827</v>
      </c>
      <c r="AJ160" s="354"/>
      <c r="AK160" s="511">
        <v>1003</v>
      </c>
    </row>
    <row r="161" spans="32:37">
      <c r="AF161" s="354" t="s">
        <v>899</v>
      </c>
      <c r="AG161" s="354" t="s">
        <v>900</v>
      </c>
      <c r="AH161" s="950">
        <f>【マスター】!$AT$18</f>
        <v>1148</v>
      </c>
      <c r="AI161" s="354" t="s">
        <v>827</v>
      </c>
      <c r="AJ161" s="354"/>
      <c r="AK161" s="510">
        <v>1142</v>
      </c>
    </row>
    <row r="162" spans="32:37">
      <c r="AF162" s="354" t="s">
        <v>901</v>
      </c>
      <c r="AG162" s="354" t="s">
        <v>902</v>
      </c>
      <c r="AH162" s="950">
        <f>【マスター】!$AY$18</f>
        <v>1168</v>
      </c>
      <c r="AI162" s="354" t="s">
        <v>827</v>
      </c>
      <c r="AJ162" s="354"/>
      <c r="AK162" s="511">
        <v>1162</v>
      </c>
    </row>
    <row r="163" spans="32:37">
      <c r="AF163" s="906" t="s">
        <v>1970</v>
      </c>
      <c r="AG163" s="892" t="s">
        <v>1953</v>
      </c>
      <c r="AH163" s="950">
        <f>$AH$161+50</f>
        <v>1198</v>
      </c>
      <c r="AI163" s="354" t="s">
        <v>827</v>
      </c>
      <c r="AJ163" s="892"/>
      <c r="AK163" s="508">
        <f>AK162+50</f>
        <v>1212</v>
      </c>
    </row>
    <row r="164" spans="32:37">
      <c r="AF164" s="906" t="s">
        <v>1971</v>
      </c>
      <c r="AG164" s="892" t="s">
        <v>1955</v>
      </c>
      <c r="AH164" s="950">
        <f>$AH$162+50</f>
        <v>1218</v>
      </c>
      <c r="AI164" s="354" t="s">
        <v>827</v>
      </c>
      <c r="AJ164" s="892"/>
      <c r="AK164" s="508">
        <f t="shared" ref="AK164:AK167" si="11">AK163+50</f>
        <v>1262</v>
      </c>
    </row>
    <row r="165" spans="32:37">
      <c r="AF165" s="906" t="s">
        <v>1972</v>
      </c>
      <c r="AG165" s="892" t="s">
        <v>1957</v>
      </c>
      <c r="AH165" s="950">
        <f>$AH$163+50</f>
        <v>1248</v>
      </c>
      <c r="AI165" s="354" t="s">
        <v>827</v>
      </c>
      <c r="AJ165" s="907"/>
      <c r="AK165" s="508">
        <f t="shared" si="11"/>
        <v>1312</v>
      </c>
    </row>
    <row r="166" spans="32:37">
      <c r="AF166" s="906" t="s">
        <v>1973</v>
      </c>
      <c r="AG166" s="892" t="s">
        <v>1959</v>
      </c>
      <c r="AH166" s="950">
        <f>$AH$164+50</f>
        <v>1268</v>
      </c>
      <c r="AI166" s="354" t="s">
        <v>827</v>
      </c>
      <c r="AJ166" s="892"/>
      <c r="AK166" s="508">
        <f t="shared" si="11"/>
        <v>1362</v>
      </c>
    </row>
    <row r="167" spans="32:37">
      <c r="AF167" s="906" t="s">
        <v>1974</v>
      </c>
      <c r="AG167" s="892" t="s">
        <v>1961</v>
      </c>
      <c r="AH167" s="950">
        <f>$AH$165+50</f>
        <v>1298</v>
      </c>
      <c r="AI167" s="354" t="s">
        <v>827</v>
      </c>
      <c r="AJ167" s="892"/>
      <c r="AK167" s="508">
        <f t="shared" si="11"/>
        <v>1412</v>
      </c>
    </row>
    <row r="168" spans="32:37">
      <c r="AF168" s="906" t="s">
        <v>1861</v>
      </c>
      <c r="AG168" s="892" t="s">
        <v>1861</v>
      </c>
      <c r="AH168" s="892" t="str">
        <f>ASC(【マスター】!$D$49)</f>
        <v>40</v>
      </c>
      <c r="AI168" s="892" t="s">
        <v>1906</v>
      </c>
      <c r="AJ168" s="892"/>
    </row>
    <row r="169" spans="32:37">
      <c r="AF169" s="906" t="s">
        <v>1862</v>
      </c>
      <c r="AG169" s="892" t="s">
        <v>1862</v>
      </c>
      <c r="AH169" s="892" t="str">
        <f>ASC(【マスター】!$D$50)</f>
        <v>55</v>
      </c>
      <c r="AI169" s="892" t="s">
        <v>1906</v>
      </c>
      <c r="AJ169" s="892"/>
    </row>
    <row r="170" spans="32:37">
      <c r="AF170" s="906" t="s">
        <v>817</v>
      </c>
      <c r="AG170" s="892" t="s">
        <v>817</v>
      </c>
      <c r="AH170" s="899" t="str">
        <f>ASC(【マスター】!$D$53)</f>
        <v>45</v>
      </c>
      <c r="AI170" s="892" t="s">
        <v>778</v>
      </c>
      <c r="AJ170" s="899"/>
    </row>
    <row r="171" spans="32:37">
      <c r="AF171" s="906" t="s">
        <v>1863</v>
      </c>
      <c r="AG171" s="906" t="s">
        <v>1962</v>
      </c>
      <c r="AH171" s="892" t="str">
        <f>ASC(【マスター】!$D$69)</f>
        <v>100</v>
      </c>
      <c r="AI171" s="892" t="s">
        <v>818</v>
      </c>
      <c r="AJ171" s="912" t="s">
        <v>1963</v>
      </c>
    </row>
    <row r="172" spans="32:37">
      <c r="AF172" s="906" t="s">
        <v>1864</v>
      </c>
      <c r="AG172" s="906" t="s">
        <v>1864</v>
      </c>
      <c r="AH172" s="892" t="str">
        <f>ASC(【マスター】!$D$70)</f>
        <v>100</v>
      </c>
      <c r="AI172" s="892" t="s">
        <v>818</v>
      </c>
      <c r="AJ172" s="892"/>
    </row>
    <row r="173" spans="32:37">
      <c r="AF173" s="906" t="s">
        <v>1865</v>
      </c>
      <c r="AG173" s="906" t="s">
        <v>1865</v>
      </c>
      <c r="AH173" s="892" t="str">
        <f>ASC(【マスター】!$D$54)</f>
        <v>56</v>
      </c>
      <c r="AI173" s="892" t="s">
        <v>820</v>
      </c>
      <c r="AJ173" s="892"/>
    </row>
    <row r="174" spans="32:37">
      <c r="AF174" s="906" t="s">
        <v>1866</v>
      </c>
      <c r="AG174" s="906" t="s">
        <v>1866</v>
      </c>
      <c r="AH174" s="892" t="str">
        <f>ASC(【マスター】!$D$55)</f>
        <v>85</v>
      </c>
      <c r="AI174" s="892" t="s">
        <v>888</v>
      </c>
      <c r="AJ174" s="892"/>
    </row>
    <row r="175" spans="32:37">
      <c r="AF175" s="906" t="s">
        <v>823</v>
      </c>
      <c r="AG175" s="906" t="s">
        <v>823</v>
      </c>
      <c r="AH175" s="892" t="str">
        <f>ASC(【マスター】!$D$56)</f>
        <v>20</v>
      </c>
      <c r="AI175" s="892" t="s">
        <v>818</v>
      </c>
      <c r="AJ175" s="892"/>
    </row>
    <row r="176" spans="32:37">
      <c r="AF176" s="906" t="s">
        <v>208</v>
      </c>
      <c r="AG176" s="906" t="s">
        <v>208</v>
      </c>
      <c r="AH176" s="892" t="str">
        <f>ASC(【マスター】!$D$66)</f>
        <v>30</v>
      </c>
      <c r="AI176" s="892" t="s">
        <v>818</v>
      </c>
      <c r="AJ176" s="892"/>
    </row>
    <row r="177" spans="32:37">
      <c r="AF177" s="906" t="s">
        <v>209</v>
      </c>
      <c r="AG177" s="906" t="s">
        <v>209</v>
      </c>
      <c r="AH177" s="892" t="str">
        <f>ASC(【マスター】!$D$67)</f>
        <v>60</v>
      </c>
      <c r="AI177" s="892" t="s">
        <v>818</v>
      </c>
      <c r="AJ177" s="892"/>
    </row>
    <row r="178" spans="32:37">
      <c r="AF178" s="906" t="s">
        <v>1867</v>
      </c>
      <c r="AG178" s="906" t="s">
        <v>1867</v>
      </c>
      <c r="AH178" s="892" t="str">
        <f>ASC(【マスター】!$D$68)</f>
        <v>3</v>
      </c>
      <c r="AI178" s="892" t="s">
        <v>1907</v>
      </c>
      <c r="AJ178" s="892"/>
    </row>
    <row r="179" spans="32:37">
      <c r="AF179" s="906" t="s">
        <v>826</v>
      </c>
      <c r="AG179" s="906" t="s">
        <v>826</v>
      </c>
      <c r="AH179" s="892" t="str">
        <f>ASC(【マスター】!$D$51)</f>
        <v>60</v>
      </c>
      <c r="AI179" s="892" t="s">
        <v>820</v>
      </c>
      <c r="AJ179" s="892"/>
    </row>
    <row r="180" spans="32:37">
      <c r="AF180" s="906" t="s">
        <v>828</v>
      </c>
      <c r="AG180" s="906" t="s">
        <v>828</v>
      </c>
      <c r="AH180" s="892" t="str">
        <f>ASC(【マスター】!$D$52)</f>
        <v>60</v>
      </c>
      <c r="AI180" s="892" t="s">
        <v>820</v>
      </c>
      <c r="AJ180" s="892"/>
    </row>
    <row r="181" spans="32:37">
      <c r="AF181" s="906" t="s">
        <v>831</v>
      </c>
      <c r="AG181" s="906" t="s">
        <v>1964</v>
      </c>
      <c r="AH181" s="892" t="str">
        <f>ASC(【マスター】!$D$60)</f>
        <v>200</v>
      </c>
      <c r="AI181" s="892" t="s">
        <v>778</v>
      </c>
      <c r="AJ181" s="892" t="s">
        <v>832</v>
      </c>
    </row>
    <row r="182" spans="32:37">
      <c r="AF182" s="906" t="s">
        <v>1868</v>
      </c>
      <c r="AG182" s="906" t="s">
        <v>1868</v>
      </c>
      <c r="AH182" s="892" t="str">
        <f>ASC(【マスター】!$D$61)</f>
        <v>50</v>
      </c>
      <c r="AI182" s="892" t="s">
        <v>1869</v>
      </c>
      <c r="AJ182" s="892"/>
    </row>
    <row r="183" spans="32:37">
      <c r="AF183" s="906" t="s">
        <v>2022</v>
      </c>
      <c r="AG183" s="906" t="s">
        <v>1965</v>
      </c>
      <c r="AH183" s="892" t="str">
        <f>ASC(【マスター】!$D$62)</f>
        <v>20</v>
      </c>
      <c r="AI183" s="892" t="s">
        <v>778</v>
      </c>
      <c r="AJ183" s="906" t="s">
        <v>1872</v>
      </c>
    </row>
    <row r="184" spans="32:37">
      <c r="AF184" s="906" t="s">
        <v>2023</v>
      </c>
      <c r="AG184" s="906" t="s">
        <v>1966</v>
      </c>
      <c r="AH184" s="892" t="str">
        <f>ASC(【マスター】!$D$63)</f>
        <v>5</v>
      </c>
      <c r="AI184" s="892" t="s">
        <v>827</v>
      </c>
      <c r="AJ184" s="906" t="s">
        <v>1872</v>
      </c>
    </row>
    <row r="185" spans="32:37">
      <c r="AF185" s="906" t="s">
        <v>1870</v>
      </c>
      <c r="AG185" s="906" t="s">
        <v>1967</v>
      </c>
      <c r="AH185" s="892" t="str">
        <f>ASC(【マスター】!$D$64)</f>
        <v>150</v>
      </c>
      <c r="AI185" s="892" t="s">
        <v>778</v>
      </c>
      <c r="AJ185" s="892" t="s">
        <v>832</v>
      </c>
    </row>
    <row r="186" spans="32:37">
      <c r="AF186" s="906" t="s">
        <v>1871</v>
      </c>
      <c r="AG186" s="906" t="s">
        <v>1968</v>
      </c>
      <c r="AH186" s="892" t="str">
        <f>ASC(【マスター】!$D$65)</f>
        <v>160</v>
      </c>
      <c r="AI186" s="892" t="s">
        <v>778</v>
      </c>
      <c r="AJ186" s="892" t="s">
        <v>832</v>
      </c>
    </row>
    <row r="187" spans="32:37">
      <c r="AF187" s="933" t="s">
        <v>2013</v>
      </c>
      <c r="AG187" s="933" t="s">
        <v>2014</v>
      </c>
      <c r="AH187" s="354" t="str">
        <f>ASC(【マスター】!$D$72)</f>
        <v>40</v>
      </c>
      <c r="AI187" s="354" t="s">
        <v>2015</v>
      </c>
      <c r="AJ187" s="354"/>
      <c r="AK187" s="486"/>
    </row>
    <row r="188" spans="32:37">
      <c r="AF188" s="906" t="s">
        <v>171</v>
      </c>
      <c r="AG188" s="906" t="s">
        <v>1969</v>
      </c>
      <c r="AH188" s="892" t="str">
        <f>ASC("-"&amp;【マスター】!$K$51)</f>
        <v>-47</v>
      </c>
      <c r="AI188" s="892" t="s">
        <v>778</v>
      </c>
      <c r="AJ188" s="892" t="s">
        <v>836</v>
      </c>
    </row>
    <row r="189" spans="32:37">
      <c r="AF189" s="354" t="s">
        <v>2080</v>
      </c>
      <c r="AG189" s="354" t="s">
        <v>2080</v>
      </c>
      <c r="AH189" s="892" t="str">
        <f>ASC("-"&amp;【マスター】!$K$52)</f>
        <v>-94</v>
      </c>
      <c r="AI189" s="892" t="s">
        <v>2079</v>
      </c>
      <c r="AJ189" s="892"/>
      <c r="AK189" s="889"/>
    </row>
  </sheetData>
  <sheetProtection selectLockedCells="1"/>
  <mergeCells count="132">
    <mergeCell ref="AC2:AF2"/>
    <mergeCell ref="T41:X41"/>
    <mergeCell ref="T33:X33"/>
    <mergeCell ref="B34:N34"/>
    <mergeCell ref="A24:D25"/>
    <mergeCell ref="E24:E26"/>
    <mergeCell ref="J26:L26"/>
    <mergeCell ref="T16:X16"/>
    <mergeCell ref="B17:H17"/>
    <mergeCell ref="I17:N17"/>
    <mergeCell ref="O17:Q17"/>
    <mergeCell ref="T17:X17"/>
    <mergeCell ref="B16:H16"/>
    <mergeCell ref="I16:N16"/>
    <mergeCell ref="O16:Q16"/>
    <mergeCell ref="T18:X18"/>
    <mergeCell ref="E20:G20"/>
    <mergeCell ref="O18:S18"/>
    <mergeCell ref="B33:N33"/>
    <mergeCell ref="O33:Q33"/>
    <mergeCell ref="A22:C22"/>
    <mergeCell ref="E22:G22"/>
    <mergeCell ref="A28:C28"/>
    <mergeCell ref="D28:D30"/>
    <mergeCell ref="A43:F43"/>
    <mergeCell ref="G43:G45"/>
    <mergeCell ref="H43:M43"/>
    <mergeCell ref="N43:N45"/>
    <mergeCell ref="O43:X43"/>
    <mergeCell ref="A44:F45"/>
    <mergeCell ref="H44:M45"/>
    <mergeCell ref="O44:X45"/>
    <mergeCell ref="T37:X37"/>
    <mergeCell ref="B38:N38"/>
    <mergeCell ref="O38:Q38"/>
    <mergeCell ref="T38:X38"/>
    <mergeCell ref="B39:N39"/>
    <mergeCell ref="O39:Q39"/>
    <mergeCell ref="T39:X39"/>
    <mergeCell ref="B40:N40"/>
    <mergeCell ref="O40:Q40"/>
    <mergeCell ref="T40:X40"/>
    <mergeCell ref="B37:N37"/>
    <mergeCell ref="O37:Q37"/>
    <mergeCell ref="O41:S41"/>
    <mergeCell ref="E28:G28"/>
    <mergeCell ref="H28:H30"/>
    <mergeCell ref="A29:C29"/>
    <mergeCell ref="E29:G29"/>
    <mergeCell ref="A30:C30"/>
    <mergeCell ref="I28:L29"/>
    <mergeCell ref="I30:L30"/>
    <mergeCell ref="O28:X28"/>
    <mergeCell ref="O29:X30"/>
    <mergeCell ref="H21:J21"/>
    <mergeCell ref="N21:P21"/>
    <mergeCell ref="H22:J22"/>
    <mergeCell ref="N22:P22"/>
    <mergeCell ref="T22:V22"/>
    <mergeCell ref="J25:L25"/>
    <mergeCell ref="A26:D26"/>
    <mergeCell ref="F26:H26"/>
    <mergeCell ref="H20:J20"/>
    <mergeCell ref="E21:G21"/>
    <mergeCell ref="A20:C21"/>
    <mergeCell ref="K22:M22"/>
    <mergeCell ref="B11:H11"/>
    <mergeCell ref="I11:N11"/>
    <mergeCell ref="B15:H15"/>
    <mergeCell ref="I15:N15"/>
    <mergeCell ref="O15:Q15"/>
    <mergeCell ref="T15:X15"/>
    <mergeCell ref="B13:H13"/>
    <mergeCell ref="I13:N13"/>
    <mergeCell ref="O13:Q13"/>
    <mergeCell ref="O11:Q11"/>
    <mergeCell ref="T11:X11"/>
    <mergeCell ref="B12:H12"/>
    <mergeCell ref="I12:N12"/>
    <mergeCell ref="O12:Q12"/>
    <mergeCell ref="T12:X12"/>
    <mergeCell ref="T13:X13"/>
    <mergeCell ref="B14:H14"/>
    <mergeCell ref="I14:N14"/>
    <mergeCell ref="O14:Q14"/>
    <mergeCell ref="T14:X14"/>
    <mergeCell ref="A2:X2"/>
    <mergeCell ref="A4:X4"/>
    <mergeCell ref="D5:X5"/>
    <mergeCell ref="B10:H10"/>
    <mergeCell ref="I10:N10"/>
    <mergeCell ref="O10:Q10"/>
    <mergeCell ref="R10:S10"/>
    <mergeCell ref="A5:C6"/>
    <mergeCell ref="A7:C8"/>
    <mergeCell ref="T10:X10"/>
    <mergeCell ref="D6:F7"/>
    <mergeCell ref="D8:F8"/>
    <mergeCell ref="G6:J7"/>
    <mergeCell ref="G8:J8"/>
    <mergeCell ref="U6:X7"/>
    <mergeCell ref="U8:X8"/>
    <mergeCell ref="R6:T7"/>
    <mergeCell ref="R8:T8"/>
    <mergeCell ref="O6:Q7"/>
    <mergeCell ref="O8:Q8"/>
    <mergeCell ref="K6:N7"/>
    <mergeCell ref="K8:N8"/>
    <mergeCell ref="W20:X22"/>
    <mergeCell ref="B36:N36"/>
    <mergeCell ref="O36:Q36"/>
    <mergeCell ref="T36:X36"/>
    <mergeCell ref="O34:Q34"/>
    <mergeCell ref="T34:X34"/>
    <mergeCell ref="B32:N32"/>
    <mergeCell ref="O32:Q32"/>
    <mergeCell ref="R32:S32"/>
    <mergeCell ref="T32:X32"/>
    <mergeCell ref="B35:N35"/>
    <mergeCell ref="O35:Q35"/>
    <mergeCell ref="T35:X35"/>
    <mergeCell ref="D20:D22"/>
    <mergeCell ref="Q22:S22"/>
    <mergeCell ref="E30:G30"/>
    <mergeCell ref="F24:H25"/>
    <mergeCell ref="I24:I26"/>
    <mergeCell ref="J24:L24"/>
    <mergeCell ref="K20:M20"/>
    <mergeCell ref="K21:M21"/>
    <mergeCell ref="N20:P20"/>
    <mergeCell ref="Q20:S21"/>
    <mergeCell ref="T20:V21"/>
  </mergeCells>
  <phoneticPr fontId="12"/>
  <conditionalFormatting sqref="T18:X18">
    <cfRule type="expression" dxfId="0" priority="7">
      <formula>$T$18&gt;$AC$30</formula>
    </cfRule>
  </conditionalFormatting>
  <dataValidations count="6">
    <dataValidation type="list" allowBlank="1" showInputMessage="1" showErrorMessage="1" sqref="B11:H17" xr:uid="{00000000-0002-0000-1000-000000000000}">
      <formula1>INDIRECT($A$7)</formula1>
    </dataValidation>
    <dataValidation type="list" allowBlank="1" showInputMessage="1" showErrorMessage="1" sqref="A7:C8" xr:uid="{00000000-0002-0000-1000-000001000000}">
      <formula1>$AE$12:$AE$16</formula1>
    </dataValidation>
    <dataValidation type="list" allowBlank="1" showInputMessage="1" showErrorMessage="1" sqref="AF6" xr:uid="{00000000-0002-0000-1000-000002000000}">
      <formula1>$AB$38:$AB$39</formula1>
    </dataValidation>
    <dataValidation type="list" allowBlank="1" showInputMessage="1" showErrorMessage="1" sqref="AB2" xr:uid="{00000000-0002-0000-1000-000003000000}">
      <formula1>$AB$5:$AB$8</formula1>
    </dataValidation>
    <dataValidation type="list" allowBlank="1" showInputMessage="1" showErrorMessage="1" sqref="U8" xr:uid="{00000000-0002-0000-1000-000004000000}">
      <formula1>"有,算定なし"</formula1>
    </dataValidation>
    <dataValidation type="list" allowBlank="1" showInputMessage="1" showErrorMessage="1" sqref="B33:N40" xr:uid="{00000000-0002-0000-1000-000005000000}">
      <formula1>$AL$31:$AL$40</formula1>
    </dataValidation>
  </dataValidations>
  <printOptions horizontalCentered="1" verticalCentered="1"/>
  <pageMargins left="0.39370078740157483" right="0.39370078740157483" top="0.39370078740157483" bottom="0.19685039370078741" header="0.31496062992125984" footer="0.31496062992125984"/>
  <pageSetup paperSize="9" scale="86"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M57"/>
  <sheetViews>
    <sheetView workbookViewId="0"/>
  </sheetViews>
  <sheetFormatPr defaultColWidth="9" defaultRowHeight="18.75"/>
  <cols>
    <col min="1" max="1" width="10.625" style="374" customWidth="1"/>
    <col min="2" max="4" width="12.625" style="374" customWidth="1"/>
    <col min="5" max="5" width="1.625" style="374" customWidth="1"/>
    <col min="6" max="11" width="10.625" style="374" customWidth="1"/>
    <col min="12" max="16384" width="9" style="374"/>
  </cols>
  <sheetData>
    <row r="1" spans="1:13" ht="24">
      <c r="A1" s="373" t="s">
        <v>1339</v>
      </c>
      <c r="I1" s="544" t="s">
        <v>1340</v>
      </c>
      <c r="J1" s="417" t="str">
        <f>【マスター】!D39</f>
        <v>7級地</v>
      </c>
      <c r="K1" s="375" t="str">
        <f>"("&amp;【マスター】!F39&amp;")"</f>
        <v>(10.14)</v>
      </c>
    </row>
    <row r="2" spans="1:13">
      <c r="A2" s="2466" t="s">
        <v>1341</v>
      </c>
      <c r="B2" s="2467"/>
      <c r="C2" s="2467"/>
      <c r="D2" s="2468"/>
      <c r="F2" s="2456" t="s">
        <v>1353</v>
      </c>
      <c r="G2" s="2456"/>
      <c r="H2" s="2456"/>
      <c r="I2" s="2456"/>
      <c r="J2" s="2456"/>
      <c r="K2" s="2456"/>
    </row>
    <row r="3" spans="1:13">
      <c r="A3" s="582" t="s">
        <v>1343</v>
      </c>
      <c r="B3" s="2465" t="s">
        <v>1344</v>
      </c>
      <c r="C3" s="2465"/>
      <c r="D3" s="2465"/>
      <c r="F3" s="2457" t="s">
        <v>170</v>
      </c>
      <c r="G3" s="2457"/>
      <c r="H3" s="2457"/>
      <c r="I3" s="579" t="s">
        <v>1355</v>
      </c>
      <c r="J3" s="579" t="s">
        <v>1346</v>
      </c>
      <c r="K3" s="579" t="s">
        <v>1347</v>
      </c>
      <c r="M3" s="474"/>
    </row>
    <row r="4" spans="1:13">
      <c r="A4" s="585" t="s">
        <v>1348</v>
      </c>
      <c r="B4" s="376" t="s">
        <v>1349</v>
      </c>
      <c r="C4" s="377" t="str">
        <f>ASC(【マスター】!Q5)&amp;"単位"</f>
        <v>370単位</v>
      </c>
      <c r="D4" s="378" t="str">
        <f>ASC(【マスター】!R5)&amp;"円"</f>
        <v>3,751円</v>
      </c>
      <c r="F4" s="2458" t="str">
        <f>【マスター】!A49</f>
        <v>入浴介助加算(Ⅰ）/日</v>
      </c>
      <c r="G4" s="2458"/>
      <c r="H4" s="2458"/>
      <c r="I4" s="580" t="str">
        <f>IF(【マスター】!C49="","",【マスター】!C49)</f>
        <v>有</v>
      </c>
      <c r="J4" s="379" t="str">
        <f>ASC(【マスター】!D49)&amp;"単位"</f>
        <v>40単位</v>
      </c>
      <c r="K4" s="379" t="str">
        <f>ASC(【マスター】!E49)&amp;"円"</f>
        <v>405円</v>
      </c>
      <c r="M4" s="478"/>
    </row>
    <row r="5" spans="1:13">
      <c r="A5" s="585" t="s">
        <v>1351</v>
      </c>
      <c r="B5" s="376" t="s">
        <v>1167</v>
      </c>
      <c r="C5" s="377" t="str">
        <f>ASC(【マスター】!Q6)&amp;"単位"</f>
        <v>423単位</v>
      </c>
      <c r="D5" s="378" t="str">
        <f>ASC(【マスター】!R6)&amp;"円"</f>
        <v>4,289円</v>
      </c>
      <c r="F5" s="2458" t="str">
        <f>【マスター】!A50</f>
        <v>入浴介助加算（Ⅱ）/日</v>
      </c>
      <c r="G5" s="2458"/>
      <c r="H5" s="2458"/>
      <c r="I5" s="580" t="str">
        <f>IF(【マスター】!C50="","",【マスター】!C50)</f>
        <v>有</v>
      </c>
      <c r="J5" s="379" t="str">
        <f>ASC(【マスター】!D50)&amp;"単位"</f>
        <v>55単位</v>
      </c>
      <c r="K5" s="379" t="str">
        <f>ASC(【マスター】!E50)&amp;"円"</f>
        <v>557円</v>
      </c>
    </row>
    <row r="6" spans="1:13">
      <c r="A6" s="585" t="s">
        <v>1352</v>
      </c>
      <c r="B6" s="376" t="s">
        <v>1169</v>
      </c>
      <c r="C6" s="377" t="str">
        <f>ASC(【マスター】!Q7)&amp;"単位"</f>
        <v>479単位</v>
      </c>
      <c r="D6" s="378" t="str">
        <f>ASC(【マスター】!R7)&amp;"円"</f>
        <v>4,857円</v>
      </c>
      <c r="F6" s="2458" t="str">
        <f>【マスター】!A51</f>
        <v>認知症加算/日</v>
      </c>
      <c r="G6" s="2458"/>
      <c r="H6" s="2458"/>
      <c r="I6" s="580" t="str">
        <f>IF(【マスター】!C51="","",【マスター】!C51)</f>
        <v/>
      </c>
      <c r="J6" s="379" t="str">
        <f>ASC(【マスター】!D51)&amp;"単位"</f>
        <v>60単位</v>
      </c>
      <c r="K6" s="379" t="str">
        <f>ASC(【マスター】!E51)&amp;"円"</f>
        <v>608円</v>
      </c>
    </row>
    <row r="7" spans="1:13">
      <c r="A7" s="585" t="s">
        <v>1354</v>
      </c>
      <c r="B7" s="376" t="s">
        <v>1173</v>
      </c>
      <c r="C7" s="377" t="str">
        <f>ASC(【マスター】!Q8)&amp;"単位"</f>
        <v>533単位</v>
      </c>
      <c r="D7" s="378" t="str">
        <f>ASC(【マスター】!R8)&amp;"円"</f>
        <v>5,404円</v>
      </c>
      <c r="F7" s="2458" t="str">
        <f>【マスター】!A52</f>
        <v>若年性認知症利用者受入加算/日</v>
      </c>
      <c r="G7" s="2458"/>
      <c r="H7" s="2458"/>
      <c r="I7" s="580" t="str">
        <f>IF(【マスター】!C52="","",【マスター】!C52)</f>
        <v>有</v>
      </c>
      <c r="J7" s="379" t="str">
        <f>ASC(【マスター】!D52)&amp;"単位"</f>
        <v>60単位</v>
      </c>
      <c r="K7" s="379" t="str">
        <f>ASC(【マスター】!E52)&amp;"円"</f>
        <v>608円</v>
      </c>
    </row>
    <row r="8" spans="1:13">
      <c r="A8" s="585" t="s">
        <v>1356</v>
      </c>
      <c r="B8" s="376" t="s">
        <v>1175</v>
      </c>
      <c r="C8" s="377" t="str">
        <f>ASC(【マスター】!Q9)&amp;"単位"</f>
        <v>588単位</v>
      </c>
      <c r="D8" s="378" t="str">
        <f>ASC(【マスター】!R9)&amp;"円"</f>
        <v>5,962円</v>
      </c>
      <c r="F8" s="2458" t="str">
        <f>【マスター】!A53</f>
        <v>中重度者ケア体制加算/日</v>
      </c>
      <c r="G8" s="2458"/>
      <c r="H8" s="2458"/>
      <c r="I8" s="580" t="str">
        <f>IF(【マスター】!C53="","",【マスター】!C53)</f>
        <v/>
      </c>
      <c r="J8" s="379" t="str">
        <f>ASC(【マスター】!D53)&amp;"単位"</f>
        <v>45単位</v>
      </c>
      <c r="K8" s="379" t="str">
        <f>ASC(【マスター】!E53)&amp;"円"</f>
        <v>456円</v>
      </c>
    </row>
    <row r="9" spans="1:13">
      <c r="A9" s="581" t="s">
        <v>1343</v>
      </c>
      <c r="B9" s="2465" t="s">
        <v>1357</v>
      </c>
      <c r="C9" s="2465"/>
      <c r="D9" s="2465"/>
      <c r="F9" s="2458" t="str">
        <f>【マスター】!A54</f>
        <v>個別機能訓練加算（Ⅰ）イ/日</v>
      </c>
      <c r="G9" s="2458"/>
      <c r="H9" s="2458"/>
      <c r="I9" s="580" t="str">
        <f>IF(【マスター】!C54="","",【マスター】!C54)</f>
        <v>有</v>
      </c>
      <c r="J9" s="379" t="str">
        <f>ASC(【マスター】!D54)&amp;"単位"</f>
        <v>56単位</v>
      </c>
      <c r="K9" s="379" t="str">
        <f>ASC(【マスター】!E54)&amp;"円"</f>
        <v>567円</v>
      </c>
    </row>
    <row r="10" spans="1:13">
      <c r="A10" s="585" t="s">
        <v>1348</v>
      </c>
      <c r="B10" s="376" t="s">
        <v>1358</v>
      </c>
      <c r="C10" s="377" t="str">
        <f>ASC(【マスター】!Q10)&amp;"単位"</f>
        <v>388単位</v>
      </c>
      <c r="D10" s="378" t="str">
        <f>ASC(【マスター】!R10)&amp;"円"</f>
        <v>3,934円</v>
      </c>
      <c r="F10" s="2458" t="str">
        <f>【マスター】!A55</f>
        <v>個別機能訓練加算（Ⅰ）ロ/日</v>
      </c>
      <c r="G10" s="2458"/>
      <c r="H10" s="2458"/>
      <c r="I10" s="580" t="str">
        <f>IF(【マスター】!C55="","",【マスター】!C55)</f>
        <v/>
      </c>
      <c r="J10" s="379" t="str">
        <f>ASC(【マスター】!D55)&amp;"単位"</f>
        <v>85単位</v>
      </c>
      <c r="K10" s="379" t="str">
        <f>ASC(【マスター】!E55)&amp;"円"</f>
        <v>861円</v>
      </c>
    </row>
    <row r="11" spans="1:13">
      <c r="A11" s="585" t="s">
        <v>1351</v>
      </c>
      <c r="B11" s="376" t="s">
        <v>1155</v>
      </c>
      <c r="C11" s="377" t="str">
        <f>ASC(【マスター】!Q11)&amp;"単位"</f>
        <v>444単位</v>
      </c>
      <c r="D11" s="378" t="str">
        <f>ASC(【マスター】!R11)&amp;"円"</f>
        <v>4,502円</v>
      </c>
      <c r="F11" s="2458" t="str">
        <f>【マスター】!A56</f>
        <v>個別機能訓練加算（Ⅱ）/月</v>
      </c>
      <c r="G11" s="2458"/>
      <c r="H11" s="2458"/>
      <c r="I11" s="580" t="str">
        <f>IF(【マスター】!C56="","",【マスター】!C56)</f>
        <v/>
      </c>
      <c r="J11" s="379" t="str">
        <f>ASC(【マスター】!D56)&amp;"単位"</f>
        <v>20単位</v>
      </c>
      <c r="K11" s="379" t="str">
        <f>ASC(【マスター】!E56)&amp;"円"</f>
        <v>202円</v>
      </c>
    </row>
    <row r="12" spans="1:13">
      <c r="A12" s="585" t="s">
        <v>1352</v>
      </c>
      <c r="B12" s="376" t="s">
        <v>1156</v>
      </c>
      <c r="C12" s="377" t="str">
        <f>ASC(【マスター】!Q12)&amp;"単位"</f>
        <v>502単位</v>
      </c>
      <c r="D12" s="378" t="str">
        <f>ASC(【マスター】!R12)&amp;"円"</f>
        <v>5,090円</v>
      </c>
      <c r="F12" s="2458" t="str">
        <f>【マスター】!A57</f>
        <v>サービス提供体制強化加算（Ⅰ）/日</v>
      </c>
      <c r="G12" s="2458"/>
      <c r="H12" s="2458"/>
      <c r="I12" s="580" t="str">
        <f>IF(【マスター】!C57="","",【マスター】!C57)</f>
        <v/>
      </c>
      <c r="J12" s="379" t="str">
        <f>ASC(【マスター】!D57)&amp;"単位"</f>
        <v>22単位</v>
      </c>
      <c r="K12" s="379" t="str">
        <f>ASC(【マスター】!E57)&amp;"円"</f>
        <v>223円</v>
      </c>
    </row>
    <row r="13" spans="1:13">
      <c r="A13" s="585" t="s">
        <v>1354</v>
      </c>
      <c r="B13" s="376" t="s">
        <v>1159</v>
      </c>
      <c r="C13" s="377" t="str">
        <f>ASC(【マスター】!Q13)&amp;"単位"</f>
        <v>560単位</v>
      </c>
      <c r="D13" s="378" t="str">
        <f>ASC(【マスター】!R13)&amp;"円"</f>
        <v>5,678円</v>
      </c>
      <c r="F13" s="2458" t="str">
        <f>【マスター】!A58</f>
        <v>サービス提供体制強化加算（Ⅱ）/日</v>
      </c>
      <c r="G13" s="2458"/>
      <c r="H13" s="2458"/>
      <c r="I13" s="580" t="str">
        <f>IF(【マスター】!C58="","",【マスター】!C58)</f>
        <v/>
      </c>
      <c r="J13" s="379" t="str">
        <f>ASC(【マスター】!D58)&amp;"単位"</f>
        <v>18単位</v>
      </c>
      <c r="K13" s="379" t="str">
        <f>ASC(【マスター】!E58)&amp;"円"</f>
        <v>182円</v>
      </c>
    </row>
    <row r="14" spans="1:13">
      <c r="A14" s="585" t="s">
        <v>1356</v>
      </c>
      <c r="B14" s="376" t="s">
        <v>1160</v>
      </c>
      <c r="C14" s="377" t="str">
        <f>ASC(【マスター】!Q14)&amp;"単位"</f>
        <v>617単位</v>
      </c>
      <c r="D14" s="378" t="str">
        <f>ASC(【マスター】!R14)&amp;"円"</f>
        <v>6,256円</v>
      </c>
      <c r="F14" s="2458" t="str">
        <f>【マスター】!A59</f>
        <v>サービス提供体制強化加算（Ⅲ）/日</v>
      </c>
      <c r="G14" s="2458"/>
      <c r="H14" s="2458"/>
      <c r="I14" s="580" t="str">
        <f>IF(【マスター】!C59="","",【マスター】!C59)</f>
        <v/>
      </c>
      <c r="J14" s="379" t="str">
        <f>ASC(【マスター】!D59)&amp;"単位"</f>
        <v>6単位</v>
      </c>
      <c r="K14" s="379" t="str">
        <f>ASC(【マスター】!E59)&amp;"円"</f>
        <v>60円</v>
      </c>
    </row>
    <row r="15" spans="1:13">
      <c r="A15" s="581" t="s">
        <v>1343</v>
      </c>
      <c r="B15" s="2465" t="s">
        <v>1359</v>
      </c>
      <c r="C15" s="2465"/>
      <c r="D15" s="2465"/>
      <c r="F15" s="2458" t="str">
        <f>【マスター】!A60</f>
        <v>栄養改善加算/回</v>
      </c>
      <c r="G15" s="2458"/>
      <c r="H15" s="2458"/>
      <c r="I15" s="580" t="str">
        <f>IF(【マスター】!C60="","",【マスター】!C60)</f>
        <v/>
      </c>
      <c r="J15" s="379" t="str">
        <f>ASC(【マスター】!D60)&amp;"単位"</f>
        <v>200単位</v>
      </c>
      <c r="K15" s="379" t="str">
        <f>ASC(【マスター】!E60)&amp;"円"</f>
        <v>2,028円</v>
      </c>
    </row>
    <row r="16" spans="1:13">
      <c r="A16" s="585" t="s">
        <v>1348</v>
      </c>
      <c r="B16" s="376" t="s">
        <v>1360</v>
      </c>
      <c r="C16" s="377" t="str">
        <f>ASC(【マスター】!Q15)&amp;"単位"</f>
        <v>570単位</v>
      </c>
      <c r="D16" s="378" t="str">
        <f>ASC(【マスター】!R15)&amp;"円"</f>
        <v>5,779円</v>
      </c>
      <c r="F16" s="2458" t="str">
        <f>【マスター】!A61</f>
        <v>栄養アセスメント加算/月</v>
      </c>
      <c r="G16" s="2458"/>
      <c r="H16" s="2458"/>
      <c r="I16" s="580" t="str">
        <f>IF(【マスター】!C61="","",【マスター】!C61)</f>
        <v/>
      </c>
      <c r="J16" s="379" t="str">
        <f>ASC(【マスター】!D61)&amp;"単位"</f>
        <v>50単位</v>
      </c>
      <c r="K16" s="379" t="str">
        <f>ASC(【マスター】!E61)&amp;"円"</f>
        <v>507円</v>
      </c>
    </row>
    <row r="17" spans="1:12">
      <c r="A17" s="585" t="s">
        <v>1351</v>
      </c>
      <c r="B17" s="376" t="s">
        <v>1361</v>
      </c>
      <c r="C17" s="377" t="str">
        <f>ASC(【マスター】!Q16)&amp;"単位"</f>
        <v>673単位</v>
      </c>
      <c r="D17" s="378" t="str">
        <f>ASC(【マスター】!R16)&amp;"円"</f>
        <v>6,824円</v>
      </c>
      <c r="F17" s="2458" t="str">
        <f>【マスター】!A62</f>
        <v>口腔・栄養スクリーニング加算（Ⅰ）/回</v>
      </c>
      <c r="G17" s="2458"/>
      <c r="H17" s="2458"/>
      <c r="I17" s="580" t="str">
        <f>IF(【マスター】!C62="","",【マスター】!C62)</f>
        <v/>
      </c>
      <c r="J17" s="379" t="str">
        <f>ASC(【マスター】!D62)&amp;"単位"</f>
        <v>20単位</v>
      </c>
      <c r="K17" s="379" t="str">
        <f>ASC(【マスター】!E62)&amp;"円"</f>
        <v>202円</v>
      </c>
    </row>
    <row r="18" spans="1:12">
      <c r="A18" s="585" t="s">
        <v>1352</v>
      </c>
      <c r="B18" s="376" t="s">
        <v>1362</v>
      </c>
      <c r="C18" s="377" t="str">
        <f>ASC(【マスター】!Q17)&amp;"単位"</f>
        <v>777単位</v>
      </c>
      <c r="D18" s="378" t="str">
        <f>ASC(【マスター】!R17)&amp;"円"</f>
        <v>7,878円</v>
      </c>
      <c r="F18" s="2458" t="str">
        <f>【マスター】!A63</f>
        <v>口腔・栄養スクリーニング加算（Ⅱ）/回</v>
      </c>
      <c r="G18" s="2458"/>
      <c r="H18" s="2458"/>
      <c r="I18" s="580" t="str">
        <f>IF(【マスター】!C63="","",【マスター】!C63)</f>
        <v/>
      </c>
      <c r="J18" s="379" t="str">
        <f>ASC(【マスター】!D63)&amp;"単位"</f>
        <v>5単位</v>
      </c>
      <c r="K18" s="379" t="str">
        <f>ASC(【マスター】!E63)&amp;"円"</f>
        <v>50円</v>
      </c>
    </row>
    <row r="19" spans="1:12">
      <c r="A19" s="585" t="s">
        <v>1354</v>
      </c>
      <c r="B19" s="376" t="s">
        <v>1363</v>
      </c>
      <c r="C19" s="377" t="str">
        <f>ASC(【マスター】!Q18)&amp;"単位"</f>
        <v>880単位</v>
      </c>
      <c r="D19" s="378" t="str">
        <f>ASC(【マスター】!R18)&amp;"円"</f>
        <v>8,923円</v>
      </c>
      <c r="F19" s="2458" t="str">
        <f>【マスター】!A64</f>
        <v>口腔機能向上加算（Ⅰ）/回</v>
      </c>
      <c r="G19" s="2458"/>
      <c r="H19" s="2458"/>
      <c r="I19" s="580" t="str">
        <f>IF(【マスター】!C64="","",【マスター】!C64)</f>
        <v>有</v>
      </c>
      <c r="J19" s="379" t="str">
        <f>ASC(【マスター】!D64)&amp;"単位"</f>
        <v>150単位</v>
      </c>
      <c r="K19" s="379" t="str">
        <f>ASC(【マスター】!E64)&amp;"円"</f>
        <v>1,521円</v>
      </c>
    </row>
    <row r="20" spans="1:12">
      <c r="A20" s="585" t="s">
        <v>1356</v>
      </c>
      <c r="B20" s="376" t="s">
        <v>1364</v>
      </c>
      <c r="C20" s="377" t="str">
        <f>ASC(【マスター】!Q19)&amp;"単位"</f>
        <v>984単位</v>
      </c>
      <c r="D20" s="378" t="str">
        <f>ASC(【マスター】!R19)&amp;"円"</f>
        <v>9,977円</v>
      </c>
      <c r="F20" s="2458" t="str">
        <f>【マスター】!A65</f>
        <v>口腔機能向上加算（Ⅱ）/回</v>
      </c>
      <c r="G20" s="2458"/>
      <c r="H20" s="2458"/>
      <c r="I20" s="580" t="str">
        <f>IF(【マスター】!C65="","",【マスター】!C65)</f>
        <v/>
      </c>
      <c r="J20" s="379" t="str">
        <f>ASC(【マスター】!D65)&amp;"単位"</f>
        <v>160単位</v>
      </c>
      <c r="K20" s="379" t="str">
        <f>ASC(【マスター】!E65)&amp;"円"</f>
        <v>1,622円</v>
      </c>
    </row>
    <row r="21" spans="1:12">
      <c r="A21" s="581" t="s">
        <v>1343</v>
      </c>
      <c r="B21" s="2455" t="s">
        <v>1365</v>
      </c>
      <c r="C21" s="2455"/>
      <c r="D21" s="2455"/>
      <c r="F21" s="2458" t="str">
        <f>【マスター】!A66</f>
        <v>ＡＤＬ維持等加算（Ⅰ）/月</v>
      </c>
      <c r="G21" s="2458"/>
      <c r="H21" s="2458"/>
      <c r="I21" s="580" t="str">
        <f>IF(【マスター】!C66="","",【マスター】!C66)</f>
        <v/>
      </c>
      <c r="J21" s="379" t="str">
        <f>ASC(【マスター】!D66)&amp;"単位"</f>
        <v>30単位</v>
      </c>
      <c r="K21" s="379" t="str">
        <f>ASC(【マスター】!E66)&amp;"円"</f>
        <v>304円</v>
      </c>
    </row>
    <row r="22" spans="1:12">
      <c r="A22" s="585" t="s">
        <v>1348</v>
      </c>
      <c r="B22" s="376" t="s">
        <v>1366</v>
      </c>
      <c r="C22" s="377" t="str">
        <f>ASC(【マスター】!Q20)&amp;"単位"</f>
        <v>584単位</v>
      </c>
      <c r="D22" s="378" t="str">
        <f>ASC(【マスター】!R20)&amp;"円"</f>
        <v>5,921円</v>
      </c>
      <c r="F22" s="2458" t="str">
        <f>【マスター】!A67</f>
        <v>ＡＤＬ維持等加算（Ⅱ）/月</v>
      </c>
      <c r="G22" s="2458"/>
      <c r="H22" s="2458"/>
      <c r="I22" s="580" t="str">
        <f>IF(【マスター】!C67="","",【マスター】!C67)</f>
        <v/>
      </c>
      <c r="J22" s="379" t="str">
        <f>ASC(【マスター】!D67)&amp;"単位"</f>
        <v>60単位</v>
      </c>
      <c r="K22" s="379" t="str">
        <f>ASC(【マスター】!E67)&amp;"円"</f>
        <v>608円</v>
      </c>
    </row>
    <row r="23" spans="1:12">
      <c r="A23" s="585" t="s">
        <v>1351</v>
      </c>
      <c r="B23" s="376" t="s">
        <v>1367</v>
      </c>
      <c r="C23" s="377" t="str">
        <f>ASC(【マスター】!Q21)&amp;"単位"</f>
        <v>689単位</v>
      </c>
      <c r="D23" s="378" t="str">
        <f>ASC(【マスター】!R21)&amp;"円"</f>
        <v>6,986円</v>
      </c>
      <c r="F23" s="2458" t="str">
        <f>【マスター】!A68</f>
        <v>ＡＤＬ維持等加算（Ⅲ）/月</v>
      </c>
      <c r="G23" s="2458"/>
      <c r="H23" s="2458"/>
      <c r="I23" s="580" t="str">
        <f>IF(【マスター】!C68="","",【マスター】!C68)</f>
        <v/>
      </c>
      <c r="J23" s="379" t="str">
        <f>ASC(【マスター】!D68)&amp;"単位"</f>
        <v>3単位</v>
      </c>
      <c r="K23" s="379" t="str">
        <f>ASC(【マスター】!E68)&amp;"円"</f>
        <v>30円</v>
      </c>
    </row>
    <row r="24" spans="1:12">
      <c r="A24" s="585" t="s">
        <v>1352</v>
      </c>
      <c r="B24" s="376" t="s">
        <v>1368</v>
      </c>
      <c r="C24" s="377" t="str">
        <f>ASC(【マスター】!Q22)&amp;"単位"</f>
        <v>796単位</v>
      </c>
      <c r="D24" s="378" t="str">
        <f>ASC(【マスター】!R22)&amp;"円"</f>
        <v>8,071円</v>
      </c>
      <c r="F24" s="2458" t="str">
        <f>【マスター】!A69</f>
        <v>生活機能向上連携加算（Ⅰ）/月</v>
      </c>
      <c r="G24" s="2458"/>
      <c r="H24" s="2458"/>
      <c r="I24" s="580" t="str">
        <f>IF(【マスター】!C69="","",【マスター】!C69)</f>
        <v/>
      </c>
      <c r="J24" s="379" t="str">
        <f>ASC(【マスター】!D69)&amp;"単位"</f>
        <v>100単位</v>
      </c>
      <c r="K24" s="379" t="str">
        <f>ASC(【マスター】!E69)&amp;"円"</f>
        <v>1,014円</v>
      </c>
    </row>
    <row r="25" spans="1:12">
      <c r="A25" s="585" t="s">
        <v>1354</v>
      </c>
      <c r="B25" s="376" t="s">
        <v>1369</v>
      </c>
      <c r="C25" s="377" t="str">
        <f>ASC(【マスター】!Q23)&amp;"単位"</f>
        <v>901単位</v>
      </c>
      <c r="D25" s="378" t="str">
        <f>ASC(【マスター】!R23)&amp;"円"</f>
        <v>9,136円</v>
      </c>
      <c r="F25" s="2458" t="str">
        <f>【マスター】!A70</f>
        <v>生活機能向上連携加算（Ⅱ）/月</v>
      </c>
      <c r="G25" s="2458"/>
      <c r="H25" s="2458"/>
      <c r="I25" s="580" t="str">
        <f>IF(【マスター】!C70="","",【マスター】!C70)</f>
        <v/>
      </c>
      <c r="J25" s="379" t="str">
        <f>ASC(【マスター】!D70)&amp;"単位"</f>
        <v>100単位</v>
      </c>
      <c r="K25" s="379" t="str">
        <f>ASC(【マスター】!E70)&amp;"円"</f>
        <v>1,014円</v>
      </c>
    </row>
    <row r="26" spans="1:12">
      <c r="A26" s="585" t="s">
        <v>1356</v>
      </c>
      <c r="B26" s="376" t="s">
        <v>1370</v>
      </c>
      <c r="C26" s="377" t="str">
        <f>ASC(【マスター】!Q24)&amp;"単位"</f>
        <v>1,008単位</v>
      </c>
      <c r="D26" s="378" t="str">
        <f>ASC(【マスター】!R24)&amp;"円"</f>
        <v>10,221円</v>
      </c>
      <c r="F26" s="2458" t="str">
        <f>【マスター】!A71</f>
        <v>延長加算（1時間当たり）/回</v>
      </c>
      <c r="G26" s="2458"/>
      <c r="H26" s="2458"/>
      <c r="I26" s="580" t="str">
        <f>IF(【マスター】!C71="","",【マスター】!C71)</f>
        <v>有</v>
      </c>
      <c r="J26" s="379" t="str">
        <f>ASC(【マスター】!D71)&amp;"単位"</f>
        <v>50単位</v>
      </c>
      <c r="K26" s="379" t="str">
        <f>ASC(【マスター】!E71)&amp;"円"</f>
        <v>507円</v>
      </c>
    </row>
    <row r="27" spans="1:12">
      <c r="A27" s="581" t="s">
        <v>1343</v>
      </c>
      <c r="B27" s="2455" t="s">
        <v>1371</v>
      </c>
      <c r="C27" s="2455"/>
      <c r="D27" s="2455"/>
      <c r="F27" s="2458" t="str">
        <f>【マスター】!A72</f>
        <v>科学的介護推進体制加算/月</v>
      </c>
      <c r="G27" s="2458"/>
      <c r="H27" s="2458"/>
      <c r="I27" s="580" t="str">
        <f>IF(【マスター】!C72="","",【マスター】!C72)</f>
        <v>有</v>
      </c>
      <c r="J27" s="379" t="str">
        <f>ASC(【マスター】!D72)&amp;"単位"</f>
        <v>40単位</v>
      </c>
      <c r="K27" s="379" t="str">
        <f>ASC(【マスター】!E72)&amp;"円"</f>
        <v>405円</v>
      </c>
    </row>
    <row r="28" spans="1:12">
      <c r="A28" s="585" t="s">
        <v>1348</v>
      </c>
      <c r="B28" s="376" t="s">
        <v>1372</v>
      </c>
      <c r="C28" s="377" t="str">
        <f>ASC(【マスター】!Q25)&amp;"単位"</f>
        <v>658単位</v>
      </c>
      <c r="D28" s="378" t="str">
        <f>ASC(【マスター】!R25)&amp;"円"</f>
        <v>6,672円</v>
      </c>
      <c r="F28" s="2458" t="str">
        <f>【マスター】!A73</f>
        <v>介護職員等処遇改善加算（Ⅰ）</v>
      </c>
      <c r="G28" s="2458"/>
      <c r="H28" s="2458"/>
      <c r="I28" s="580" t="str">
        <f>IF(【マスター】!C73="","",【マスター】!C73)</f>
        <v/>
      </c>
      <c r="J28" s="2462" t="str">
        <f>ASC(【マスター】!D73)</f>
        <v>9.2%(1ヶ月の利用合計単位数に乗じる)</v>
      </c>
      <c r="K28" s="2463"/>
    </row>
    <row r="29" spans="1:12">
      <c r="A29" s="585" t="s">
        <v>1351</v>
      </c>
      <c r="B29" s="376" t="s">
        <v>1373</v>
      </c>
      <c r="C29" s="377" t="str">
        <f>ASC(【マスター】!Q26)&amp;"単位"</f>
        <v>777単位</v>
      </c>
      <c r="D29" s="378" t="str">
        <f>ASC(【マスター】!R26)&amp;"円"</f>
        <v>7,878円</v>
      </c>
      <c r="F29" s="2458" t="str">
        <f>【マスター】!A74</f>
        <v>介護職員等処遇改善加算（Ⅱ）</v>
      </c>
      <c r="G29" s="2458"/>
      <c r="H29" s="2458"/>
      <c r="I29" s="580" t="str">
        <f>IF(【マスター】!C74="","",【マスター】!C74)</f>
        <v>有</v>
      </c>
      <c r="J29" s="2462" t="str">
        <f>ASC(【マスター】!D74)</f>
        <v>9.0%(1ヶ月の利用合計単位数に乗じる)</v>
      </c>
      <c r="K29" s="2463"/>
    </row>
    <row r="30" spans="1:12">
      <c r="A30" s="585" t="s">
        <v>1352</v>
      </c>
      <c r="B30" s="376" t="s">
        <v>1374</v>
      </c>
      <c r="C30" s="377" t="str">
        <f>ASC(【マスター】!Q27)&amp;"単位"</f>
        <v>900単位</v>
      </c>
      <c r="D30" s="378" t="str">
        <f>ASC(【マスター】!R27)&amp;"円"</f>
        <v>9,126円</v>
      </c>
      <c r="F30" s="2458" t="str">
        <f>【マスター】!A75</f>
        <v>介護職員等処遇改善加算（Ⅲ）</v>
      </c>
      <c r="G30" s="2458"/>
      <c r="H30" s="2458"/>
      <c r="I30" s="580" t="str">
        <f>IF(【マスター】!C75="","",【マスター】!C75)</f>
        <v/>
      </c>
      <c r="J30" s="2462" t="str">
        <f>ASC(【マスター】!D75)</f>
        <v>8.0%(1ヶ月の利用合計単位数に乗じる)</v>
      </c>
      <c r="K30" s="2463"/>
      <c r="L30" s="472"/>
    </row>
    <row r="31" spans="1:12">
      <c r="A31" s="585" t="s">
        <v>1354</v>
      </c>
      <c r="B31" s="376" t="s">
        <v>1375</v>
      </c>
      <c r="C31" s="377" t="str">
        <f>ASC(【マスター】!Q28)&amp;"単位"</f>
        <v>1,023単位</v>
      </c>
      <c r="D31" s="378" t="str">
        <f>ASC(【マスター】!R28)&amp;"円"</f>
        <v>10,373円</v>
      </c>
      <c r="F31" s="2458" t="str">
        <f>【マスター】!A76</f>
        <v>中山間地域等に居住する者へのサービス提供加算</v>
      </c>
      <c r="G31" s="2458"/>
      <c r="H31" s="2458"/>
      <c r="I31" s="580" t="str">
        <f>IF(【マスター】!C76="","",【マスター】!C76)</f>
        <v/>
      </c>
      <c r="J31" s="2462" t="str">
        <f>ASC(【マスター】!D76)</f>
        <v>基本単位数×5/100</v>
      </c>
      <c r="K31" s="2463"/>
      <c r="L31" s="472"/>
    </row>
    <row r="32" spans="1:12">
      <c r="A32" s="585" t="s">
        <v>1356</v>
      </c>
      <c r="B32" s="376" t="s">
        <v>1376</v>
      </c>
      <c r="C32" s="377" t="str">
        <f>ASC(【マスター】!Q29)&amp;"単位"</f>
        <v>1,148単位</v>
      </c>
      <c r="D32" s="378" t="str">
        <f>ASC(【マスター】!R29)&amp;"円"</f>
        <v>11,640円</v>
      </c>
      <c r="F32" s="2458">
        <f>【マスター】!A77</f>
        <v>0</v>
      </c>
      <c r="G32" s="2458"/>
      <c r="H32" s="2458"/>
      <c r="I32" s="580" t="str">
        <f>IF(【マスター】!C77="","",【マスター】!C77)</f>
        <v/>
      </c>
      <c r="J32" s="2462">
        <f>【マスター】!D77</f>
        <v>0</v>
      </c>
      <c r="K32" s="2463"/>
    </row>
    <row r="33" spans="1:13" ht="18.75" customHeight="1">
      <c r="A33" s="581" t="s">
        <v>1343</v>
      </c>
      <c r="B33" s="2455" t="s">
        <v>1377</v>
      </c>
      <c r="C33" s="2455"/>
      <c r="D33" s="2455"/>
      <c r="F33" s="2458">
        <f>【マスター】!A78</f>
        <v>0</v>
      </c>
      <c r="G33" s="2458"/>
      <c r="H33" s="2458"/>
      <c r="I33" s="580" t="str">
        <f>IF(【マスター】!C78="","",【マスター】!C78)</f>
        <v/>
      </c>
      <c r="J33" s="2462">
        <f>【マスター】!D78</f>
        <v>0</v>
      </c>
      <c r="K33" s="2463"/>
    </row>
    <row r="34" spans="1:13">
      <c r="A34" s="585" t="s">
        <v>1348</v>
      </c>
      <c r="B34" s="376" t="s">
        <v>1379</v>
      </c>
      <c r="C34" s="377" t="str">
        <f>ASC(【マスター】!Q30)&amp;"単位"</f>
        <v>669単位</v>
      </c>
      <c r="D34" s="378" t="str">
        <f>ASC(【マスター】!R30)&amp;"円"</f>
        <v>6,783円</v>
      </c>
      <c r="F34" s="2458">
        <f>【マスター】!A79</f>
        <v>0</v>
      </c>
      <c r="G34" s="2458"/>
      <c r="H34" s="2458"/>
      <c r="I34" s="580" t="str">
        <f>IF(【マスター】!C79="","",【マスター】!C79)</f>
        <v/>
      </c>
      <c r="J34" s="2462">
        <f>【マスター】!D79</f>
        <v>0</v>
      </c>
      <c r="K34" s="2463"/>
    </row>
    <row r="35" spans="1:13">
      <c r="A35" s="585" t="s">
        <v>1351</v>
      </c>
      <c r="B35" s="376" t="s">
        <v>1383</v>
      </c>
      <c r="C35" s="377" t="str">
        <f>ASC(【マスター】!Q31)&amp;"単位"</f>
        <v>791単位</v>
      </c>
      <c r="D35" s="378" t="str">
        <f>ASC(【マスター】!R31)&amp;"円"</f>
        <v>8,020円</v>
      </c>
      <c r="F35" s="2456" t="s">
        <v>1342</v>
      </c>
      <c r="G35" s="2456"/>
      <c r="H35" s="2456"/>
      <c r="I35" s="2456"/>
      <c r="J35" s="2456"/>
      <c r="K35" s="2456"/>
    </row>
    <row r="36" spans="1:13">
      <c r="A36" s="585" t="s">
        <v>1352</v>
      </c>
      <c r="B36" s="376" t="s">
        <v>1385</v>
      </c>
      <c r="C36" s="377" t="str">
        <f>ASC(【マスター】!Q32)&amp;"単位"</f>
        <v>915単位</v>
      </c>
      <c r="D36" s="378" t="str">
        <f>ASC(【マスター】!R32)&amp;"円"</f>
        <v>9,278円</v>
      </c>
      <c r="F36" s="2457" t="s">
        <v>170</v>
      </c>
      <c r="G36" s="2457"/>
      <c r="H36" s="2457"/>
      <c r="I36" s="579" t="s">
        <v>1345</v>
      </c>
      <c r="J36" s="579" t="s">
        <v>1346</v>
      </c>
      <c r="K36" s="579" t="s">
        <v>1347</v>
      </c>
    </row>
    <row r="37" spans="1:13">
      <c r="A37" s="585" t="s">
        <v>1354</v>
      </c>
      <c r="B37" s="376" t="s">
        <v>1386</v>
      </c>
      <c r="C37" s="377" t="str">
        <f>ASC(【マスター】!Q33)&amp;"単位"</f>
        <v>1,041単位</v>
      </c>
      <c r="D37" s="378" t="str">
        <f>ASC(【マスター】!R33)&amp;"円"</f>
        <v>10,555円</v>
      </c>
      <c r="F37" s="2458" t="str">
        <f>【マスター】!H51</f>
        <v>送迎減算</v>
      </c>
      <c r="G37" s="2458"/>
      <c r="H37" s="2458"/>
      <c r="I37" s="580" t="s">
        <v>1350</v>
      </c>
      <c r="J37" s="379" t="str">
        <f>"▲"&amp;ASC(【マスター】!K51)&amp;"単位"</f>
        <v>▲47単位</v>
      </c>
      <c r="K37" s="379" t="str">
        <f>"▲"&amp;ASC(【マスター】!L51)&amp;"円"</f>
        <v>▲476円</v>
      </c>
    </row>
    <row r="38" spans="1:13">
      <c r="A38" s="585" t="s">
        <v>1356</v>
      </c>
      <c r="B38" s="376" t="s">
        <v>1388</v>
      </c>
      <c r="C38" s="377" t="str">
        <f>ASC(【マスター】!Q34)&amp;"単位"</f>
        <v>1,168単位</v>
      </c>
      <c r="D38" s="378" t="str">
        <f>ASC(【マスター】!R34)&amp;"円"</f>
        <v>11,843円</v>
      </c>
      <c r="F38" s="2458" t="str">
        <f>【マスター】!H52</f>
        <v>同一建物減</v>
      </c>
      <c r="G38" s="2458"/>
      <c r="H38" s="2458"/>
      <c r="I38" s="580"/>
      <c r="J38" s="379" t="str">
        <f>"▲"&amp;ASC(【マスター】!K52)&amp;"単位"</f>
        <v>▲94単位</v>
      </c>
      <c r="K38" s="379" t="str">
        <f>"▲"&amp;ASC(【マスター】!L52)&amp;"円"</f>
        <v>▲953円</v>
      </c>
      <c r="M38" s="946" t="s">
        <v>2072</v>
      </c>
    </row>
    <row r="39" spans="1:13" ht="15" customHeight="1">
      <c r="A39" s="519"/>
      <c r="B39" s="520"/>
      <c r="C39" s="518"/>
      <c r="D39" s="518"/>
    </row>
    <row r="40" spans="1:13" ht="18" customHeight="1">
      <c r="A40" s="2461" t="s">
        <v>1378</v>
      </c>
      <c r="B40" s="2461"/>
      <c r="C40" s="2461"/>
      <c r="D40" s="2461"/>
      <c r="E40" s="2461"/>
      <c r="F40" s="2461"/>
      <c r="G40" s="2461"/>
      <c r="H40" s="2461"/>
      <c r="I40" s="2461"/>
      <c r="J40" s="2461"/>
      <c r="K40" s="2461"/>
    </row>
    <row r="41" spans="1:13" ht="18" customHeight="1">
      <c r="A41" s="2460" t="s">
        <v>1380</v>
      </c>
      <c r="B41" s="2460"/>
      <c r="C41" s="2460" t="s">
        <v>1381</v>
      </c>
      <c r="D41" s="2460"/>
      <c r="E41" s="2460"/>
      <c r="F41" s="2460"/>
      <c r="G41" s="2460"/>
      <c r="H41" s="2460"/>
      <c r="I41" s="2460"/>
      <c r="J41" s="2460"/>
      <c r="K41" s="414" t="s">
        <v>1382</v>
      </c>
    </row>
    <row r="42" spans="1:13" ht="18" customHeight="1">
      <c r="A42" s="2464" t="s">
        <v>1875</v>
      </c>
      <c r="B42" s="2464"/>
      <c r="C42" s="2444" t="s">
        <v>1878</v>
      </c>
      <c r="D42" s="2444"/>
      <c r="E42" s="2444"/>
      <c r="F42" s="2444"/>
      <c r="G42" s="2444"/>
      <c r="H42" s="2444"/>
      <c r="I42" s="2444"/>
      <c r="J42" s="2444"/>
      <c r="K42" s="379" t="str">
        <f>ASC(【マスター】!J43&amp;"円")</f>
        <v>円</v>
      </c>
      <c r="M42" s="946" t="s">
        <v>2072</v>
      </c>
    </row>
    <row r="43" spans="1:13" ht="18" customHeight="1">
      <c r="A43" s="2464" t="s">
        <v>1876</v>
      </c>
      <c r="B43" s="2464"/>
      <c r="C43" s="2444" t="s">
        <v>1879</v>
      </c>
      <c r="D43" s="2444"/>
      <c r="E43" s="2444"/>
      <c r="F43" s="2444"/>
      <c r="G43" s="2444"/>
      <c r="H43" s="2444"/>
      <c r="I43" s="2444"/>
      <c r="J43" s="2444"/>
      <c r="K43" s="379" t="str">
        <f>ASC(【マスター】!J44&amp;"円")</f>
        <v>570円</v>
      </c>
      <c r="M43" s="946" t="s">
        <v>2072</v>
      </c>
    </row>
    <row r="44" spans="1:13" ht="18" customHeight="1">
      <c r="A44" s="2464" t="s">
        <v>1877</v>
      </c>
      <c r="B44" s="2464"/>
      <c r="C44" s="2444" t="s">
        <v>2020</v>
      </c>
      <c r="D44" s="2444"/>
      <c r="E44" s="2444"/>
      <c r="F44" s="2444"/>
      <c r="G44" s="2444"/>
      <c r="H44" s="2444"/>
      <c r="I44" s="2444"/>
      <c r="J44" s="2444"/>
      <c r="K44" s="379" t="str">
        <f>ASC(【マスター】!J45&amp;"円")</f>
        <v>630円</v>
      </c>
      <c r="M44" s="946" t="s">
        <v>2072</v>
      </c>
    </row>
    <row r="45" spans="1:13" ht="15" customHeight="1"/>
    <row r="46" spans="1:13">
      <c r="A46" s="785" t="s">
        <v>1390</v>
      </c>
      <c r="B46" s="583"/>
      <c r="C46" s="583"/>
      <c r="D46" s="583"/>
      <c r="E46" s="583"/>
      <c r="F46" s="583"/>
      <c r="G46" s="583"/>
      <c r="H46" s="583"/>
      <c r="I46" s="583"/>
      <c r="J46" s="583"/>
      <c r="K46" s="584"/>
    </row>
    <row r="47" spans="1:13">
      <c r="A47" s="2459" t="s">
        <v>1380</v>
      </c>
      <c r="B47" s="2459"/>
      <c r="C47" s="2452" t="s">
        <v>1381</v>
      </c>
      <c r="D47" s="2453"/>
      <c r="E47" s="2453"/>
      <c r="F47" s="2453"/>
      <c r="G47" s="2453"/>
      <c r="H47" s="2453"/>
      <c r="I47" s="2453"/>
      <c r="J47" s="2454"/>
      <c r="K47" s="579" t="s">
        <v>1382</v>
      </c>
    </row>
    <row r="48" spans="1:13" ht="18.75" customHeight="1">
      <c r="A48" s="2445" t="s">
        <v>1391</v>
      </c>
      <c r="B48" s="2446"/>
      <c r="C48" s="2432" t="str">
        <f>"お泊まりを利用される方の"&amp;【マスター】!I13&amp;【マスター】!J13&amp;【マスター】!K13&amp;"までの夜間介護サービスを提供させていただきます。"</f>
        <v>お泊まりを利用される方の～までの夜間介護サービスを提供させていただきます。</v>
      </c>
      <c r="D48" s="2433"/>
      <c r="E48" s="2433"/>
      <c r="F48" s="2433"/>
      <c r="G48" s="2433"/>
      <c r="H48" s="2433"/>
      <c r="I48" s="2433"/>
      <c r="J48" s="2434"/>
      <c r="K48" s="2449" t="str">
        <f>ASC(TEXT(【マスター】!J41,"＃＃＃＃、＃＃０"))&amp;"円"</f>
        <v>0円</v>
      </c>
      <c r="M48" s="946" t="s">
        <v>2072</v>
      </c>
    </row>
    <row r="49" spans="1:13">
      <c r="A49" s="2447"/>
      <c r="B49" s="2448"/>
      <c r="C49" s="2435"/>
      <c r="D49" s="2436"/>
      <c r="E49" s="2436"/>
      <c r="F49" s="2436"/>
      <c r="G49" s="2436"/>
      <c r="H49" s="2436"/>
      <c r="I49" s="2436"/>
      <c r="J49" s="2437"/>
      <c r="K49" s="2450"/>
    </row>
    <row r="50" spans="1:13" ht="30" customHeight="1">
      <c r="A50" s="2445" t="s">
        <v>1392</v>
      </c>
      <c r="B50" s="2446"/>
      <c r="C50" s="2438" t="s">
        <v>1393</v>
      </c>
      <c r="D50" s="2439"/>
      <c r="E50" s="2439"/>
      <c r="F50" s="2439"/>
      <c r="G50" s="2439"/>
      <c r="H50" s="2439"/>
      <c r="I50" s="2439"/>
      <c r="J50" s="2440"/>
      <c r="K50" s="2451" t="str">
        <f>ASC(TEXT(【マスター】!J48,"＃＃＃＃、＃＃０"))&amp;"円"</f>
        <v>2,000円</v>
      </c>
      <c r="M50" s="946" t="s">
        <v>2072</v>
      </c>
    </row>
    <row r="51" spans="1:13" ht="30" customHeight="1">
      <c r="A51" s="2447"/>
      <c r="B51" s="2448"/>
      <c r="C51" s="2441"/>
      <c r="D51" s="2442"/>
      <c r="E51" s="2442"/>
      <c r="F51" s="2442"/>
      <c r="G51" s="2442"/>
      <c r="H51" s="2442"/>
      <c r="I51" s="2442"/>
      <c r="J51" s="2443"/>
      <c r="K51" s="2451"/>
    </row>
    <row r="52" spans="1:13" ht="35.1" customHeight="1">
      <c r="A52" s="2445" t="s">
        <v>1394</v>
      </c>
      <c r="B52" s="2446"/>
      <c r="C52" s="2438" t="str">
        <f>"通所介護契約書に基づく通所介護サービス提供時間（"&amp;【マスター】!I12&amp;【マスター】!J12&amp;【マスター】!K12&amp;"）前後の時間帯にサービスを提供させていただきます。"</f>
        <v>通所介護契約書に基づく通所介護サービス提供時間（9:30～16:40）前後の時間帯にサービスを提供させていただきます。</v>
      </c>
      <c r="D52" s="2439"/>
      <c r="E52" s="2439"/>
      <c r="F52" s="2439"/>
      <c r="G52" s="2439"/>
      <c r="H52" s="2439"/>
      <c r="I52" s="2439"/>
      <c r="J52" s="2440"/>
      <c r="K52" s="969" t="str">
        <f>ASC(【マスター】!J42&amp;"円")</f>
        <v>300円</v>
      </c>
      <c r="M52" s="946" t="s">
        <v>2072</v>
      </c>
    </row>
    <row r="53" spans="1:13">
      <c r="A53" s="2431" t="s">
        <v>1395</v>
      </c>
      <c r="B53" s="2431"/>
      <c r="C53" s="2444" t="s">
        <v>1396</v>
      </c>
      <c r="D53" s="2444"/>
      <c r="E53" s="2444"/>
      <c r="F53" s="2444"/>
      <c r="G53" s="2444"/>
      <c r="H53" s="2444"/>
      <c r="I53" s="2444"/>
      <c r="J53" s="2444"/>
      <c r="K53" s="379" t="str">
        <f>ASC(【マスター】!J46&amp;"円")</f>
        <v>100円</v>
      </c>
      <c r="M53" s="946" t="s">
        <v>2072</v>
      </c>
    </row>
    <row r="54" spans="1:13">
      <c r="A54" s="2431"/>
      <c r="B54" s="2431"/>
      <c r="C54" s="2444" t="s">
        <v>1397</v>
      </c>
      <c r="D54" s="2444"/>
      <c r="E54" s="2444"/>
      <c r="F54" s="2444"/>
      <c r="G54" s="2444"/>
      <c r="H54" s="2444"/>
      <c r="I54" s="2444"/>
      <c r="J54" s="2444"/>
      <c r="K54" s="379" t="str">
        <f>ASC(【マスター】!J47&amp;"円")</f>
        <v>50円</v>
      </c>
      <c r="M54" s="946" t="s">
        <v>2072</v>
      </c>
    </row>
    <row r="55" spans="1:13" ht="15" customHeight="1">
      <c r="A55" s="416"/>
      <c r="B55" s="416"/>
      <c r="C55" s="416"/>
      <c r="D55" s="416"/>
      <c r="E55" s="416"/>
      <c r="F55" s="416"/>
      <c r="G55" s="416"/>
      <c r="H55" s="416"/>
      <c r="I55" s="416"/>
      <c r="J55" s="416"/>
      <c r="K55" s="417"/>
    </row>
    <row r="56" spans="1:13">
      <c r="A56" s="2428" t="str">
        <f>【マスター】!C7</f>
        <v>デイサービスさつきの湯</v>
      </c>
      <c r="B56" s="2428"/>
      <c r="C56" s="2428"/>
      <c r="D56" s="544" t="s">
        <v>1398</v>
      </c>
      <c r="E56" s="2429" t="str">
        <f>【マスター】!C9</f>
        <v>0533-56-7087</v>
      </c>
      <c r="F56" s="2429"/>
      <c r="G56" s="2429"/>
      <c r="H56" s="544" t="s">
        <v>1399</v>
      </c>
      <c r="I56" s="2429" t="str">
        <f>【マスター】!I9</f>
        <v>0533-56-7088</v>
      </c>
      <c r="J56" s="2429"/>
      <c r="M56" s="472"/>
    </row>
    <row r="57" spans="1:13">
      <c r="A57" s="2428"/>
      <c r="B57" s="2428"/>
      <c r="C57" s="2428"/>
      <c r="D57" s="544" t="s">
        <v>1400</v>
      </c>
      <c r="E57" s="2429" t="str">
        <f>【マスター】!C20</f>
        <v>繁原　秀章</v>
      </c>
      <c r="F57" s="2429"/>
      <c r="G57" s="2429"/>
      <c r="H57" s="2430"/>
      <c r="I57" s="2430"/>
      <c r="J57" s="2430"/>
      <c r="K57" s="2430"/>
    </row>
  </sheetData>
  <mergeCells count="78">
    <mergeCell ref="F18:H18"/>
    <mergeCell ref="F19:H19"/>
    <mergeCell ref="F28:H28"/>
    <mergeCell ref="F27:H27"/>
    <mergeCell ref="F20:H20"/>
    <mergeCell ref="F22:H22"/>
    <mergeCell ref="F23:H23"/>
    <mergeCell ref="F24:H24"/>
    <mergeCell ref="F5:H5"/>
    <mergeCell ref="F6:H6"/>
    <mergeCell ref="F7:H7"/>
    <mergeCell ref="F8:H8"/>
    <mergeCell ref="F11:H11"/>
    <mergeCell ref="A2:D2"/>
    <mergeCell ref="B3:D3"/>
    <mergeCell ref="F2:K2"/>
    <mergeCell ref="F3:H3"/>
    <mergeCell ref="F4:H4"/>
    <mergeCell ref="B9:D9"/>
    <mergeCell ref="F12:H12"/>
    <mergeCell ref="F9:H9"/>
    <mergeCell ref="F10:H10"/>
    <mergeCell ref="F17:H17"/>
    <mergeCell ref="B15:D15"/>
    <mergeCell ref="F16:H16"/>
    <mergeCell ref="F13:H13"/>
    <mergeCell ref="F14:H14"/>
    <mergeCell ref="F15:H15"/>
    <mergeCell ref="B21:D21"/>
    <mergeCell ref="B27:D27"/>
    <mergeCell ref="F21:H21"/>
    <mergeCell ref="F25:H25"/>
    <mergeCell ref="F26:H26"/>
    <mergeCell ref="F31:H31"/>
    <mergeCell ref="J31:K31"/>
    <mergeCell ref="C42:J42"/>
    <mergeCell ref="J28:K28"/>
    <mergeCell ref="F29:H29"/>
    <mergeCell ref="J29:K29"/>
    <mergeCell ref="F30:H30"/>
    <mergeCell ref="J30:K30"/>
    <mergeCell ref="F32:H32"/>
    <mergeCell ref="J32:K32"/>
    <mergeCell ref="F34:H34"/>
    <mergeCell ref="J34:K34"/>
    <mergeCell ref="F38:H38"/>
    <mergeCell ref="C47:J47"/>
    <mergeCell ref="B33:D33"/>
    <mergeCell ref="F35:K35"/>
    <mergeCell ref="F36:H36"/>
    <mergeCell ref="F37:H37"/>
    <mergeCell ref="A47:B47"/>
    <mergeCell ref="A41:B41"/>
    <mergeCell ref="C41:J41"/>
    <mergeCell ref="A40:K40"/>
    <mergeCell ref="F33:H33"/>
    <mergeCell ref="J33:K33"/>
    <mergeCell ref="A42:B42"/>
    <mergeCell ref="A43:B43"/>
    <mergeCell ref="A44:B44"/>
    <mergeCell ref="C43:J43"/>
    <mergeCell ref="C44:J44"/>
    <mergeCell ref="A56:C57"/>
    <mergeCell ref="I56:J56"/>
    <mergeCell ref="H57:K57"/>
    <mergeCell ref="A53:B54"/>
    <mergeCell ref="C48:J49"/>
    <mergeCell ref="C50:J51"/>
    <mergeCell ref="C52:J52"/>
    <mergeCell ref="C53:J53"/>
    <mergeCell ref="C54:J54"/>
    <mergeCell ref="E57:G57"/>
    <mergeCell ref="E56:G56"/>
    <mergeCell ref="A48:B49"/>
    <mergeCell ref="K48:K49"/>
    <mergeCell ref="K50:K51"/>
    <mergeCell ref="A52:B52"/>
    <mergeCell ref="A50:B51"/>
  </mergeCells>
  <phoneticPr fontId="17"/>
  <printOptions horizontalCentered="1"/>
  <pageMargins left="0.59055118110236227" right="0.59055118110236227" top="0.59055118110236227" bottom="0.39370078740157483" header="0.31496062992125984" footer="0.19685039370078741"/>
  <pageSetup paperSize="9" scale="78" orientation="portrait" verticalDpi="300" r:id="rId1"/>
  <headerFooter>
    <oddFooter>&amp;L【通所介護_BMC】</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T55"/>
  <sheetViews>
    <sheetView workbookViewId="0">
      <selection activeCell="B5" sqref="B5"/>
    </sheetView>
  </sheetViews>
  <sheetFormatPr defaultColWidth="9" defaultRowHeight="18.75"/>
  <cols>
    <col min="1" max="1" width="3.875" style="374" bestFit="1" customWidth="1"/>
    <col min="2" max="2" width="15.125" style="374" bestFit="1" customWidth="1"/>
    <col min="3" max="3" width="9.375" style="374" bestFit="1" customWidth="1"/>
    <col min="4" max="4" width="15.125" style="374" bestFit="1" customWidth="1"/>
    <col min="5" max="5" width="9" style="374"/>
    <col min="6" max="6" width="15.125" style="374" bestFit="1" customWidth="1"/>
    <col min="7" max="7" width="9" style="374"/>
    <col min="8" max="8" width="15.125" style="374" bestFit="1" customWidth="1"/>
    <col min="9" max="9" width="9" style="374"/>
    <col min="10" max="10" width="15.125" style="374" bestFit="1" customWidth="1"/>
    <col min="11" max="11" width="9" style="374"/>
    <col min="12" max="19" width="9" style="374" customWidth="1"/>
    <col min="20" max="16384" width="9" style="374"/>
  </cols>
  <sheetData>
    <row r="1" spans="1:20">
      <c r="A1" s="2481" t="s">
        <v>1401</v>
      </c>
      <c r="B1" s="2482"/>
      <c r="C1" s="2482"/>
      <c r="D1" s="2482"/>
      <c r="E1" s="2483"/>
      <c r="F1" s="2487" t="s">
        <v>1402</v>
      </c>
      <c r="G1" s="2488"/>
      <c r="H1" s="2488"/>
      <c r="I1" s="2488"/>
      <c r="J1" s="2488"/>
      <c r="K1" s="2488"/>
    </row>
    <row r="2" spans="1:20">
      <c r="A2" s="2484"/>
      <c r="B2" s="2485"/>
      <c r="C2" s="2485"/>
      <c r="D2" s="2485"/>
      <c r="E2" s="2486"/>
      <c r="F2" s="2489" t="s">
        <v>1403</v>
      </c>
      <c r="G2" s="2489"/>
      <c r="H2" s="380" t="s">
        <v>1404</v>
      </c>
      <c r="I2" s="544" t="s">
        <v>1405</v>
      </c>
      <c r="J2" s="381" t="str">
        <f>【マスター】!D39</f>
        <v>7級地</v>
      </c>
      <c r="K2" s="382">
        <f>【マスター】!F39</f>
        <v>10.14</v>
      </c>
      <c r="O2" s="2490" t="s">
        <v>1406</v>
      </c>
      <c r="P2" s="2490"/>
      <c r="Q2" s="2490"/>
      <c r="R2" s="2490"/>
      <c r="S2" s="2490"/>
      <c r="T2" s="474"/>
    </row>
    <row r="3" spans="1:20" ht="5.0999999999999996" customHeight="1" thickBot="1"/>
    <row r="4" spans="1:20" ht="19.5" thickBot="1">
      <c r="A4" s="383"/>
      <c r="B4" s="2491" t="s">
        <v>1256</v>
      </c>
      <c r="C4" s="2492"/>
      <c r="D4" s="2492" t="s">
        <v>1257</v>
      </c>
      <c r="E4" s="2492"/>
      <c r="F4" s="2492" t="s">
        <v>1258</v>
      </c>
      <c r="G4" s="2492"/>
      <c r="H4" s="2492" t="s">
        <v>1259</v>
      </c>
      <c r="I4" s="2492"/>
      <c r="J4" s="2492" t="s">
        <v>1260</v>
      </c>
      <c r="K4" s="2493"/>
      <c r="M4" s="384">
        <f>VLOOKUP(H2,O4:Q7,3,FALSE)</f>
        <v>0.9</v>
      </c>
      <c r="O4" s="580" t="s">
        <v>1407</v>
      </c>
      <c r="P4" s="580" t="s">
        <v>1408</v>
      </c>
      <c r="Q4" s="384">
        <v>0.9</v>
      </c>
    </row>
    <row r="5" spans="1:20" ht="19.5" customHeight="1">
      <c r="A5" s="2478" t="s">
        <v>1261</v>
      </c>
      <c r="B5" s="959" t="s">
        <v>1409</v>
      </c>
      <c r="C5" s="973">
        <f>ROUNDDOWN(P9*2*$K$2,0)-(ROUNDDOWN(P9*2*$K$2*$M$4,0))</f>
        <v>1357</v>
      </c>
      <c r="D5" s="426" t="s">
        <v>1410</v>
      </c>
      <c r="E5" s="428">
        <f>ROUNDDOWN(P10*2*$K$2,0)-(ROUNDDOWN(P10*2*$K$2*$M$4,0))</f>
        <v>1604</v>
      </c>
      <c r="F5" s="426" t="s">
        <v>1411</v>
      </c>
      <c r="G5" s="428">
        <f>ROUNDDOWN(P11*2*$K$2,0)-(ROUNDDOWN(P11*2*$K$2*$M$4,0))</f>
        <v>1856</v>
      </c>
      <c r="H5" s="426" t="s">
        <v>1412</v>
      </c>
      <c r="I5" s="428">
        <f>ROUNDDOWN(P12*2*$K$2,0)-(ROUNDDOWN(P12*2*$K$2*$M$4,0))</f>
        <v>2111</v>
      </c>
      <c r="J5" s="426" t="s">
        <v>1413</v>
      </c>
      <c r="K5" s="429">
        <f>ROUNDDOWN(P13*2*$K$2,0)-(ROUNDDOWN(P13*2*$K$2*$M$4,0))</f>
        <v>2369</v>
      </c>
      <c r="O5" s="580" t="s">
        <v>1404</v>
      </c>
      <c r="P5" s="580" t="s">
        <v>1414</v>
      </c>
      <c r="Q5" s="384">
        <v>0.9</v>
      </c>
    </row>
    <row r="6" spans="1:20">
      <c r="A6" s="2479"/>
      <c r="B6" s="960" t="str">
        <f>IF(【マスター】!C50="有","入浴介助加算(Ⅱ)","入浴介助加算(Ⅰ)")</f>
        <v>入浴介助加算(Ⅱ)</v>
      </c>
      <c r="C6" s="389">
        <f>ROUNDDOWN(Q15*2,0)-ROUNDDOWN(Q15*2*$M$4,0)</f>
        <v>112</v>
      </c>
      <c r="D6" s="390" t="str">
        <f>IF(【マスター】!C50="有","入浴介助加算(Ⅱ)","入浴介助加算(Ⅰ)")</f>
        <v>入浴介助加算(Ⅱ)</v>
      </c>
      <c r="E6" s="467">
        <f>C6</f>
        <v>112</v>
      </c>
      <c r="F6" s="390" t="str">
        <f>IF(【マスター】!C50="有","入浴介助加算(Ⅱ)","入浴介助加算(Ⅰ)")</f>
        <v>入浴介助加算(Ⅱ)</v>
      </c>
      <c r="G6" s="467">
        <f>C6</f>
        <v>112</v>
      </c>
      <c r="H6" s="390" t="str">
        <f>IF(【マスター】!C50="有","入浴介助加算(Ⅱ)","入浴介助加算(Ⅰ)")</f>
        <v>入浴介助加算(Ⅱ)</v>
      </c>
      <c r="I6" s="467">
        <f>C6</f>
        <v>112</v>
      </c>
      <c r="J6" s="390" t="str">
        <f>IF(【マスター】!C50="有","入浴介助加算(Ⅱ)","入浴介助加算(Ⅰ)")</f>
        <v>入浴介助加算(Ⅱ)</v>
      </c>
      <c r="K6" s="468">
        <f>C6</f>
        <v>112</v>
      </c>
      <c r="O6" s="580" t="s">
        <v>1415</v>
      </c>
      <c r="P6" s="580" t="s">
        <v>1416</v>
      </c>
      <c r="Q6" s="384">
        <v>0.8</v>
      </c>
    </row>
    <row r="7" spans="1:20">
      <c r="A7" s="2479"/>
      <c r="B7" s="960" t="s">
        <v>1417</v>
      </c>
      <c r="C7" s="389">
        <f>ROUNDDOWN(Q16*2,0)-ROUNDDOWN(Q16*2*$M$4,0)</f>
        <v>-96</v>
      </c>
      <c r="D7" s="390" t="s">
        <v>1417</v>
      </c>
      <c r="E7" s="467">
        <f>C7</f>
        <v>-96</v>
      </c>
      <c r="F7" s="390" t="s">
        <v>1417</v>
      </c>
      <c r="G7" s="467">
        <f>C7</f>
        <v>-96</v>
      </c>
      <c r="H7" s="390" t="s">
        <v>1417</v>
      </c>
      <c r="I7" s="467">
        <f>C7</f>
        <v>-96</v>
      </c>
      <c r="J7" s="390" t="s">
        <v>1417</v>
      </c>
      <c r="K7" s="468">
        <f>C7</f>
        <v>-96</v>
      </c>
      <c r="O7" s="580" t="s">
        <v>1418</v>
      </c>
      <c r="P7" s="580" t="s">
        <v>1419</v>
      </c>
      <c r="Q7" s="384">
        <v>0.7</v>
      </c>
    </row>
    <row r="8" spans="1:20">
      <c r="A8" s="2479"/>
      <c r="B8" s="974"/>
      <c r="C8" s="528"/>
      <c r="D8" s="527"/>
      <c r="E8" s="957"/>
      <c r="F8" s="527"/>
      <c r="G8" s="957"/>
      <c r="H8" s="527"/>
      <c r="I8" s="957"/>
      <c r="J8" s="527"/>
      <c r="K8" s="958"/>
      <c r="R8" s="397"/>
    </row>
    <row r="9" spans="1:20" ht="19.5" thickBot="1">
      <c r="A9" s="2479"/>
      <c r="B9" s="393" t="s">
        <v>1420</v>
      </c>
      <c r="C9" s="394">
        <f>IF($H$2=$O$4,-(SUM(C5:C8)),0)</f>
        <v>0</v>
      </c>
      <c r="D9" s="395" t="s">
        <v>1420</v>
      </c>
      <c r="E9" s="394">
        <f>IF($H$2=$O$4,-(SUM(E5:E8)),0)</f>
        <v>0</v>
      </c>
      <c r="F9" s="395" t="s">
        <v>1420</v>
      </c>
      <c r="G9" s="394">
        <f>IF($H$2=$O$4,-(SUM(G5:G8)),0)</f>
        <v>0</v>
      </c>
      <c r="H9" s="395" t="s">
        <v>1420</v>
      </c>
      <c r="I9" s="394">
        <f>IF($H$2=$O$4,-(SUM(I5:I8)),0)</f>
        <v>0</v>
      </c>
      <c r="J9" s="395" t="s">
        <v>1420</v>
      </c>
      <c r="K9" s="396">
        <f>IF($H$2=$O$4,-(SUM(K5:K8)),0)</f>
        <v>0</v>
      </c>
      <c r="O9" s="384" t="str">
        <f>【マスター】!P30</f>
        <v>要介護1</v>
      </c>
      <c r="P9" s="379" t="str">
        <f>ASC(【マスター】!Q30)</f>
        <v>669</v>
      </c>
      <c r="Q9" s="403" t="str">
        <f>ASC(【マスター】!R30)</f>
        <v>6,783</v>
      </c>
      <c r="R9" s="374">
        <f>P9*31</f>
        <v>20739</v>
      </c>
    </row>
    <row r="10" spans="1:20" ht="19.5" thickTop="1">
      <c r="A10" s="2479"/>
      <c r="B10" s="962" t="s">
        <v>1384</v>
      </c>
      <c r="C10" s="399" t="e">
        <f>P20*1</f>
        <v>#VALUE!</v>
      </c>
      <c r="D10" s="400" t="s">
        <v>1384</v>
      </c>
      <c r="E10" s="401" t="e">
        <f>C10</f>
        <v>#VALUE!</v>
      </c>
      <c r="F10" s="400" t="s">
        <v>1384</v>
      </c>
      <c r="G10" s="401" t="e">
        <f>C10</f>
        <v>#VALUE!</v>
      </c>
      <c r="H10" s="400" t="s">
        <v>1384</v>
      </c>
      <c r="I10" s="401" t="e">
        <f>C10</f>
        <v>#VALUE!</v>
      </c>
      <c r="J10" s="400" t="s">
        <v>1384</v>
      </c>
      <c r="K10" s="402" t="e">
        <f>C10</f>
        <v>#VALUE!</v>
      </c>
      <c r="O10" s="384" t="str">
        <f>【マスター】!P31</f>
        <v>要介護2</v>
      </c>
      <c r="P10" s="379" t="str">
        <f>ASC(【マスター】!Q31)</f>
        <v>791</v>
      </c>
      <c r="Q10" s="403" t="str">
        <f>ASC(【マスター】!R31)</f>
        <v>8,020</v>
      </c>
      <c r="R10" s="374">
        <f t="shared" ref="R10:R13" si="0">P10*31</f>
        <v>24521</v>
      </c>
    </row>
    <row r="11" spans="1:20">
      <c r="A11" s="2479"/>
      <c r="B11" s="960" t="s">
        <v>1387</v>
      </c>
      <c r="C11" s="389">
        <f>P19*2</f>
        <v>1140</v>
      </c>
      <c r="D11" s="390" t="s">
        <v>1387</v>
      </c>
      <c r="E11" s="391">
        <f>C11</f>
        <v>1140</v>
      </c>
      <c r="F11" s="390" t="s">
        <v>1387</v>
      </c>
      <c r="G11" s="391">
        <f>E11</f>
        <v>1140</v>
      </c>
      <c r="H11" s="390" t="s">
        <v>1387</v>
      </c>
      <c r="I11" s="391">
        <f>G11</f>
        <v>1140</v>
      </c>
      <c r="J11" s="390" t="s">
        <v>1387</v>
      </c>
      <c r="K11" s="392">
        <f>I11</f>
        <v>1140</v>
      </c>
      <c r="O11" s="384" t="str">
        <f>【マスター】!P32</f>
        <v>要介護3</v>
      </c>
      <c r="P11" s="379" t="str">
        <f>ASC(【マスター】!Q32)</f>
        <v>915</v>
      </c>
      <c r="Q11" s="403" t="str">
        <f>ASC(【マスター】!R32)</f>
        <v>9,278</v>
      </c>
      <c r="R11" s="374">
        <f t="shared" si="0"/>
        <v>28365</v>
      </c>
    </row>
    <row r="12" spans="1:20">
      <c r="A12" s="2479"/>
      <c r="B12" s="960" t="s">
        <v>1389</v>
      </c>
      <c r="C12" s="389">
        <f>P21*1</f>
        <v>630</v>
      </c>
      <c r="D12" s="390" t="s">
        <v>1389</v>
      </c>
      <c r="E12" s="391">
        <f>C12</f>
        <v>630</v>
      </c>
      <c r="F12" s="390" t="s">
        <v>1389</v>
      </c>
      <c r="G12" s="391">
        <f>E12</f>
        <v>630</v>
      </c>
      <c r="H12" s="390" t="s">
        <v>1389</v>
      </c>
      <c r="I12" s="391">
        <f>G12</f>
        <v>630</v>
      </c>
      <c r="J12" s="390" t="s">
        <v>1389</v>
      </c>
      <c r="K12" s="392">
        <f>I12</f>
        <v>630</v>
      </c>
      <c r="O12" s="384" t="str">
        <f>【マスター】!P33</f>
        <v>要介護4</v>
      </c>
      <c r="P12" s="379" t="str">
        <f>ASC(【マスター】!Q33)</f>
        <v>1,041</v>
      </c>
      <c r="Q12" s="403" t="str">
        <f>ASC(【マスター】!R33)</f>
        <v>10,555</v>
      </c>
      <c r="R12" s="374">
        <f t="shared" si="0"/>
        <v>32271</v>
      </c>
    </row>
    <row r="13" spans="1:20" ht="19.5" thickBot="1">
      <c r="A13" s="2479"/>
      <c r="B13" s="963" t="s">
        <v>1421</v>
      </c>
      <c r="C13" s="964">
        <f>$M$23*1</f>
        <v>0</v>
      </c>
      <c r="D13" s="965" t="s">
        <v>1421</v>
      </c>
      <c r="E13" s="966">
        <f>C13</f>
        <v>0</v>
      </c>
      <c r="F13" s="965" t="s">
        <v>1421</v>
      </c>
      <c r="G13" s="966">
        <f>E13</f>
        <v>0</v>
      </c>
      <c r="H13" s="965" t="s">
        <v>1421</v>
      </c>
      <c r="I13" s="966">
        <f>G13</f>
        <v>0</v>
      </c>
      <c r="J13" s="965" t="s">
        <v>1421</v>
      </c>
      <c r="K13" s="967">
        <f>I13</f>
        <v>0</v>
      </c>
      <c r="O13" s="384" t="str">
        <f>【マスター】!P34</f>
        <v>要介護5</v>
      </c>
      <c r="P13" s="379" t="str">
        <f>ASC(【マスター】!Q34)</f>
        <v>1,168</v>
      </c>
      <c r="Q13" s="403" t="str">
        <f>ASC(【マスター】!R34)</f>
        <v>11,843</v>
      </c>
      <c r="R13" s="374">
        <f t="shared" si="0"/>
        <v>36208</v>
      </c>
    </row>
    <row r="14" spans="1:20" ht="19.5" thickBot="1">
      <c r="A14" s="2480"/>
      <c r="B14" s="405" t="s">
        <v>1422</v>
      </c>
      <c r="C14" s="406" t="e">
        <f>SUM(C5:C13)</f>
        <v>#VALUE!</v>
      </c>
      <c r="D14" s="407" t="s">
        <v>1422</v>
      </c>
      <c r="E14" s="406" t="e">
        <f>SUM(E5:E13)</f>
        <v>#VALUE!</v>
      </c>
      <c r="F14" s="407" t="s">
        <v>1422</v>
      </c>
      <c r="G14" s="406" t="e">
        <f>SUM(G5:G13)</f>
        <v>#VALUE!</v>
      </c>
      <c r="H14" s="407" t="s">
        <v>1422</v>
      </c>
      <c r="I14" s="406" t="e">
        <f>SUM(I5:I13)</f>
        <v>#VALUE!</v>
      </c>
      <c r="J14" s="407" t="s">
        <v>1422</v>
      </c>
      <c r="K14" s="408" t="e">
        <f>SUM(K5:K13)</f>
        <v>#VALUE!</v>
      </c>
      <c r="S14" s="397"/>
    </row>
    <row r="15" spans="1:20" ht="19.5" customHeight="1">
      <c r="A15" s="2478" t="s">
        <v>1276</v>
      </c>
      <c r="B15" s="385" t="s">
        <v>1423</v>
      </c>
      <c r="C15" s="423">
        <f>ROUNDDOWN(P9*3*$K$2,0)-(ROUNDDOWN(P9*3*$K$2*$M$4,0))</f>
        <v>2035</v>
      </c>
      <c r="D15" s="387" t="s">
        <v>1383</v>
      </c>
      <c r="E15" s="423">
        <f>ROUNDDOWN(P10*3*$K$2,0)-(ROUNDDOWN(P10*3*$K$2*$M$4,0))</f>
        <v>2407</v>
      </c>
      <c r="F15" s="387" t="s">
        <v>1385</v>
      </c>
      <c r="G15" s="423">
        <f>ROUNDDOWN(P11*3*$K$2,0)-(ROUNDDOWN(P11*3*$K$2*$M$4,0))</f>
        <v>2784</v>
      </c>
      <c r="H15" s="387" t="s">
        <v>1386</v>
      </c>
      <c r="I15" s="423">
        <f>ROUNDDOWN(P12*3*$K$2,0)-(ROUNDDOWN(P12*3*$K$2*$M$4,0))</f>
        <v>3167</v>
      </c>
      <c r="J15" s="387" t="s">
        <v>1388</v>
      </c>
      <c r="K15" s="427">
        <f>ROUNDDOWN(P13*3*$K$2,0)-(ROUNDDOWN(P13*3*$K$2*$M$4,0))</f>
        <v>3553</v>
      </c>
      <c r="O15" s="384" t="str">
        <f>IF(【マスター】!C50="有","入浴(Ⅱ)","入浴(Ⅰ)")</f>
        <v>入浴(Ⅱ)</v>
      </c>
      <c r="P15" s="379">
        <f>IF(【マスター】!C50="有",55,40)</f>
        <v>55</v>
      </c>
      <c r="Q15" s="379" t="str">
        <f>IF(【マスター】!C50="有",(ASC(【マスター】!E50)),(ASC(【マスター】!E49)))</f>
        <v>557</v>
      </c>
      <c r="R15" s="374">
        <f>P15*31</f>
        <v>1705</v>
      </c>
    </row>
    <row r="16" spans="1:20">
      <c r="A16" s="2479"/>
      <c r="B16" s="388" t="str">
        <f>IF(【マスター】!C50="有","入浴介助加算(Ⅱ)","入浴介助加算(Ⅰ)")</f>
        <v>入浴介助加算(Ⅱ)</v>
      </c>
      <c r="C16" s="389">
        <f>ROUNDDOWN(Q15*3,0)-ROUNDDOWN(Q15*3*$M$4,0)</f>
        <v>168</v>
      </c>
      <c r="D16" s="390" t="str">
        <f>IF(【マスター】!C50="有","入浴介助加算(Ⅱ)","入浴介助加算(Ⅰ)")</f>
        <v>入浴介助加算(Ⅱ)</v>
      </c>
      <c r="E16" s="391">
        <f>C16</f>
        <v>168</v>
      </c>
      <c r="F16" s="390" t="str">
        <f>IF(【マスター】!C50="有","入浴介助加算(Ⅱ)","入浴介助加算(Ⅰ)")</f>
        <v>入浴介助加算(Ⅱ)</v>
      </c>
      <c r="G16" s="391">
        <f>C16</f>
        <v>168</v>
      </c>
      <c r="H16" s="390" t="str">
        <f>IF(【マスター】!C50="有","入浴介助加算(Ⅱ)","入浴介助加算(Ⅰ)")</f>
        <v>入浴介助加算(Ⅱ)</v>
      </c>
      <c r="I16" s="391">
        <f>C16</f>
        <v>168</v>
      </c>
      <c r="J16" s="390" t="str">
        <f>IF(【マスター】!C50="有","入浴介助加算(Ⅱ)","入浴介助加算(Ⅰ)")</f>
        <v>入浴介助加算(Ⅱ)</v>
      </c>
      <c r="K16" s="392">
        <f>C16</f>
        <v>168</v>
      </c>
      <c r="O16" s="384" t="s">
        <v>1417</v>
      </c>
      <c r="P16" s="379">
        <f>-(ASC(【マスター】!K51))</f>
        <v>-47</v>
      </c>
      <c r="Q16" s="379">
        <f>-(ASC(【マスター】!L51))</f>
        <v>-476</v>
      </c>
      <c r="R16" s="374">
        <f>P16*60</f>
        <v>-2820</v>
      </c>
    </row>
    <row r="17" spans="1:18">
      <c r="A17" s="2479"/>
      <c r="B17" s="388" t="s">
        <v>1417</v>
      </c>
      <c r="C17" s="389">
        <f>ROUNDDOWN(Q16*4,0)-ROUNDDOWN(Q16*4*$M$4,0)</f>
        <v>-191</v>
      </c>
      <c r="D17" s="390" t="s">
        <v>1417</v>
      </c>
      <c r="E17" s="391">
        <f>C17</f>
        <v>-191</v>
      </c>
      <c r="F17" s="390" t="s">
        <v>1417</v>
      </c>
      <c r="G17" s="391">
        <f>C17</f>
        <v>-191</v>
      </c>
      <c r="H17" s="390" t="s">
        <v>1417</v>
      </c>
      <c r="I17" s="391">
        <f>C17</f>
        <v>-191</v>
      </c>
      <c r="J17" s="390" t="s">
        <v>1417</v>
      </c>
      <c r="K17" s="392">
        <f>C17</f>
        <v>-191</v>
      </c>
      <c r="O17" s="384" t="s">
        <v>2081</v>
      </c>
      <c r="P17" s="379">
        <f>-(ASC(【マスター】!K52))</f>
        <v>-94</v>
      </c>
      <c r="Q17" s="379">
        <f>-(ASC(【マスター】!L52))</f>
        <v>-953</v>
      </c>
      <c r="R17" s="374">
        <f>P17*31</f>
        <v>-2914</v>
      </c>
    </row>
    <row r="18" spans="1:18">
      <c r="A18" s="2479"/>
      <c r="B18" s="527"/>
      <c r="C18" s="528"/>
      <c r="D18" s="527"/>
      <c r="E18" s="530"/>
      <c r="F18" s="527"/>
      <c r="G18" s="530"/>
      <c r="H18" s="527"/>
      <c r="I18" s="530"/>
      <c r="J18" s="527"/>
      <c r="K18" s="404"/>
    </row>
    <row r="19" spans="1:18" ht="19.5" thickBot="1">
      <c r="A19" s="2479"/>
      <c r="B19" s="393" t="s">
        <v>1420</v>
      </c>
      <c r="C19" s="394">
        <f>IF($H$2=$O$4,-(SUM(C15:C18)),0)</f>
        <v>0</v>
      </c>
      <c r="D19" s="395" t="s">
        <v>1420</v>
      </c>
      <c r="E19" s="394">
        <f>IF($H$2=$O$4,-(SUM(E15:E18)),0)</f>
        <v>0</v>
      </c>
      <c r="F19" s="395" t="s">
        <v>1420</v>
      </c>
      <c r="G19" s="394">
        <f>IF($H$2=$O$4,-(SUM(G15:G18)),0)</f>
        <v>0</v>
      </c>
      <c r="H19" s="395" t="s">
        <v>1420</v>
      </c>
      <c r="I19" s="394">
        <f>IF($H$2=$O$4,-(SUM(I15:I18)),0)</f>
        <v>0</v>
      </c>
      <c r="J19" s="395" t="s">
        <v>1420</v>
      </c>
      <c r="K19" s="396">
        <f>IF($H$2=$O$4,-(SUM(K15:K18)),0)</f>
        <v>0</v>
      </c>
      <c r="O19" s="384" t="s">
        <v>1424</v>
      </c>
      <c r="P19" s="379" t="str">
        <f>ASC(【マスター】!J44)</f>
        <v>570</v>
      </c>
      <c r="Q19" s="946" t="s">
        <v>2072</v>
      </c>
    </row>
    <row r="20" spans="1:18" ht="19.5" thickTop="1">
      <c r="A20" s="2479"/>
      <c r="B20" s="398" t="s">
        <v>1384</v>
      </c>
      <c r="C20" s="399" t="e">
        <f>$P$20*2</f>
        <v>#VALUE!</v>
      </c>
      <c r="D20" s="400" t="s">
        <v>1384</v>
      </c>
      <c r="E20" s="401" t="e">
        <f>C20</f>
        <v>#VALUE!</v>
      </c>
      <c r="F20" s="400" t="s">
        <v>1384</v>
      </c>
      <c r="G20" s="401" t="e">
        <f>C20</f>
        <v>#VALUE!</v>
      </c>
      <c r="H20" s="400" t="s">
        <v>1384</v>
      </c>
      <c r="I20" s="401" t="e">
        <f>C20</f>
        <v>#VALUE!</v>
      </c>
      <c r="J20" s="400" t="s">
        <v>1384</v>
      </c>
      <c r="K20" s="402" t="e">
        <f>C20</f>
        <v>#VALUE!</v>
      </c>
      <c r="O20" s="384" t="s">
        <v>1425</v>
      </c>
      <c r="P20" s="379" t="str">
        <f>ASC(【マスター】!J43)</f>
        <v/>
      </c>
      <c r="Q20" s="946" t="s">
        <v>2072</v>
      </c>
    </row>
    <row r="21" spans="1:18">
      <c r="A21" s="2479"/>
      <c r="B21" s="388" t="s">
        <v>1387</v>
      </c>
      <c r="C21" s="389">
        <f>$P$19*3</f>
        <v>1710</v>
      </c>
      <c r="D21" s="390" t="s">
        <v>1387</v>
      </c>
      <c r="E21" s="391">
        <f>C21</f>
        <v>1710</v>
      </c>
      <c r="F21" s="390" t="s">
        <v>1387</v>
      </c>
      <c r="G21" s="391">
        <f>E21</f>
        <v>1710</v>
      </c>
      <c r="H21" s="390" t="s">
        <v>1387</v>
      </c>
      <c r="I21" s="391">
        <f>G21</f>
        <v>1710</v>
      </c>
      <c r="J21" s="390" t="s">
        <v>1387</v>
      </c>
      <c r="K21" s="392">
        <f>I21</f>
        <v>1710</v>
      </c>
      <c r="O21" s="384" t="s">
        <v>1426</v>
      </c>
      <c r="P21" s="379" t="str">
        <f>ASC(【マスター】!J45)</f>
        <v>630</v>
      </c>
      <c r="Q21" s="946" t="s">
        <v>2072</v>
      </c>
    </row>
    <row r="22" spans="1:18">
      <c r="A22" s="2479"/>
      <c r="B22" s="388" t="s">
        <v>1389</v>
      </c>
      <c r="C22" s="389">
        <f>$P$21*2</f>
        <v>1260</v>
      </c>
      <c r="D22" s="390" t="s">
        <v>1389</v>
      </c>
      <c r="E22" s="391">
        <f>C22</f>
        <v>1260</v>
      </c>
      <c r="F22" s="390" t="s">
        <v>1389</v>
      </c>
      <c r="G22" s="391">
        <f>E22</f>
        <v>1260</v>
      </c>
      <c r="H22" s="390" t="s">
        <v>1389</v>
      </c>
      <c r="I22" s="391">
        <f>G22</f>
        <v>1260</v>
      </c>
      <c r="J22" s="390" t="s">
        <v>1389</v>
      </c>
      <c r="K22" s="392">
        <f>I22</f>
        <v>1260</v>
      </c>
      <c r="M22" s="374" t="s">
        <v>1427</v>
      </c>
    </row>
    <row r="23" spans="1:18" ht="19.5" thickBot="1">
      <c r="A23" s="2479"/>
      <c r="B23" s="388" t="s">
        <v>1421</v>
      </c>
      <c r="C23" s="389">
        <f>$M$23*2</f>
        <v>0</v>
      </c>
      <c r="D23" s="390" t="s">
        <v>1421</v>
      </c>
      <c r="E23" s="391">
        <f>C23</f>
        <v>0</v>
      </c>
      <c r="F23" s="390" t="s">
        <v>1421</v>
      </c>
      <c r="G23" s="391">
        <f>E23</f>
        <v>0</v>
      </c>
      <c r="H23" s="390" t="s">
        <v>1421</v>
      </c>
      <c r="I23" s="391">
        <f>G23</f>
        <v>0</v>
      </c>
      <c r="J23" s="390" t="s">
        <v>1421</v>
      </c>
      <c r="K23" s="392">
        <f>I23</f>
        <v>0</v>
      </c>
      <c r="M23" s="956">
        <f>【マスター】!J41</f>
        <v>0</v>
      </c>
    </row>
    <row r="24" spans="1:18" ht="19.5" thickBot="1">
      <c r="A24" s="2480"/>
      <c r="B24" s="405" t="s">
        <v>1422</v>
      </c>
      <c r="C24" s="406" t="e">
        <f>SUM(C15:C23)</f>
        <v>#VALUE!</v>
      </c>
      <c r="D24" s="407" t="s">
        <v>1422</v>
      </c>
      <c r="E24" s="406" t="e">
        <f>SUM(E15:E23)</f>
        <v>#VALUE!</v>
      </c>
      <c r="F24" s="407" t="s">
        <v>1422</v>
      </c>
      <c r="G24" s="406" t="e">
        <f>SUM(G15:G23)</f>
        <v>#VALUE!</v>
      </c>
      <c r="H24" s="407" t="s">
        <v>1422</v>
      </c>
      <c r="I24" s="406" t="e">
        <f>SUM(I15:I23)</f>
        <v>#VALUE!</v>
      </c>
      <c r="J24" s="407" t="s">
        <v>1422</v>
      </c>
      <c r="K24" s="408" t="e">
        <f>SUM(K15:K23)</f>
        <v>#VALUE!</v>
      </c>
      <c r="M24" s="946" t="s">
        <v>2082</v>
      </c>
      <c r="O24" s="580" t="s">
        <v>1407</v>
      </c>
      <c r="P24" s="379"/>
    </row>
    <row r="25" spans="1:18" ht="19.5" customHeight="1">
      <c r="A25" s="2478" t="s">
        <v>1281</v>
      </c>
      <c r="B25" s="409" t="s">
        <v>1423</v>
      </c>
      <c r="C25" s="423">
        <f>ROUNDDOWN(P9*8*$K$2,0)-(ROUNDDOWN(P9*8*$K$2*$M$4,0))</f>
        <v>5427</v>
      </c>
      <c r="D25" s="384" t="s">
        <v>1383</v>
      </c>
      <c r="E25" s="423">
        <f>ROUNDDOWN(P10*8*$K$2,0)-(ROUNDDOWN(P10*8*$K$2*$M$4,0))</f>
        <v>6416</v>
      </c>
      <c r="F25" s="384" t="s">
        <v>1385</v>
      </c>
      <c r="G25" s="423">
        <f>ROUNDDOWN(P11*8*$K$2,0)-(ROUNDDOWN(P11*8*$K$2*$M$4,0))</f>
        <v>7422</v>
      </c>
      <c r="H25" s="384" t="s">
        <v>1386</v>
      </c>
      <c r="I25" s="423">
        <f>ROUNDDOWN(P12*8*$K$2,0)-(ROUNDDOWN(P12*8*$K$2*$M$4,0))</f>
        <v>8444</v>
      </c>
      <c r="J25" s="384" t="s">
        <v>1388</v>
      </c>
      <c r="K25" s="427">
        <f>ROUNDDOWN(P13*8*$K$2,0)-(ROUNDDOWN(P13*8*$K$2*$M$4,0))</f>
        <v>9475</v>
      </c>
      <c r="O25" s="580" t="s">
        <v>1404</v>
      </c>
      <c r="P25" s="379"/>
    </row>
    <row r="26" spans="1:18">
      <c r="A26" s="2479"/>
      <c r="B26" s="388" t="str">
        <f>IF(【マスター】!C50="有","入浴介助加算(Ⅱ)","入浴介助加算(Ⅰ)")</f>
        <v>入浴介助加算(Ⅱ)</v>
      </c>
      <c r="C26" s="389">
        <f>ROUNDDOWN(Q15*8,0)-ROUNDDOWN(Q15*8*$M$4,0)</f>
        <v>446</v>
      </c>
      <c r="D26" s="390" t="str">
        <f>IF(【マスター】!C50="有","入浴介助加算(Ⅱ)","入浴介助加算(Ⅰ)")</f>
        <v>入浴介助加算(Ⅱ)</v>
      </c>
      <c r="E26" s="391">
        <f>C26</f>
        <v>446</v>
      </c>
      <c r="F26" s="390" t="str">
        <f>IF(【マスター】!C50="有","入浴介助加算(Ⅱ)","入浴介助加算(Ⅰ)")</f>
        <v>入浴介助加算(Ⅱ)</v>
      </c>
      <c r="G26" s="391">
        <f>C26</f>
        <v>446</v>
      </c>
      <c r="H26" s="390" t="str">
        <f>IF(【マスター】!C50="有","入浴介助加算(Ⅱ)","入浴介助加算(Ⅰ)")</f>
        <v>入浴介助加算(Ⅱ)</v>
      </c>
      <c r="I26" s="391">
        <f>C26</f>
        <v>446</v>
      </c>
      <c r="J26" s="390" t="str">
        <f>IF(【マスター】!C50="有","入浴介助加算(Ⅱ)","入浴介助加算(Ⅰ)")</f>
        <v>入浴介助加算(Ⅱ)</v>
      </c>
      <c r="K26" s="392">
        <f>C26</f>
        <v>446</v>
      </c>
      <c r="O26" s="580" t="s">
        <v>1415</v>
      </c>
      <c r="P26" s="379"/>
    </row>
    <row r="27" spans="1:18">
      <c r="A27" s="2479"/>
      <c r="B27" s="388" t="s">
        <v>1417</v>
      </c>
      <c r="C27" s="389">
        <f>ROUNDDOWN(Q16*14,0)-ROUNDDOWN(Q16*14*$M$4,0)</f>
        <v>-667</v>
      </c>
      <c r="D27" s="390" t="s">
        <v>1417</v>
      </c>
      <c r="E27" s="391">
        <f>C27</f>
        <v>-667</v>
      </c>
      <c r="F27" s="390" t="s">
        <v>1417</v>
      </c>
      <c r="G27" s="391">
        <f>C27</f>
        <v>-667</v>
      </c>
      <c r="H27" s="390" t="s">
        <v>1417</v>
      </c>
      <c r="I27" s="391">
        <f>C27</f>
        <v>-667</v>
      </c>
      <c r="J27" s="390" t="s">
        <v>1417</v>
      </c>
      <c r="K27" s="392">
        <f>C27</f>
        <v>-667</v>
      </c>
      <c r="O27" s="580" t="s">
        <v>1418</v>
      </c>
      <c r="P27" s="379"/>
    </row>
    <row r="28" spans="1:18">
      <c r="A28" s="2479"/>
      <c r="B28" s="527"/>
      <c r="C28" s="528"/>
      <c r="D28" s="527"/>
      <c r="E28" s="530"/>
      <c r="F28" s="527"/>
      <c r="G28" s="530"/>
      <c r="H28" s="527"/>
      <c r="I28" s="530"/>
      <c r="J28" s="527"/>
      <c r="K28" s="404"/>
    </row>
    <row r="29" spans="1:18" ht="19.5" thickBot="1">
      <c r="A29" s="2479"/>
      <c r="B29" s="393" t="s">
        <v>1420</v>
      </c>
      <c r="C29" s="394">
        <f>IF($H$2=$O$4,-(SUM(C25:C28)),0)</f>
        <v>0</v>
      </c>
      <c r="D29" s="395" t="s">
        <v>1420</v>
      </c>
      <c r="E29" s="394">
        <f>IF($H$2=$O$4,-(SUM(E25:E28)),0)</f>
        <v>0</v>
      </c>
      <c r="F29" s="395" t="s">
        <v>1420</v>
      </c>
      <c r="G29" s="394">
        <f>IF($H$2=$O$4,-(SUM(G25:G28)),0)</f>
        <v>0</v>
      </c>
      <c r="H29" s="395" t="s">
        <v>1420</v>
      </c>
      <c r="I29" s="394">
        <f>IF($H$2=$O$4,-(SUM(I25:I28)),0)</f>
        <v>0</v>
      </c>
      <c r="J29" s="395" t="s">
        <v>1420</v>
      </c>
      <c r="K29" s="396">
        <f>IF($H$2=$O$4,-(SUM(K25:K28)),0)</f>
        <v>0</v>
      </c>
    </row>
    <row r="30" spans="1:18" ht="19.5" thickTop="1">
      <c r="A30" s="2479"/>
      <c r="B30" s="398" t="s">
        <v>1384</v>
      </c>
      <c r="C30" s="399" t="e">
        <f>$P$20*7</f>
        <v>#VALUE!</v>
      </c>
      <c r="D30" s="400" t="s">
        <v>1384</v>
      </c>
      <c r="E30" s="401" t="e">
        <f>C30</f>
        <v>#VALUE!</v>
      </c>
      <c r="F30" s="400" t="s">
        <v>1384</v>
      </c>
      <c r="G30" s="401" t="e">
        <f>C30</f>
        <v>#VALUE!</v>
      </c>
      <c r="H30" s="400" t="s">
        <v>1384</v>
      </c>
      <c r="I30" s="401" t="e">
        <f>C30</f>
        <v>#VALUE!</v>
      </c>
      <c r="J30" s="400" t="s">
        <v>1384</v>
      </c>
      <c r="K30" s="402" t="e">
        <f>C30</f>
        <v>#VALUE!</v>
      </c>
    </row>
    <row r="31" spans="1:18">
      <c r="A31" s="2479"/>
      <c r="B31" s="388" t="s">
        <v>1387</v>
      </c>
      <c r="C31" s="389">
        <f>$P$19*8</f>
        <v>4560</v>
      </c>
      <c r="D31" s="390" t="s">
        <v>1387</v>
      </c>
      <c r="E31" s="391">
        <f>C31</f>
        <v>4560</v>
      </c>
      <c r="F31" s="390" t="s">
        <v>1387</v>
      </c>
      <c r="G31" s="391">
        <f>E31</f>
        <v>4560</v>
      </c>
      <c r="H31" s="390" t="s">
        <v>1387</v>
      </c>
      <c r="I31" s="391">
        <f>G31</f>
        <v>4560</v>
      </c>
      <c r="J31" s="390" t="s">
        <v>1387</v>
      </c>
      <c r="K31" s="392">
        <f>I31</f>
        <v>4560</v>
      </c>
    </row>
    <row r="32" spans="1:18">
      <c r="A32" s="2479"/>
      <c r="B32" s="388" t="s">
        <v>1389</v>
      </c>
      <c r="C32" s="389">
        <f>$P$21*7</f>
        <v>4410</v>
      </c>
      <c r="D32" s="390" t="s">
        <v>1389</v>
      </c>
      <c r="E32" s="391">
        <f>C32</f>
        <v>4410</v>
      </c>
      <c r="F32" s="390" t="s">
        <v>1389</v>
      </c>
      <c r="G32" s="391">
        <f>E32</f>
        <v>4410</v>
      </c>
      <c r="H32" s="390" t="s">
        <v>1389</v>
      </c>
      <c r="I32" s="391">
        <f>G32</f>
        <v>4410</v>
      </c>
      <c r="J32" s="390" t="s">
        <v>1389</v>
      </c>
      <c r="K32" s="392">
        <f>I32</f>
        <v>4410</v>
      </c>
    </row>
    <row r="33" spans="1:16" ht="19.5" thickBot="1">
      <c r="A33" s="2479"/>
      <c r="B33" s="388" t="s">
        <v>1421</v>
      </c>
      <c r="C33" s="389">
        <f>$M$23*7</f>
        <v>0</v>
      </c>
      <c r="D33" s="390" t="s">
        <v>1421</v>
      </c>
      <c r="E33" s="391">
        <f>C33</f>
        <v>0</v>
      </c>
      <c r="F33" s="390" t="s">
        <v>1421</v>
      </c>
      <c r="G33" s="391">
        <f>E33</f>
        <v>0</v>
      </c>
      <c r="H33" s="390" t="s">
        <v>1421</v>
      </c>
      <c r="I33" s="391">
        <f>G33</f>
        <v>0</v>
      </c>
      <c r="J33" s="390" t="s">
        <v>1421</v>
      </c>
      <c r="K33" s="392">
        <f>I33</f>
        <v>0</v>
      </c>
    </row>
    <row r="34" spans="1:16" ht="19.5" thickBot="1">
      <c r="A34" s="2480"/>
      <c r="B34" s="405" t="s">
        <v>1422</v>
      </c>
      <c r="C34" s="406" t="e">
        <f>SUM(C25:C33)</f>
        <v>#VALUE!</v>
      </c>
      <c r="D34" s="407" t="s">
        <v>1422</v>
      </c>
      <c r="E34" s="406" t="e">
        <f>SUM(E25:E33)</f>
        <v>#VALUE!</v>
      </c>
      <c r="F34" s="407" t="s">
        <v>1422</v>
      </c>
      <c r="G34" s="406" t="e">
        <f>SUM(G25:G33)</f>
        <v>#VALUE!</v>
      </c>
      <c r="H34" s="407" t="s">
        <v>1422</v>
      </c>
      <c r="I34" s="406" t="e">
        <f>SUM(I25:I33)</f>
        <v>#VALUE!</v>
      </c>
      <c r="J34" s="407" t="s">
        <v>1422</v>
      </c>
      <c r="K34" s="408" t="e">
        <f>SUM(K25:K33)</f>
        <v>#VALUE!</v>
      </c>
    </row>
    <row r="35" spans="1:16" ht="19.5" customHeight="1">
      <c r="A35" s="2478" t="s">
        <v>1284</v>
      </c>
      <c r="B35" s="409" t="s">
        <v>1423</v>
      </c>
      <c r="C35" s="423">
        <f>ROUNDDOWN(P9*15*$K$2,0)-(ROUNDDOWN(P9*15*$K$2*$M$4,0))</f>
        <v>10175</v>
      </c>
      <c r="D35" s="384" t="s">
        <v>1383</v>
      </c>
      <c r="E35" s="423">
        <f>ROUNDDOWN(P10*15*$K$2,0)-(ROUNDDOWN(P10*15*$K$2*$M$4,0))</f>
        <v>12032</v>
      </c>
      <c r="F35" s="384" t="s">
        <v>1385</v>
      </c>
      <c r="G35" s="423">
        <f>ROUNDDOWN(P11*15*$K$2,0)-(ROUNDDOWN(P11*15*$K$2*$M$4,0))</f>
        <v>13917</v>
      </c>
      <c r="H35" s="384" t="s">
        <v>1386</v>
      </c>
      <c r="I35" s="423">
        <f>ROUNDDOWN(P12*15*$K$2,0)-(ROUNDDOWN(P12*15*$K$2*$M$4,0))</f>
        <v>15834</v>
      </c>
      <c r="J35" s="384" t="s">
        <v>1388</v>
      </c>
      <c r="K35" s="427">
        <f>ROUNDDOWN(P13*15*$K$2,0)-(ROUNDDOWN(P13*15*$K$2*$M$4,0))</f>
        <v>17765</v>
      </c>
    </row>
    <row r="36" spans="1:16">
      <c r="A36" s="2479"/>
      <c r="B36" s="388" t="str">
        <f>IF(【マスター】!C50="有","入浴介助加算(Ⅱ)","入浴介助加算(Ⅰ)")</f>
        <v>入浴介助加算(Ⅱ)</v>
      </c>
      <c r="C36" s="389">
        <f>ROUNDDOWN(Q15*15,0)-ROUNDDOWN(Q15*15*$M$4,0)</f>
        <v>836</v>
      </c>
      <c r="D36" s="390" t="str">
        <f>IF(【マスター】!C50="有","入浴介助加算(Ⅱ)","入浴介助加算(Ⅰ)")</f>
        <v>入浴介助加算(Ⅱ)</v>
      </c>
      <c r="E36" s="391">
        <f>C36</f>
        <v>836</v>
      </c>
      <c r="F36" s="390" t="str">
        <f>IF(【マスター】!C50="有","入浴介助加算(Ⅱ)","入浴介助加算(Ⅰ)")</f>
        <v>入浴介助加算(Ⅱ)</v>
      </c>
      <c r="G36" s="391">
        <f>C36</f>
        <v>836</v>
      </c>
      <c r="H36" s="390" t="str">
        <f>IF(【マスター】!C50="有","入浴介助加算(Ⅱ)","入浴介助加算(Ⅰ)")</f>
        <v>入浴介助加算(Ⅱ)</v>
      </c>
      <c r="I36" s="391">
        <f>C36</f>
        <v>836</v>
      </c>
      <c r="J36" s="390" t="str">
        <f>IF(【マスター】!C50="有","入浴介助加算(Ⅱ)","入浴介助加算(Ⅰ)")</f>
        <v>入浴介助加算(Ⅱ)</v>
      </c>
      <c r="K36" s="392">
        <f>C36</f>
        <v>836</v>
      </c>
      <c r="N36" s="374" t="s">
        <v>1428</v>
      </c>
      <c r="O36" s="374" t="s">
        <v>1429</v>
      </c>
      <c r="P36" s="374" t="s">
        <v>1430</v>
      </c>
    </row>
    <row r="37" spans="1:16">
      <c r="A37" s="2479"/>
      <c r="B37" s="388" t="s">
        <v>1417</v>
      </c>
      <c r="C37" s="389">
        <f>ROUNDDOWN(Q16*28,0)-ROUNDDOWN(Q16*28*$M$4,0)</f>
        <v>-1333</v>
      </c>
      <c r="D37" s="390" t="s">
        <v>1417</v>
      </c>
      <c r="E37" s="391">
        <f>C37</f>
        <v>-1333</v>
      </c>
      <c r="F37" s="390" t="s">
        <v>1417</v>
      </c>
      <c r="G37" s="391">
        <f>C37</f>
        <v>-1333</v>
      </c>
      <c r="H37" s="390" t="s">
        <v>1417</v>
      </c>
      <c r="I37" s="391">
        <f>C37</f>
        <v>-1333</v>
      </c>
      <c r="J37" s="390" t="s">
        <v>1417</v>
      </c>
      <c r="K37" s="392">
        <f>C37</f>
        <v>-1333</v>
      </c>
      <c r="M37" s="425" t="s">
        <v>770</v>
      </c>
      <c r="N37" s="364">
        <f>【マスター】!Q37</f>
        <v>16765</v>
      </c>
      <c r="O37" s="424">
        <f>SUM(R9,$R$15,$R$16,$R$17)</f>
        <v>16710</v>
      </c>
      <c r="P37" s="423">
        <f>ROUNDDOWN(O37*$K$2,0)-ROUNDDOWN(N37*$K$2,0)</f>
        <v>-558</v>
      </c>
    </row>
    <row r="38" spans="1:16">
      <c r="A38" s="2479"/>
      <c r="B38" s="527"/>
      <c r="C38" s="528"/>
      <c r="D38" s="527"/>
      <c r="E38" s="530"/>
      <c r="F38" s="527"/>
      <c r="G38" s="530"/>
      <c r="H38" s="527"/>
      <c r="I38" s="530"/>
      <c r="J38" s="527"/>
      <c r="K38" s="404"/>
      <c r="M38" s="425" t="s">
        <v>780</v>
      </c>
      <c r="N38" s="364">
        <f>【マスター】!Q38</f>
        <v>19705</v>
      </c>
      <c r="O38" s="424">
        <f t="shared" ref="O38:O41" si="1">SUM(R10,$R$15,$R$16,$R$17)</f>
        <v>20492</v>
      </c>
      <c r="P38" s="423">
        <f>ROUNDDOWN(O38*$K$2,0)-ROUNDDOWN(N38*$K$2,0)</f>
        <v>7980</v>
      </c>
    </row>
    <row r="39" spans="1:16" ht="19.5" thickBot="1">
      <c r="A39" s="2479"/>
      <c r="B39" s="393" t="s">
        <v>1420</v>
      </c>
      <c r="C39" s="394">
        <f>IF($H$2=$O$4,-(SUM(C35:C38)),0)</f>
        <v>0</v>
      </c>
      <c r="D39" s="395" t="s">
        <v>1420</v>
      </c>
      <c r="E39" s="394">
        <f>IF($H$2=$O$4,-(SUM(E35:E38)),0)</f>
        <v>0</v>
      </c>
      <c r="F39" s="395" t="s">
        <v>1420</v>
      </c>
      <c r="G39" s="394">
        <f>IF($H$2=$O$4,-(SUM(G35:G38)),0)</f>
        <v>0</v>
      </c>
      <c r="H39" s="395" t="s">
        <v>1420</v>
      </c>
      <c r="I39" s="394">
        <f>IF($H$2=$O$4,-(SUM(I35:I38)),0)</f>
        <v>0</v>
      </c>
      <c r="J39" s="395" t="s">
        <v>1420</v>
      </c>
      <c r="K39" s="396">
        <f>IF($H$2=$O$4,-(SUM(K35:K38)),0)</f>
        <v>0</v>
      </c>
      <c r="M39" s="425" t="s">
        <v>758</v>
      </c>
      <c r="N39" s="364">
        <f>【マスター】!Q39</f>
        <v>27048</v>
      </c>
      <c r="O39" s="424">
        <f t="shared" si="1"/>
        <v>24336</v>
      </c>
      <c r="P39" s="423"/>
    </row>
    <row r="40" spans="1:16" ht="19.5" thickTop="1">
      <c r="A40" s="2479"/>
      <c r="B40" s="398" t="s">
        <v>1384</v>
      </c>
      <c r="C40" s="399" t="e">
        <f>$P$20*14</f>
        <v>#VALUE!</v>
      </c>
      <c r="D40" s="400" t="s">
        <v>1384</v>
      </c>
      <c r="E40" s="401" t="e">
        <f>C40</f>
        <v>#VALUE!</v>
      </c>
      <c r="F40" s="400" t="s">
        <v>1384</v>
      </c>
      <c r="G40" s="401" t="e">
        <f>C40</f>
        <v>#VALUE!</v>
      </c>
      <c r="H40" s="400" t="s">
        <v>1384</v>
      </c>
      <c r="I40" s="401" t="e">
        <f>C40</f>
        <v>#VALUE!</v>
      </c>
      <c r="J40" s="400" t="s">
        <v>1384</v>
      </c>
      <c r="K40" s="402" t="e">
        <f>C40</f>
        <v>#VALUE!</v>
      </c>
      <c r="M40" s="425" t="s">
        <v>785</v>
      </c>
      <c r="N40" s="364">
        <f>【マスター】!Q40</f>
        <v>30938</v>
      </c>
      <c r="O40" s="424">
        <f t="shared" si="1"/>
        <v>28242</v>
      </c>
      <c r="P40" s="423"/>
    </row>
    <row r="41" spans="1:16">
      <c r="A41" s="2479"/>
      <c r="B41" s="388" t="s">
        <v>1387</v>
      </c>
      <c r="C41" s="389">
        <f>$P$19*15</f>
        <v>8550</v>
      </c>
      <c r="D41" s="390" t="s">
        <v>1387</v>
      </c>
      <c r="E41" s="391">
        <f>C41</f>
        <v>8550</v>
      </c>
      <c r="F41" s="390" t="s">
        <v>1387</v>
      </c>
      <c r="G41" s="391">
        <f>E41</f>
        <v>8550</v>
      </c>
      <c r="H41" s="390" t="s">
        <v>1387</v>
      </c>
      <c r="I41" s="391">
        <f>G41</f>
        <v>8550</v>
      </c>
      <c r="J41" s="390" t="s">
        <v>1387</v>
      </c>
      <c r="K41" s="392">
        <f>I41</f>
        <v>8550</v>
      </c>
      <c r="M41" s="425" t="s">
        <v>790</v>
      </c>
      <c r="N41" s="364">
        <f>【マスター】!Q41</f>
        <v>36217</v>
      </c>
      <c r="O41" s="424">
        <f t="shared" si="1"/>
        <v>32179</v>
      </c>
      <c r="P41" s="423"/>
    </row>
    <row r="42" spans="1:16">
      <c r="A42" s="2479"/>
      <c r="B42" s="388" t="s">
        <v>1389</v>
      </c>
      <c r="C42" s="389">
        <f>$P$21*14</f>
        <v>8820</v>
      </c>
      <c r="D42" s="390" t="s">
        <v>1389</v>
      </c>
      <c r="E42" s="391">
        <f>C42</f>
        <v>8820</v>
      </c>
      <c r="F42" s="390" t="s">
        <v>1389</v>
      </c>
      <c r="G42" s="391">
        <f>E42</f>
        <v>8820</v>
      </c>
      <c r="H42" s="390" t="s">
        <v>1389</v>
      </c>
      <c r="I42" s="391">
        <f>G42</f>
        <v>8820</v>
      </c>
      <c r="J42" s="390" t="s">
        <v>1389</v>
      </c>
      <c r="K42" s="392">
        <f>I42</f>
        <v>8820</v>
      </c>
    </row>
    <row r="43" spans="1:16" ht="20.25" thickBot="1">
      <c r="A43" s="2479"/>
      <c r="B43" s="388" t="s">
        <v>1421</v>
      </c>
      <c r="C43" s="389">
        <f>$M$23*14</f>
        <v>0</v>
      </c>
      <c r="D43" s="390" t="s">
        <v>1421</v>
      </c>
      <c r="E43" s="391">
        <f>C43</f>
        <v>0</v>
      </c>
      <c r="F43" s="390" t="s">
        <v>1421</v>
      </c>
      <c r="G43" s="391">
        <f>E43</f>
        <v>0</v>
      </c>
      <c r="H43" s="390" t="s">
        <v>1421</v>
      </c>
      <c r="I43" s="391">
        <f>G43</f>
        <v>0</v>
      </c>
      <c r="J43" s="390" t="s">
        <v>1421</v>
      </c>
      <c r="K43" s="392">
        <f>I43</f>
        <v>0</v>
      </c>
      <c r="M43" s="297">
        <f>IF(【マスター】!C73="有",1,0)</f>
        <v>0</v>
      </c>
      <c r="N43" s="297" t="s">
        <v>772</v>
      </c>
      <c r="O43" s="297" t="str">
        <f>【マスター】!D73</f>
        <v>9.2%（1ヶ月の利用合計単位数に乗じる）</v>
      </c>
    </row>
    <row r="44" spans="1:16" ht="20.100000000000001" customHeight="1" thickBot="1">
      <c r="A44" s="2480"/>
      <c r="B44" s="405" t="s">
        <v>1422</v>
      </c>
      <c r="C44" s="406" t="e">
        <f>SUM(C35:C43)</f>
        <v>#VALUE!</v>
      </c>
      <c r="D44" s="407" t="s">
        <v>1422</v>
      </c>
      <c r="E44" s="406" t="e">
        <f>SUM(E35:E43)</f>
        <v>#VALUE!</v>
      </c>
      <c r="F44" s="407" t="s">
        <v>1422</v>
      </c>
      <c r="G44" s="406" t="e">
        <f>SUM(G35:G43)</f>
        <v>#VALUE!</v>
      </c>
      <c r="H44" s="407" t="s">
        <v>1422</v>
      </c>
      <c r="I44" s="406" t="e">
        <f>SUM(I35:I43)</f>
        <v>#VALUE!</v>
      </c>
      <c r="J44" s="407" t="s">
        <v>1422</v>
      </c>
      <c r="K44" s="408" t="e">
        <f>SUM(K35:K43)</f>
        <v>#VALUE!</v>
      </c>
      <c r="M44" s="297">
        <f>IF(【マスター】!C74="有",1,0)</f>
        <v>1</v>
      </c>
      <c r="N44" s="297" t="s">
        <v>775</v>
      </c>
      <c r="O44" s="297" t="str">
        <f>【マスター】!D74</f>
        <v>9.0%（1ヶ月の利用合計単位数に乗じる）</v>
      </c>
    </row>
    <row r="45" spans="1:16" ht="19.5">
      <c r="B45" s="2477" t="s">
        <v>2045</v>
      </c>
      <c r="C45" s="2477"/>
      <c r="D45" s="2477"/>
      <c r="E45" s="2477"/>
      <c r="F45" s="2477"/>
      <c r="G45" s="2477"/>
      <c r="H45" s="2477"/>
      <c r="I45" s="2477"/>
      <c r="J45" s="2477"/>
      <c r="K45" s="2477"/>
      <c r="M45" s="297">
        <f>IF(【マスター】!C75="有",1,0)</f>
        <v>0</v>
      </c>
      <c r="N45" s="297" t="s">
        <v>779</v>
      </c>
      <c r="O45" s="297" t="str">
        <f>【マスター】!D75</f>
        <v>8.0%（1ヶ月の利用合計単位数に乗じる）</v>
      </c>
    </row>
    <row r="46" spans="1:16" ht="19.5">
      <c r="B46" s="2476" t="s">
        <v>1431</v>
      </c>
      <c r="C46" s="2476"/>
      <c r="D46" s="2476"/>
      <c r="E46" s="2476"/>
      <c r="F46" s="2476"/>
      <c r="G46" s="2476"/>
      <c r="H46" s="2476"/>
      <c r="I46" s="2476"/>
      <c r="M46" s="297">
        <f>SUM(M43:M45)</f>
        <v>1</v>
      </c>
      <c r="N46" s="297" t="s">
        <v>788</v>
      </c>
    </row>
    <row r="47" spans="1:16">
      <c r="B47" s="374" t="s">
        <v>1432</v>
      </c>
    </row>
    <row r="48" spans="1:16" ht="19.5">
      <c r="A48" s="2471" t="s">
        <v>1433</v>
      </c>
      <c r="B48" s="414" t="s">
        <v>1434</v>
      </c>
      <c r="C48" s="581" t="s">
        <v>2019</v>
      </c>
      <c r="D48" s="581" t="s">
        <v>1434</v>
      </c>
      <c r="E48" s="581" t="s">
        <v>2019</v>
      </c>
      <c r="F48" s="581" t="s">
        <v>1434</v>
      </c>
      <c r="G48" s="581" t="s">
        <v>2019</v>
      </c>
      <c r="H48" s="581" t="s">
        <v>1434</v>
      </c>
      <c r="I48" s="581" t="s">
        <v>2019</v>
      </c>
      <c r="J48" s="581" t="s">
        <v>1434</v>
      </c>
      <c r="K48" s="581" t="s">
        <v>2019</v>
      </c>
      <c r="L48" s="472"/>
      <c r="M48" s="297">
        <f>IF(【マスター】!C77="有",1,0)</f>
        <v>0</v>
      </c>
      <c r="N48" s="297" t="s">
        <v>772</v>
      </c>
      <c r="O48" s="297">
        <f>【マスター】!D77</f>
        <v>0</v>
      </c>
    </row>
    <row r="49" spans="1:15" ht="19.5">
      <c r="A49" s="2471"/>
      <c r="B49" s="376" t="str">
        <f>'料金表（1回分）'!F4</f>
        <v>入浴介助加算(Ⅰ）/日</v>
      </c>
      <c r="C49" s="415" t="str">
        <f>IF(【マスター】!C49="","算定なし",ASC("\"&amp;ROUNDDOWN(【マスター】!E49,0)-ROUNDDOWN(【マスター】!E49*$M$4,0)))</f>
        <v>\41</v>
      </c>
      <c r="D49" s="376" t="str">
        <f>'料金表（1回分）'!F9</f>
        <v>個別機能訓練加算（Ⅰ）イ/日</v>
      </c>
      <c r="E49" s="415" t="str">
        <f>IF(【マスター】!C54="","算定なし",ASC("\"&amp;ROUNDDOWN(【マスター】!E54,0)-ROUNDDOWN(【マスター】!E54*$M$4,0)))</f>
        <v>\57</v>
      </c>
      <c r="F49" s="376" t="str">
        <f>'料金表（1回分）'!F14</f>
        <v>サービス提供体制強化加算（Ⅲ）/日</v>
      </c>
      <c r="G49" s="415" t="str">
        <f>IF(【マスター】!C59="","算定なし",ASC("\"&amp;ROUNDDOWN(【マスター】!E59,0)-ROUNDDOWN(【マスター】!E59*$M$4,0)))</f>
        <v>算定なし</v>
      </c>
      <c r="H49" s="376" t="str">
        <f>'料金表（1回分）'!F19</f>
        <v>口腔機能向上加算（Ⅰ）/回</v>
      </c>
      <c r="I49" s="415" t="str">
        <f>IF(【マスター】!C64="","算定なし",ASC("\"&amp;ROUNDDOWN(【マスター】!E64,0)-ROUNDDOWN(【マスター】!E64*$M$4,0)))</f>
        <v>\153</v>
      </c>
      <c r="J49" s="376" t="str">
        <f>'料金表（1回分）'!F24</f>
        <v>生活機能向上連携加算（Ⅰ）/月</v>
      </c>
      <c r="K49" s="580" t="str">
        <f>IF(【マスター】!C69="","算定なし",ASC("\"&amp;ROUNDDOWN(【マスター】!E69,0)-ROUNDDOWN(【マスター】!E69*$M$4,0)))</f>
        <v>算定なし</v>
      </c>
      <c r="M49" s="297">
        <f>IF(【マスター】!C78="有",1,0)</f>
        <v>0</v>
      </c>
      <c r="N49" s="297" t="s">
        <v>775</v>
      </c>
      <c r="O49" s="297">
        <f>【マスター】!D78</f>
        <v>0</v>
      </c>
    </row>
    <row r="50" spans="1:15" ht="19.5">
      <c r="A50" s="2471"/>
      <c r="B50" s="376" t="str">
        <f>'料金表（1回分）'!F5</f>
        <v>入浴介助加算（Ⅱ）/日</v>
      </c>
      <c r="C50" s="415" t="str">
        <f>IF(【マスター】!C50="","算定なし",ASC("\"&amp;ROUNDDOWN(【マスター】!E50,0)-ROUNDDOWN(【マスター】!E50*$M$4,0)))</f>
        <v>\56</v>
      </c>
      <c r="D50" s="376" t="str">
        <f>'料金表（1回分）'!F10</f>
        <v>個別機能訓練加算（Ⅰ）ロ/日</v>
      </c>
      <c r="E50" s="415" t="str">
        <f>IF(【マスター】!C55="","算定なし",ASC("\"&amp;ROUNDDOWN(【マスター】!E55,0)-ROUNDDOWN(【マスター】!E55*$M$4,0)))</f>
        <v>算定なし</v>
      </c>
      <c r="F50" s="376" t="str">
        <f>'料金表（1回分）'!F15</f>
        <v>栄養改善加算/回</v>
      </c>
      <c r="G50" s="415" t="str">
        <f>IF(【マスター】!C60="","算定なし",ASC("\"&amp;ROUNDDOWN(【マスター】!E60,0)-ROUNDDOWN(【マスター】!E60*$M$4,0)))</f>
        <v>算定なし</v>
      </c>
      <c r="H50" s="376" t="str">
        <f>'料金表（1回分）'!F20</f>
        <v>口腔機能向上加算（Ⅱ）/回</v>
      </c>
      <c r="I50" s="415" t="str">
        <f>IF(【マスター】!C65="","算定なし",ASC("\"&amp;ROUNDDOWN(【マスター】!E65,0)-ROUNDDOWN(【マスター】!E65*$M$4,0)))</f>
        <v>算定なし</v>
      </c>
      <c r="J50" s="376" t="str">
        <f>'料金表（1回分）'!F25</f>
        <v>生活機能向上連携加算（Ⅱ）/月</v>
      </c>
      <c r="K50" s="580" t="str">
        <f>IF(【マスター】!C70="","算定なし",ASC("\"&amp;ROUNDDOWN(【マスター】!E70,0)-ROUNDDOWN(【マスター】!E70*$M$4,0)))</f>
        <v>算定なし</v>
      </c>
      <c r="M50" s="297">
        <f>SUM(M48:M49)</f>
        <v>0</v>
      </c>
      <c r="N50" s="297" t="s">
        <v>788</v>
      </c>
      <c r="O50" s="507"/>
    </row>
    <row r="51" spans="1:15">
      <c r="A51" s="2471"/>
      <c r="B51" s="376" t="str">
        <f>'料金表（1回分）'!F6</f>
        <v>認知症加算/日</v>
      </c>
      <c r="C51" s="415" t="str">
        <f>IF(【マスター】!C51="","算定なし",ASC("\"&amp;ROUNDDOWN(【マスター】!E51,0)-ROUNDDOWN(【マスター】!E51*$M$4,0)))</f>
        <v>算定なし</v>
      </c>
      <c r="D51" s="376" t="str">
        <f>'料金表（1回分）'!F11</f>
        <v>個別機能訓練加算（Ⅱ）/月</v>
      </c>
      <c r="E51" s="415" t="str">
        <f>IF(【マスター】!C56="","算定なし",ASC("\"&amp;ROUNDDOWN(【マスター】!E56,0)-ROUNDDOWN(【マスター】!E56*$M$4,0)))</f>
        <v>算定なし</v>
      </c>
      <c r="F51" s="376" t="str">
        <f>'料金表（1回分）'!F16</f>
        <v>栄養アセスメント加算/月</v>
      </c>
      <c r="G51" s="415" t="str">
        <f>IF(【マスター】!C61="","算定なし",ASC("\"&amp;ROUNDDOWN(【マスター】!E61,0)-ROUNDDOWN(【マスター】!E61*$M$4,0)))</f>
        <v>算定なし</v>
      </c>
      <c r="H51" s="376" t="str">
        <f>'料金表（1回分）'!F21</f>
        <v>ＡＤＬ維持等加算（Ⅰ）/月</v>
      </c>
      <c r="I51" s="415" t="str">
        <f>IF(【マスター】!C66="","算定なし",ASC("\"&amp;ROUNDDOWN(【マスター】!E66,0)-ROUNDDOWN(【マスター】!E66*$M$4,0)))</f>
        <v>算定なし</v>
      </c>
      <c r="J51" s="376" t="str">
        <f>'料金表（1回分）'!F26</f>
        <v>延長加算（1時間当たり）/回</v>
      </c>
      <c r="K51" s="580" t="str">
        <f>IF(【マスター】!C71="","算定なし",ASC("\"&amp;ROUNDDOWN(【マスター】!E71,0)-ROUNDDOWN(【マスター】!E71*$M$4,0)))</f>
        <v>\51</v>
      </c>
    </row>
    <row r="52" spans="1:15" ht="19.5">
      <c r="A52" s="2471"/>
      <c r="B52" s="376" t="str">
        <f>'料金表（1回分）'!F7</f>
        <v>若年性認知症利用者受入加算/日</v>
      </c>
      <c r="C52" s="415" t="str">
        <f>IF(【マスター】!C52="","算定なし",ASC("\"&amp;ROUNDDOWN(【マスター】!E52,0)-ROUNDDOWN(【マスター】!E52*$M$4,0)))</f>
        <v>\61</v>
      </c>
      <c r="D52" s="376" t="str">
        <f>'料金表（1回分）'!F12</f>
        <v>サービス提供体制強化加算（Ⅰ）/日</v>
      </c>
      <c r="E52" s="415" t="str">
        <f>IF(【マスター】!C57="","算定なし",ASC("\"&amp;ROUNDDOWN(【マスター】!E57,0)-ROUNDDOWN(【マスター】!E57*$M$4,0)))</f>
        <v>算定なし</v>
      </c>
      <c r="F52" s="376" t="str">
        <f>'料金表（1回分）'!F17</f>
        <v>口腔・栄養スクリーニング加算（Ⅰ）/回</v>
      </c>
      <c r="G52" s="415" t="str">
        <f>IF(【マスター】!C62="","算定なし",ASC("\"&amp;ROUNDDOWN(【マスター】!E62,0)-ROUNDDOWN(【マスター】!E62*$M$4,0)))</f>
        <v>算定なし</v>
      </c>
      <c r="H52" s="376" t="str">
        <f>'料金表（1回分）'!F22</f>
        <v>ＡＤＬ維持等加算（Ⅱ）/月</v>
      </c>
      <c r="I52" s="415" t="str">
        <f>IF(【マスター】!C67="","算定なし",ASC("\"&amp;ROUNDDOWN(【マスター】!E67,0)-ROUNDDOWN(【マスター】!E67*$M$4,0)))</f>
        <v>算定なし</v>
      </c>
      <c r="J52" s="376" t="str">
        <f>'料金表（1回分）'!F27</f>
        <v>科学的介護推進体制加算/月</v>
      </c>
      <c r="K52" s="580" t="str">
        <f>IF(【マスター】!C72="","算定なし",ASC("\"&amp;ROUNDDOWN(【マスター】!E72,0)-ROUNDDOWN(【マスター】!E72*$M$4,0)))</f>
        <v>\41</v>
      </c>
      <c r="M52" s="297">
        <f>IF(【マスター】!C79="有",1,0)</f>
        <v>0</v>
      </c>
      <c r="N52" s="297" t="s">
        <v>2044</v>
      </c>
      <c r="O52" s="297">
        <f>【マスター】!D79</f>
        <v>0</v>
      </c>
    </row>
    <row r="53" spans="1:15" ht="19.5">
      <c r="A53" s="2471"/>
      <c r="B53" s="376" t="str">
        <f>'料金表（1回分）'!F8</f>
        <v>中重度者ケア体制加算/日</v>
      </c>
      <c r="C53" s="415" t="str">
        <f>IF(【マスター】!C53="","算定なし",ASC("\"&amp;ROUNDDOWN(【マスター】!E53,0)-ROUNDDOWN(【マスター】!E53*$M$4,0)))</f>
        <v>算定なし</v>
      </c>
      <c r="D53" s="376" t="str">
        <f>'料金表（1回分）'!F13</f>
        <v>サービス提供体制強化加算（Ⅱ）/日</v>
      </c>
      <c r="E53" s="415" t="str">
        <f>IF(【マスター】!C58="","算定なし",ASC("\"&amp;ROUNDDOWN(【マスター】!E58,0)-ROUNDDOWN(【マスター】!E58*$M$4,0)))</f>
        <v>算定なし</v>
      </c>
      <c r="F53" s="376" t="str">
        <f>'料金表（1回分）'!F18</f>
        <v>口腔・栄養スクリーニング加算（Ⅱ）/回</v>
      </c>
      <c r="G53" s="415" t="str">
        <f>IF(【マスター】!C63="","算定なし",ASC("\"&amp;ROUNDDOWN(【マスター】!E63,0)-ROUNDDOWN(【マスター】!E63*$M$4,0)))</f>
        <v>算定なし</v>
      </c>
      <c r="H53" s="376" t="str">
        <f>'料金表（1回分）'!F23</f>
        <v>ＡＤＬ維持等加算（Ⅲ）/月</v>
      </c>
      <c r="I53" s="937" t="str">
        <f>IF(【マスター】!C68="","算定なし",ASC("\"&amp;ROUNDDOWN(【マスター】!E68,0)-ROUNDDOWN(【マスター】!E68*$M$4,0)))</f>
        <v>算定なし</v>
      </c>
      <c r="M53" s="297">
        <f>SUM(M52:M52)</f>
        <v>0</v>
      </c>
      <c r="N53" s="297" t="s">
        <v>788</v>
      </c>
      <c r="O53" s="507"/>
    </row>
    <row r="54" spans="1:15">
      <c r="A54" s="2471"/>
      <c r="B54" s="419" t="s">
        <v>1435</v>
      </c>
      <c r="C54" s="2474" t="str">
        <f>IF(M46=0,N46,VLOOKUP(1,M42:O44,3,FALSE))</f>
        <v>9.0%（1ヶ月の利用合計単位数に乗じる）</v>
      </c>
      <c r="D54" s="2475"/>
      <c r="E54" s="506" t="s">
        <v>1436</v>
      </c>
      <c r="F54" s="2472" t="str">
        <f>IF(M50=0,N50,VLOOKUP(1,M47:O48,3,FALSE))</f>
        <v>算定なし</v>
      </c>
      <c r="G54" s="2473"/>
      <c r="H54" s="506" t="s">
        <v>2043</v>
      </c>
      <c r="I54" s="2464" t="str">
        <f>IF(M53=0,N53,VLOOKUP(1,M51:O52,3,FALSE))</f>
        <v>算定なし</v>
      </c>
      <c r="J54" s="2464"/>
    </row>
    <row r="55" spans="1:15">
      <c r="A55" s="2470" t="str">
        <f>【マスター】!$C$7</f>
        <v>デイサービスさつきの湯</v>
      </c>
      <c r="B55" s="2470"/>
      <c r="C55" s="2470"/>
      <c r="D55" s="2470"/>
      <c r="E55" s="2470"/>
      <c r="F55" s="2469" t="str">
        <f>"TEL:"&amp;【マスター】!C9</f>
        <v>TEL:0533-56-7087</v>
      </c>
      <c r="G55" s="2469"/>
      <c r="H55" s="2469" t="str">
        <f>"FAX:"&amp;【マスター】!$I$9</f>
        <v>FAX:0533-56-7088</v>
      </c>
      <c r="I55" s="2469"/>
      <c r="J55" s="2469" t="str">
        <f>"担当:"&amp;【マスター】!$C$20</f>
        <v>担当:繁原　秀章</v>
      </c>
      <c r="K55" s="2469"/>
    </row>
  </sheetData>
  <mergeCells count="23">
    <mergeCell ref="A1:E2"/>
    <mergeCell ref="F1:K1"/>
    <mergeCell ref="F2:G2"/>
    <mergeCell ref="O2:S2"/>
    <mergeCell ref="B4:C4"/>
    <mergeCell ref="D4:E4"/>
    <mergeCell ref="F4:G4"/>
    <mergeCell ref="H4:I4"/>
    <mergeCell ref="J4:K4"/>
    <mergeCell ref="B46:I46"/>
    <mergeCell ref="B45:K45"/>
    <mergeCell ref="A5:A14"/>
    <mergeCell ref="A15:A24"/>
    <mergeCell ref="A25:A34"/>
    <mergeCell ref="A35:A44"/>
    <mergeCell ref="F55:G55"/>
    <mergeCell ref="H55:I55"/>
    <mergeCell ref="J55:K55"/>
    <mergeCell ref="A55:E55"/>
    <mergeCell ref="A48:A54"/>
    <mergeCell ref="F54:G54"/>
    <mergeCell ref="C54:D54"/>
    <mergeCell ref="I54:J54"/>
  </mergeCells>
  <phoneticPr fontId="17"/>
  <dataValidations disablePrompts="1" count="1">
    <dataValidation type="list" allowBlank="1" showInputMessage="1" showErrorMessage="1" sqref="H2" xr:uid="{00000000-0002-0000-1900-000000000000}">
      <formula1>$O$4:$O$7</formula1>
    </dataValidation>
  </dataValidations>
  <printOptions horizontalCentered="1" verticalCentered="1"/>
  <pageMargins left="0.23622047244094491" right="0.23622047244094491" top="0.74803149606299213" bottom="0.74803149606299213" header="0.31496062992125984" footer="0.31496062992125984"/>
  <pageSetup paperSize="9" scale="78" orientation="portrait" r:id="rId1"/>
  <headerFooter>
    <oddFooter>&amp;L【通所介護_BMC】</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U65"/>
  <sheetViews>
    <sheetView topLeftCell="A29" workbookViewId="0">
      <selection activeCell="O48" sqref="O48"/>
    </sheetView>
  </sheetViews>
  <sheetFormatPr defaultColWidth="9" defaultRowHeight="18.75"/>
  <cols>
    <col min="1" max="1" width="3.875" style="374" bestFit="1" customWidth="1"/>
    <col min="2" max="2" width="15.125" style="374" bestFit="1" customWidth="1"/>
    <col min="3" max="3" width="9.5" style="374" bestFit="1" customWidth="1"/>
    <col min="4" max="4" width="15.125" style="374" bestFit="1" customWidth="1"/>
    <col min="5" max="5" width="9.125" style="374" bestFit="1" customWidth="1"/>
    <col min="6" max="6" width="15.125" style="374" bestFit="1" customWidth="1"/>
    <col min="7" max="7" width="9.125" style="374" bestFit="1" customWidth="1"/>
    <col min="8" max="8" width="15.125" style="374" bestFit="1" customWidth="1"/>
    <col min="9" max="9" width="9.125" style="374" bestFit="1" customWidth="1"/>
    <col min="10" max="10" width="15.125" style="374" bestFit="1" customWidth="1"/>
    <col min="11" max="11" width="9.125" style="374" bestFit="1" customWidth="1"/>
    <col min="12" max="15" width="9" style="374" customWidth="1"/>
    <col min="16" max="16" width="10.5" style="544" customWidth="1"/>
    <col min="17" max="19" width="9" style="374" customWidth="1"/>
    <col min="20" max="16384" width="9" style="374"/>
  </cols>
  <sheetData>
    <row r="1" spans="1:21">
      <c r="A1" s="2481" t="s">
        <v>1401</v>
      </c>
      <c r="B1" s="2482"/>
      <c r="C1" s="2482"/>
      <c r="D1" s="2482"/>
      <c r="E1" s="2483"/>
      <c r="F1" s="2487" t="s">
        <v>1402</v>
      </c>
      <c r="G1" s="2488"/>
      <c r="H1" s="2488"/>
      <c r="I1" s="2488"/>
      <c r="J1" s="2488"/>
      <c r="K1" s="2488"/>
    </row>
    <row r="2" spans="1:21">
      <c r="A2" s="2484"/>
      <c r="B2" s="2485"/>
      <c r="C2" s="2485"/>
      <c r="D2" s="2485"/>
      <c r="E2" s="2486"/>
      <c r="F2" s="2489" t="s">
        <v>1403</v>
      </c>
      <c r="G2" s="2489"/>
      <c r="H2" s="380" t="s">
        <v>1404</v>
      </c>
      <c r="I2" s="544" t="s">
        <v>1405</v>
      </c>
      <c r="J2" s="381" t="str">
        <f>【マスター】!D39</f>
        <v>7級地</v>
      </c>
      <c r="K2" s="382">
        <f>【マスター】!F39</f>
        <v>10.14</v>
      </c>
      <c r="O2" s="2490" t="s">
        <v>1406</v>
      </c>
      <c r="P2" s="2490"/>
      <c r="Q2" s="2490"/>
      <c r="R2" s="2490"/>
      <c r="S2" s="2490"/>
      <c r="T2" s="474"/>
    </row>
    <row r="3" spans="1:21" ht="5.0999999999999996" customHeight="1" thickBot="1"/>
    <row r="4" spans="1:21" ht="19.5" thickBot="1">
      <c r="A4" s="383"/>
      <c r="B4" s="2491" t="s">
        <v>1256</v>
      </c>
      <c r="C4" s="2492"/>
      <c r="D4" s="2492" t="s">
        <v>1257</v>
      </c>
      <c r="E4" s="2492"/>
      <c r="F4" s="2492" t="s">
        <v>1258</v>
      </c>
      <c r="G4" s="2492"/>
      <c r="H4" s="2492" t="s">
        <v>1259</v>
      </c>
      <c r="I4" s="2492"/>
      <c r="J4" s="2492" t="s">
        <v>1260</v>
      </c>
      <c r="K4" s="2493"/>
      <c r="M4" s="384">
        <f>VLOOKUP(H2,O4:Q7,3,FALSE)</f>
        <v>0.9</v>
      </c>
      <c r="O4" s="580" t="s">
        <v>1407</v>
      </c>
      <c r="P4" s="379" t="s">
        <v>1408</v>
      </c>
      <c r="Q4" s="384">
        <v>0.9</v>
      </c>
    </row>
    <row r="5" spans="1:21" ht="19.5" customHeight="1">
      <c r="A5" s="2478" t="s">
        <v>1261</v>
      </c>
      <c r="B5" s="385" t="s">
        <v>1409</v>
      </c>
      <c r="C5" s="386">
        <f>ROUNDDOWN(P9*2*$K$2,0)-(ROUNDDOWN(P9*2*$K$2*$M$4,0))</f>
        <v>1357</v>
      </c>
      <c r="D5" s="387" t="s">
        <v>1410</v>
      </c>
      <c r="E5" s="423">
        <f>ROUNDDOWN(P10*2*$K$2,0)-(ROUNDDOWN(P10*2*$K$2*$M$4,0))</f>
        <v>1604</v>
      </c>
      <c r="F5" s="387" t="s">
        <v>1411</v>
      </c>
      <c r="G5" s="423">
        <f>ROUNDDOWN(P11*2*$K$2,0)-(ROUNDDOWN(P11*2*$K$2*$M$4,0))</f>
        <v>1856</v>
      </c>
      <c r="H5" s="387" t="s">
        <v>1412</v>
      </c>
      <c r="I5" s="423">
        <f>ROUNDDOWN(P12*2*$K$2,0)-(ROUNDDOWN(P12*2*$K$2*$M$4,0))</f>
        <v>2111</v>
      </c>
      <c r="J5" s="387" t="s">
        <v>1413</v>
      </c>
      <c r="K5" s="427">
        <f>ROUNDDOWN(P13*2*$K$2,0)-(ROUNDDOWN(P13*2*$K$2*$M$4,0))</f>
        <v>2369</v>
      </c>
      <c r="O5" s="580" t="s">
        <v>1404</v>
      </c>
      <c r="P5" s="379" t="s">
        <v>1414</v>
      </c>
      <c r="Q5" s="384">
        <v>0.9</v>
      </c>
    </row>
    <row r="6" spans="1:21">
      <c r="A6" s="2479"/>
      <c r="B6" s="388" t="str">
        <f>IF(【マスター】!C50="有","入浴介助加算(Ⅱ)","入浴介助加算(Ⅰ)")</f>
        <v>入浴介助加算(Ⅱ)</v>
      </c>
      <c r="C6" s="389">
        <f>ROUNDDOWN(Q15*2,0)-ROUNDDOWN(Q15*2*$M$4,0)</f>
        <v>112</v>
      </c>
      <c r="D6" s="390" t="str">
        <f>IF(【マスター】!C50="有","入浴介助加算(Ⅱ)","入浴介助加算(Ⅰ)")</f>
        <v>入浴介助加算(Ⅱ)</v>
      </c>
      <c r="E6" s="467">
        <f>C6</f>
        <v>112</v>
      </c>
      <c r="F6" s="390" t="str">
        <f>IF(【マスター】!C50="有","入浴介助加算(Ⅱ)","入浴介助加算(Ⅰ)")</f>
        <v>入浴介助加算(Ⅱ)</v>
      </c>
      <c r="G6" s="467">
        <f>C6</f>
        <v>112</v>
      </c>
      <c r="H6" s="390" t="str">
        <f>IF(【マスター】!C50="有","入浴介助加算(Ⅱ)","入浴介助加算(Ⅰ)")</f>
        <v>入浴介助加算(Ⅱ)</v>
      </c>
      <c r="I6" s="467">
        <f>C6</f>
        <v>112</v>
      </c>
      <c r="J6" s="390" t="str">
        <f>IF(【マスター】!C50="有","入浴介助加算(Ⅱ)","入浴介助加算(Ⅰ)")</f>
        <v>入浴介助加算(Ⅱ)</v>
      </c>
      <c r="K6" s="468">
        <f>C6</f>
        <v>112</v>
      </c>
      <c r="O6" s="580" t="s">
        <v>1415</v>
      </c>
      <c r="P6" s="379" t="s">
        <v>1416</v>
      </c>
      <c r="Q6" s="384">
        <v>0.8</v>
      </c>
    </row>
    <row r="7" spans="1:21">
      <c r="A7" s="2479"/>
      <c r="B7" s="388" t="s">
        <v>1417</v>
      </c>
      <c r="C7" s="389">
        <f>ROUNDDOWN(Q16*2,0)-ROUNDDOWN(Q16*2*$M$4,0)</f>
        <v>-96</v>
      </c>
      <c r="D7" s="390" t="s">
        <v>1417</v>
      </c>
      <c r="E7" s="467">
        <f>C7</f>
        <v>-96</v>
      </c>
      <c r="F7" s="390" t="s">
        <v>1417</v>
      </c>
      <c r="G7" s="467">
        <f>C7</f>
        <v>-96</v>
      </c>
      <c r="H7" s="390" t="s">
        <v>1417</v>
      </c>
      <c r="I7" s="467">
        <f>C7</f>
        <v>-96</v>
      </c>
      <c r="J7" s="390" t="s">
        <v>1417</v>
      </c>
      <c r="K7" s="468">
        <f>C7</f>
        <v>-96</v>
      </c>
      <c r="O7" s="580" t="s">
        <v>1418</v>
      </c>
      <c r="P7" s="379" t="s">
        <v>1419</v>
      </c>
      <c r="Q7" s="384">
        <v>0.7</v>
      </c>
    </row>
    <row r="8" spans="1:21">
      <c r="A8" s="2479"/>
      <c r="B8" s="527"/>
      <c r="C8" s="528"/>
      <c r="D8" s="527"/>
      <c r="E8" s="957"/>
      <c r="F8" s="527"/>
      <c r="G8" s="957"/>
      <c r="H8" s="527"/>
      <c r="I8" s="957"/>
      <c r="J8" s="527"/>
      <c r="K8" s="958"/>
      <c r="R8" s="397">
        <v>31</v>
      </c>
      <c r="S8" s="374" t="s">
        <v>2085</v>
      </c>
      <c r="U8" s="374" t="s">
        <v>2088</v>
      </c>
    </row>
    <row r="9" spans="1:21" ht="19.5" thickBot="1">
      <c r="A9" s="2479"/>
      <c r="B9" s="393" t="s">
        <v>1420</v>
      </c>
      <c r="C9" s="394">
        <f>IF($H$2=$O$4,-(SUM(C5:C8)),0)</f>
        <v>0</v>
      </c>
      <c r="D9" s="395" t="s">
        <v>1420</v>
      </c>
      <c r="E9" s="394">
        <f>IF($H$2=$O$4,-(SUM(E5:E8)),0)</f>
        <v>0</v>
      </c>
      <c r="F9" s="395" t="s">
        <v>1420</v>
      </c>
      <c r="G9" s="394">
        <f>IF($H$2=$O$4,-(SUM(G5:G8)),0)</f>
        <v>0</v>
      </c>
      <c r="H9" s="395" t="s">
        <v>1420</v>
      </c>
      <c r="I9" s="394">
        <f>IF($H$2=$O$4,-(SUM(I5:I8)),0)</f>
        <v>0</v>
      </c>
      <c r="J9" s="395" t="s">
        <v>1420</v>
      </c>
      <c r="K9" s="396">
        <f>IF($H$2=$O$4,-(SUM(K5:K8)),0)</f>
        <v>0</v>
      </c>
      <c r="O9" s="384" t="str">
        <f>【マスター】!P30</f>
        <v>要介護1</v>
      </c>
      <c r="P9" s="379" t="str">
        <f>ASC(【マスター】!Q30)</f>
        <v>669</v>
      </c>
      <c r="Q9" s="403" t="str">
        <f>ASC(【マスター】!R30)</f>
        <v>6,783</v>
      </c>
      <c r="R9" s="374">
        <f>P9*$R$8</f>
        <v>20739</v>
      </c>
      <c r="S9" s="374" t="s">
        <v>2087</v>
      </c>
      <c r="T9" s="972">
        <f>N37/P9</f>
        <v>25.059790732436472</v>
      </c>
      <c r="U9" s="972">
        <f>$R$8-T9</f>
        <v>5.9402092675635281</v>
      </c>
    </row>
    <row r="10" spans="1:21" ht="19.5" thickTop="1">
      <c r="A10" s="2479"/>
      <c r="B10" s="398" t="s">
        <v>1384</v>
      </c>
      <c r="C10" s="399" t="e">
        <f>P20*1</f>
        <v>#VALUE!</v>
      </c>
      <c r="D10" s="400" t="s">
        <v>1384</v>
      </c>
      <c r="E10" s="401" t="e">
        <f>C10</f>
        <v>#VALUE!</v>
      </c>
      <c r="F10" s="400" t="s">
        <v>1384</v>
      </c>
      <c r="G10" s="401" t="e">
        <f>C10</f>
        <v>#VALUE!</v>
      </c>
      <c r="H10" s="400" t="s">
        <v>1384</v>
      </c>
      <c r="I10" s="401" t="e">
        <f>C10</f>
        <v>#VALUE!</v>
      </c>
      <c r="J10" s="400" t="s">
        <v>1384</v>
      </c>
      <c r="K10" s="402" t="e">
        <f>C10</f>
        <v>#VALUE!</v>
      </c>
      <c r="O10" s="384" t="str">
        <f>【マスター】!P31</f>
        <v>要介護2</v>
      </c>
      <c r="P10" s="379" t="str">
        <f>ASC(【マスター】!Q31)</f>
        <v>791</v>
      </c>
      <c r="Q10" s="403" t="str">
        <f>ASC(【マスター】!R31)</f>
        <v>8,020</v>
      </c>
      <c r="R10" s="374">
        <f t="shared" ref="R10:R13" si="0">P10*$R$8</f>
        <v>24521</v>
      </c>
      <c r="S10" s="374" t="s">
        <v>2087</v>
      </c>
      <c r="T10" s="972">
        <f t="shared" ref="T10:T13" si="1">N38/P10</f>
        <v>24.911504424778762</v>
      </c>
      <c r="U10" s="972">
        <f t="shared" ref="U10:U13" si="2">$R$8-T10</f>
        <v>6.0884955752212377</v>
      </c>
    </row>
    <row r="11" spans="1:21">
      <c r="A11" s="2479"/>
      <c r="B11" s="388" t="s">
        <v>1387</v>
      </c>
      <c r="C11" s="389">
        <f>P19*2</f>
        <v>1140</v>
      </c>
      <c r="D11" s="390" t="s">
        <v>1387</v>
      </c>
      <c r="E11" s="391">
        <f>C11</f>
        <v>1140</v>
      </c>
      <c r="F11" s="390" t="s">
        <v>1387</v>
      </c>
      <c r="G11" s="391">
        <f>E11</f>
        <v>1140</v>
      </c>
      <c r="H11" s="390" t="s">
        <v>1387</v>
      </c>
      <c r="I11" s="391">
        <f>G11</f>
        <v>1140</v>
      </c>
      <c r="J11" s="390" t="s">
        <v>1387</v>
      </c>
      <c r="K11" s="392">
        <f>I11</f>
        <v>1140</v>
      </c>
      <c r="O11" s="384" t="str">
        <f>【マスター】!P32</f>
        <v>要介護3</v>
      </c>
      <c r="P11" s="379" t="str">
        <f>ASC(【マスター】!Q32)</f>
        <v>915</v>
      </c>
      <c r="Q11" s="403" t="str">
        <f>ASC(【マスター】!R32)</f>
        <v>9,278</v>
      </c>
      <c r="R11" s="374">
        <f t="shared" si="0"/>
        <v>28365</v>
      </c>
      <c r="S11" s="374" t="s">
        <v>2087</v>
      </c>
      <c r="T11" s="972">
        <f t="shared" si="1"/>
        <v>29.560655737704916</v>
      </c>
      <c r="U11" s="972">
        <f t="shared" si="2"/>
        <v>1.4393442622950836</v>
      </c>
    </row>
    <row r="12" spans="1:21">
      <c r="A12" s="2479"/>
      <c r="B12" s="388" t="s">
        <v>1389</v>
      </c>
      <c r="C12" s="389">
        <f>P21*1</f>
        <v>630</v>
      </c>
      <c r="D12" s="390" t="s">
        <v>1389</v>
      </c>
      <c r="E12" s="391">
        <f>C12</f>
        <v>630</v>
      </c>
      <c r="F12" s="390" t="s">
        <v>1389</v>
      </c>
      <c r="G12" s="391">
        <f>E12</f>
        <v>630</v>
      </c>
      <c r="H12" s="390" t="s">
        <v>1389</v>
      </c>
      <c r="I12" s="391">
        <f>G12</f>
        <v>630</v>
      </c>
      <c r="J12" s="390" t="s">
        <v>1389</v>
      </c>
      <c r="K12" s="392">
        <f>I12</f>
        <v>630</v>
      </c>
      <c r="O12" s="384" t="str">
        <f>【マスター】!P33</f>
        <v>要介護4</v>
      </c>
      <c r="P12" s="379" t="str">
        <f>ASC(【マスター】!Q33)</f>
        <v>1,041</v>
      </c>
      <c r="Q12" s="403" t="str">
        <f>ASC(【マスター】!R33)</f>
        <v>10,555</v>
      </c>
      <c r="R12" s="374">
        <f t="shared" si="0"/>
        <v>32271</v>
      </c>
      <c r="S12" s="374" t="s">
        <v>2087</v>
      </c>
      <c r="T12" s="972">
        <f t="shared" si="1"/>
        <v>29.719500480307396</v>
      </c>
      <c r="U12" s="972">
        <f t="shared" si="2"/>
        <v>1.2804995196926043</v>
      </c>
    </row>
    <row r="13" spans="1:21" ht="19.5" thickBot="1">
      <c r="A13" s="2479"/>
      <c r="B13" s="527" t="s">
        <v>1421</v>
      </c>
      <c r="C13" s="528">
        <f>$M$24*1</f>
        <v>0</v>
      </c>
      <c r="D13" s="529" t="s">
        <v>1421</v>
      </c>
      <c r="E13" s="530">
        <f>C13</f>
        <v>0</v>
      </c>
      <c r="F13" s="529" t="s">
        <v>1421</v>
      </c>
      <c r="G13" s="530">
        <f>E13</f>
        <v>0</v>
      </c>
      <c r="H13" s="529" t="s">
        <v>1421</v>
      </c>
      <c r="I13" s="530">
        <f>G13</f>
        <v>0</v>
      </c>
      <c r="J13" s="529" t="s">
        <v>1421</v>
      </c>
      <c r="K13" s="404">
        <f>I13</f>
        <v>0</v>
      </c>
      <c r="O13" s="384" t="str">
        <f>【マスター】!P34</f>
        <v>要介護5</v>
      </c>
      <c r="P13" s="379" t="str">
        <f>ASC(【マスター】!Q34)</f>
        <v>1,168</v>
      </c>
      <c r="Q13" s="403" t="str">
        <f>ASC(【マスター】!R34)</f>
        <v>11,843</v>
      </c>
      <c r="R13" s="374">
        <f t="shared" si="0"/>
        <v>36208</v>
      </c>
      <c r="S13" s="374" t="s">
        <v>2087</v>
      </c>
      <c r="T13" s="972">
        <f t="shared" si="1"/>
        <v>31.007705479452056</v>
      </c>
      <c r="U13" s="972">
        <f t="shared" si="2"/>
        <v>-7.7054794520563519E-3</v>
      </c>
    </row>
    <row r="14" spans="1:21" ht="19.5" thickBot="1">
      <c r="A14" s="2480"/>
      <c r="B14" s="405" t="s">
        <v>1422</v>
      </c>
      <c r="C14" s="406" t="e">
        <f>SUM(C5:C13)</f>
        <v>#VALUE!</v>
      </c>
      <c r="D14" s="407" t="s">
        <v>1422</v>
      </c>
      <c r="E14" s="406" t="e">
        <f>SUM(E5:E13)</f>
        <v>#VALUE!</v>
      </c>
      <c r="F14" s="407" t="s">
        <v>1422</v>
      </c>
      <c r="G14" s="406" t="e">
        <f>SUM(G5:G13)</f>
        <v>#VALUE!</v>
      </c>
      <c r="H14" s="407" t="s">
        <v>1422</v>
      </c>
      <c r="I14" s="406" t="e">
        <f>SUM(I5:I13)</f>
        <v>#VALUE!</v>
      </c>
      <c r="J14" s="407" t="s">
        <v>1422</v>
      </c>
      <c r="K14" s="408" t="e">
        <f>SUM(K5:K13)</f>
        <v>#VALUE!</v>
      </c>
      <c r="S14" s="397"/>
    </row>
    <row r="15" spans="1:21" ht="19.5" customHeight="1">
      <c r="A15" s="2478" t="s">
        <v>1276</v>
      </c>
      <c r="B15" s="385" t="s">
        <v>1423</v>
      </c>
      <c r="C15" s="423">
        <f>ROUNDDOWN(P9*3*$K$2,0)-(ROUNDDOWN(P9*3*$K$2*$M$4,0))</f>
        <v>2035</v>
      </c>
      <c r="D15" s="387" t="s">
        <v>1383</v>
      </c>
      <c r="E15" s="423">
        <f>ROUNDDOWN(P10*3*$K$2,0)-(ROUNDDOWN(P10*3*$K$2*$M$4,0))</f>
        <v>2407</v>
      </c>
      <c r="F15" s="387" t="s">
        <v>1385</v>
      </c>
      <c r="G15" s="423">
        <f>ROUNDDOWN(P11*3*$K$2,0)-(ROUNDDOWN(P11*3*$K$2*$M$4,0))</f>
        <v>2784</v>
      </c>
      <c r="H15" s="387" t="s">
        <v>1386</v>
      </c>
      <c r="I15" s="423">
        <f>ROUNDDOWN(P12*3*$K$2,0)-(ROUNDDOWN(P12*3*$K$2*$M$4,0))</f>
        <v>3167</v>
      </c>
      <c r="J15" s="387" t="s">
        <v>1388</v>
      </c>
      <c r="K15" s="427">
        <f>ROUNDDOWN(P13*3*$K$2,0)-(ROUNDDOWN(P13*3*$K$2*$M$4,0))</f>
        <v>3553</v>
      </c>
      <c r="O15" s="384" t="str">
        <f>IF(【マスター】!C50="有","入浴(Ⅱ)","入浴(Ⅰ)")</f>
        <v>入浴(Ⅱ)</v>
      </c>
      <c r="P15" s="379">
        <f>IF(【マスター】!C50="有",55,40)</f>
        <v>55</v>
      </c>
      <c r="Q15" s="379" t="str">
        <f>IF(【マスター】!C50="有",(ASC(【マスター】!E50)),(ASC(【マスター】!E49)))</f>
        <v>557</v>
      </c>
      <c r="R15" s="374">
        <f>P15*$R$8</f>
        <v>1705</v>
      </c>
      <c r="S15" s="374" t="s">
        <v>2087</v>
      </c>
    </row>
    <row r="16" spans="1:21">
      <c r="A16" s="2479"/>
      <c r="B16" s="388" t="str">
        <f>IF(【マスター】!C50="有","入浴介助加算(Ⅱ)","入浴介助加算(Ⅰ)")</f>
        <v>入浴介助加算(Ⅱ)</v>
      </c>
      <c r="C16" s="389">
        <f>ROUNDDOWN(Q15*3,0)-ROUNDDOWN(Q15*3*$M$4,0)</f>
        <v>168</v>
      </c>
      <c r="D16" s="390" t="str">
        <f>IF(【マスター】!C50="有","入浴介助加算(Ⅱ)","入浴介助加算(Ⅰ)")</f>
        <v>入浴介助加算(Ⅱ)</v>
      </c>
      <c r="E16" s="391">
        <f>C16</f>
        <v>168</v>
      </c>
      <c r="F16" s="390" t="str">
        <f>IF(【マスター】!C50="有","入浴介助加算(Ⅱ)","入浴介助加算(Ⅰ)")</f>
        <v>入浴介助加算(Ⅱ)</v>
      </c>
      <c r="G16" s="391">
        <f>C16</f>
        <v>168</v>
      </c>
      <c r="H16" s="390" t="str">
        <f>IF(【マスター】!C50="有","入浴介助加算(Ⅱ)","入浴介助加算(Ⅰ)")</f>
        <v>入浴介助加算(Ⅱ)</v>
      </c>
      <c r="I16" s="391">
        <f>C16</f>
        <v>168</v>
      </c>
      <c r="J16" s="390" t="str">
        <f>IF(【マスター】!C50="有","入浴介助加算(Ⅱ)","入浴介助加算(Ⅰ)")</f>
        <v>入浴介助加算(Ⅱ)</v>
      </c>
      <c r="K16" s="392">
        <f>C16</f>
        <v>168</v>
      </c>
      <c r="O16" s="384" t="s">
        <v>1417</v>
      </c>
      <c r="P16" s="379">
        <f>-(ASC(【マスター】!K51))</f>
        <v>-47</v>
      </c>
      <c r="Q16" s="379">
        <f>-(ASC(【マスター】!L51))</f>
        <v>-476</v>
      </c>
      <c r="R16" s="374">
        <f>P16*60</f>
        <v>-2820</v>
      </c>
      <c r="S16" s="374" t="s">
        <v>2087</v>
      </c>
    </row>
    <row r="17" spans="1:19">
      <c r="A17" s="2479"/>
      <c r="B17" s="388" t="s">
        <v>1417</v>
      </c>
      <c r="C17" s="389">
        <f>ROUNDDOWN(Q16*4,0)-ROUNDDOWN(Q16*4*$M$4,0)</f>
        <v>-191</v>
      </c>
      <c r="D17" s="390" t="s">
        <v>1417</v>
      </c>
      <c r="E17" s="391">
        <f>C17</f>
        <v>-191</v>
      </c>
      <c r="F17" s="390" t="s">
        <v>1417</v>
      </c>
      <c r="G17" s="391">
        <f>C17</f>
        <v>-191</v>
      </c>
      <c r="H17" s="390" t="s">
        <v>1417</v>
      </c>
      <c r="I17" s="391">
        <f>C17</f>
        <v>-191</v>
      </c>
      <c r="J17" s="390" t="s">
        <v>1417</v>
      </c>
      <c r="K17" s="392">
        <f>C17</f>
        <v>-191</v>
      </c>
      <c r="O17" s="384" t="s">
        <v>2081</v>
      </c>
      <c r="P17" s="379">
        <f>-(ASC(【マスター】!K52))</f>
        <v>-94</v>
      </c>
      <c r="Q17" s="379">
        <f>-(ASC(【マスター】!L52))</f>
        <v>-953</v>
      </c>
      <c r="R17" s="374">
        <f>P17*30</f>
        <v>-2820</v>
      </c>
      <c r="S17" s="374" t="s">
        <v>2087</v>
      </c>
    </row>
    <row r="18" spans="1:19">
      <c r="A18" s="2479"/>
      <c r="B18" s="527"/>
      <c r="C18" s="528"/>
      <c r="D18" s="527"/>
      <c r="E18" s="530"/>
      <c r="F18" s="527"/>
      <c r="G18" s="530"/>
      <c r="H18" s="527"/>
      <c r="I18" s="530"/>
      <c r="J18" s="527"/>
      <c r="K18" s="404"/>
    </row>
    <row r="19" spans="1:19" ht="19.5" thickBot="1">
      <c r="A19" s="2479"/>
      <c r="B19" s="393" t="s">
        <v>1420</v>
      </c>
      <c r="C19" s="394">
        <f>IF($H$2=$O$4,-(SUM(C15:C18)),0)</f>
        <v>0</v>
      </c>
      <c r="D19" s="395" t="s">
        <v>1420</v>
      </c>
      <c r="E19" s="394">
        <f>IF($H$2=$O$4,-(SUM(E15:E18)),0)</f>
        <v>0</v>
      </c>
      <c r="F19" s="395" t="s">
        <v>1420</v>
      </c>
      <c r="G19" s="394">
        <f>IF($H$2=$O$4,-(SUM(G15:G18)),0)</f>
        <v>0</v>
      </c>
      <c r="H19" s="395" t="s">
        <v>1420</v>
      </c>
      <c r="I19" s="394">
        <f>IF($H$2=$O$4,-(SUM(I15:I18)),0)</f>
        <v>0</v>
      </c>
      <c r="J19" s="395" t="s">
        <v>1420</v>
      </c>
      <c r="K19" s="396">
        <f>IF($H$2=$O$4,-(SUM(K15:K18)),0)</f>
        <v>0</v>
      </c>
      <c r="O19" s="384" t="s">
        <v>1424</v>
      </c>
      <c r="P19" s="379" t="str">
        <f>ASC(【マスター】!J44)</f>
        <v>570</v>
      </c>
      <c r="Q19" s="946" t="s">
        <v>2072</v>
      </c>
    </row>
    <row r="20" spans="1:19" ht="19.5" thickTop="1">
      <c r="A20" s="2479"/>
      <c r="B20" s="398" t="s">
        <v>1384</v>
      </c>
      <c r="C20" s="399" t="e">
        <f>$P$20*2</f>
        <v>#VALUE!</v>
      </c>
      <c r="D20" s="400" t="s">
        <v>1384</v>
      </c>
      <c r="E20" s="401" t="e">
        <f>C20</f>
        <v>#VALUE!</v>
      </c>
      <c r="F20" s="400" t="s">
        <v>1384</v>
      </c>
      <c r="G20" s="401" t="e">
        <f>C20</f>
        <v>#VALUE!</v>
      </c>
      <c r="H20" s="400" t="s">
        <v>1384</v>
      </c>
      <c r="I20" s="401" t="e">
        <f>C20</f>
        <v>#VALUE!</v>
      </c>
      <c r="J20" s="400" t="s">
        <v>1384</v>
      </c>
      <c r="K20" s="402" t="e">
        <f>C20</f>
        <v>#VALUE!</v>
      </c>
      <c r="O20" s="384" t="s">
        <v>1425</v>
      </c>
      <c r="P20" s="379" t="str">
        <f>ASC(【マスター】!J43)</f>
        <v/>
      </c>
      <c r="Q20" s="946" t="s">
        <v>2072</v>
      </c>
    </row>
    <row r="21" spans="1:19">
      <c r="A21" s="2479"/>
      <c r="B21" s="388" t="s">
        <v>1387</v>
      </c>
      <c r="C21" s="389">
        <f>$P$19*3</f>
        <v>1710</v>
      </c>
      <c r="D21" s="390" t="s">
        <v>1387</v>
      </c>
      <c r="E21" s="391">
        <f>C21</f>
        <v>1710</v>
      </c>
      <c r="F21" s="390" t="s">
        <v>1387</v>
      </c>
      <c r="G21" s="391">
        <f>E21</f>
        <v>1710</v>
      </c>
      <c r="H21" s="390" t="s">
        <v>1387</v>
      </c>
      <c r="I21" s="391">
        <f>G21</f>
        <v>1710</v>
      </c>
      <c r="J21" s="390" t="s">
        <v>1387</v>
      </c>
      <c r="K21" s="392">
        <f>I21</f>
        <v>1710</v>
      </c>
      <c r="O21" s="384" t="s">
        <v>1426</v>
      </c>
      <c r="P21" s="379" t="str">
        <f>ASC(【マスター】!J45)</f>
        <v>630</v>
      </c>
      <c r="Q21" s="946" t="s">
        <v>2072</v>
      </c>
    </row>
    <row r="22" spans="1:19">
      <c r="A22" s="2479"/>
      <c r="B22" s="388" t="s">
        <v>1389</v>
      </c>
      <c r="C22" s="389">
        <f>$P$21*2</f>
        <v>1260</v>
      </c>
      <c r="D22" s="390" t="s">
        <v>1389</v>
      </c>
      <c r="E22" s="391">
        <f>C22</f>
        <v>1260</v>
      </c>
      <c r="F22" s="390" t="s">
        <v>1389</v>
      </c>
      <c r="G22" s="391">
        <f>E22</f>
        <v>1260</v>
      </c>
      <c r="H22" s="390" t="s">
        <v>1389</v>
      </c>
      <c r="I22" s="391">
        <f>G22</f>
        <v>1260</v>
      </c>
      <c r="J22" s="390" t="s">
        <v>1389</v>
      </c>
      <c r="K22" s="392">
        <f>I22</f>
        <v>1260</v>
      </c>
    </row>
    <row r="23" spans="1:19" ht="19.5" thickBot="1">
      <c r="A23" s="2479"/>
      <c r="B23" s="388" t="s">
        <v>1421</v>
      </c>
      <c r="C23" s="389">
        <f>$M$24*2</f>
        <v>0</v>
      </c>
      <c r="D23" s="390" t="s">
        <v>1421</v>
      </c>
      <c r="E23" s="391">
        <f>C23</f>
        <v>0</v>
      </c>
      <c r="F23" s="390" t="s">
        <v>1421</v>
      </c>
      <c r="G23" s="391">
        <f>E23</f>
        <v>0</v>
      </c>
      <c r="H23" s="390" t="s">
        <v>1421</v>
      </c>
      <c r="I23" s="391">
        <f>G23</f>
        <v>0</v>
      </c>
      <c r="J23" s="390" t="s">
        <v>1421</v>
      </c>
      <c r="K23" s="392">
        <f>I23</f>
        <v>0</v>
      </c>
      <c r="M23" s="374" t="s">
        <v>1427</v>
      </c>
    </row>
    <row r="24" spans="1:19" ht="19.5" thickBot="1">
      <c r="A24" s="2480"/>
      <c r="B24" s="405" t="s">
        <v>1422</v>
      </c>
      <c r="C24" s="406" t="e">
        <f>SUM(C15:C23)</f>
        <v>#VALUE!</v>
      </c>
      <c r="D24" s="407" t="s">
        <v>1422</v>
      </c>
      <c r="E24" s="406" t="e">
        <f>SUM(E15:E23)</f>
        <v>#VALUE!</v>
      </c>
      <c r="F24" s="407" t="s">
        <v>1422</v>
      </c>
      <c r="G24" s="406" t="e">
        <f>SUM(G15:G23)</f>
        <v>#VALUE!</v>
      </c>
      <c r="H24" s="407" t="s">
        <v>1422</v>
      </c>
      <c r="I24" s="406" t="e">
        <f>SUM(I15:I23)</f>
        <v>#VALUE!</v>
      </c>
      <c r="J24" s="407" t="s">
        <v>1422</v>
      </c>
      <c r="K24" s="408" t="e">
        <f>SUM(K15:K23)</f>
        <v>#VALUE!</v>
      </c>
      <c r="M24" s="956">
        <f>【マスター】!J41</f>
        <v>0</v>
      </c>
      <c r="N24" s="946"/>
      <c r="O24" s="580" t="s">
        <v>1407</v>
      </c>
      <c r="P24" s="379"/>
    </row>
    <row r="25" spans="1:19" ht="19.5" customHeight="1">
      <c r="A25" s="2478" t="s">
        <v>1281</v>
      </c>
      <c r="B25" s="409" t="s">
        <v>1423</v>
      </c>
      <c r="C25" s="423">
        <f>ROUNDDOWN(P9*8*$K$2,0)-(ROUNDDOWN(P9*8*$K$2*$M$4,0))</f>
        <v>5427</v>
      </c>
      <c r="D25" s="384" t="s">
        <v>1383</v>
      </c>
      <c r="E25" s="423">
        <f>ROUNDDOWN(P10*8*$K$2,0)-(ROUNDDOWN(P10*8*$K$2*$M$4,0))</f>
        <v>6416</v>
      </c>
      <c r="F25" s="384" t="s">
        <v>1385</v>
      </c>
      <c r="G25" s="423">
        <f>ROUNDDOWN(P11*8*$K$2,0)-(ROUNDDOWN(P11*8*$K$2*$M$4,0))</f>
        <v>7422</v>
      </c>
      <c r="H25" s="384" t="s">
        <v>1386</v>
      </c>
      <c r="I25" s="423">
        <f>ROUNDDOWN(P12*8*$K$2,0)-(ROUNDDOWN(P12*8*$K$2*$M$4,0))</f>
        <v>8444</v>
      </c>
      <c r="J25" s="384" t="s">
        <v>1388</v>
      </c>
      <c r="K25" s="427">
        <f>ROUNDDOWN(P13*8*$K$2,0)-(ROUNDDOWN(P13*8*$K$2*$M$4,0))</f>
        <v>9475</v>
      </c>
      <c r="M25" s="946" t="s">
        <v>2082</v>
      </c>
      <c r="O25" s="580" t="s">
        <v>1404</v>
      </c>
      <c r="P25" s="379"/>
    </row>
    <row r="26" spans="1:19">
      <c r="A26" s="2479"/>
      <c r="B26" s="388" t="str">
        <f>IF(【マスター】!C50="有","入浴介助加算(Ⅱ)","入浴介助加算(Ⅰ)")</f>
        <v>入浴介助加算(Ⅱ)</v>
      </c>
      <c r="C26" s="389">
        <f>ROUNDDOWN(Q15*8,0)-ROUNDDOWN(Q15*8*$M$4,0)</f>
        <v>446</v>
      </c>
      <c r="D26" s="390" t="str">
        <f>IF(【マスター】!C50="有","入浴介助加算(Ⅱ)","入浴介助加算(Ⅰ)")</f>
        <v>入浴介助加算(Ⅱ)</v>
      </c>
      <c r="E26" s="391">
        <f>C26</f>
        <v>446</v>
      </c>
      <c r="F26" s="390" t="str">
        <f>IF(【マスター】!C50="有","入浴介助加算(Ⅱ)","入浴介助加算(Ⅰ)")</f>
        <v>入浴介助加算(Ⅱ)</v>
      </c>
      <c r="G26" s="391">
        <f>C26</f>
        <v>446</v>
      </c>
      <c r="H26" s="390" t="str">
        <f>IF(【マスター】!C50="有","入浴介助加算(Ⅱ)","入浴介助加算(Ⅰ)")</f>
        <v>入浴介助加算(Ⅱ)</v>
      </c>
      <c r="I26" s="391">
        <f>C26</f>
        <v>446</v>
      </c>
      <c r="J26" s="390" t="str">
        <f>IF(【マスター】!C50="有","入浴介助加算(Ⅱ)","入浴介助加算(Ⅰ)")</f>
        <v>入浴介助加算(Ⅱ)</v>
      </c>
      <c r="K26" s="392">
        <f>C26</f>
        <v>446</v>
      </c>
      <c r="O26" s="580" t="s">
        <v>1415</v>
      </c>
      <c r="P26" s="379"/>
    </row>
    <row r="27" spans="1:19">
      <c r="A27" s="2479"/>
      <c r="B27" s="388" t="s">
        <v>1417</v>
      </c>
      <c r="C27" s="389">
        <f>ROUNDDOWN(Q16*14,0)-ROUNDDOWN(Q16*14*$M$4,0)</f>
        <v>-667</v>
      </c>
      <c r="D27" s="390" t="s">
        <v>1417</v>
      </c>
      <c r="E27" s="391">
        <f>C27</f>
        <v>-667</v>
      </c>
      <c r="F27" s="390" t="s">
        <v>1417</v>
      </c>
      <c r="G27" s="391">
        <f>C27</f>
        <v>-667</v>
      </c>
      <c r="H27" s="390" t="s">
        <v>1417</v>
      </c>
      <c r="I27" s="391">
        <f>C27</f>
        <v>-667</v>
      </c>
      <c r="J27" s="390" t="s">
        <v>1417</v>
      </c>
      <c r="K27" s="392">
        <f>C27</f>
        <v>-667</v>
      </c>
      <c r="O27" s="580" t="s">
        <v>1418</v>
      </c>
      <c r="P27" s="379"/>
    </row>
    <row r="28" spans="1:19">
      <c r="A28" s="2479"/>
      <c r="B28" s="527"/>
      <c r="C28" s="528"/>
      <c r="D28" s="527"/>
      <c r="E28" s="530"/>
      <c r="F28" s="527"/>
      <c r="G28" s="530"/>
      <c r="H28" s="527"/>
      <c r="I28" s="530"/>
      <c r="J28" s="527"/>
      <c r="K28" s="404"/>
    </row>
    <row r="29" spans="1:19" ht="19.5" thickBot="1">
      <c r="A29" s="2479"/>
      <c r="B29" s="393" t="s">
        <v>1420</v>
      </c>
      <c r="C29" s="394">
        <f>IF($H$2=$O$4,-(SUM(C25:C28)),0)</f>
        <v>0</v>
      </c>
      <c r="D29" s="395" t="s">
        <v>1420</v>
      </c>
      <c r="E29" s="394">
        <f>IF($H$2=$O$4,-(SUM(E25:E28)),0)</f>
        <v>0</v>
      </c>
      <c r="F29" s="395" t="s">
        <v>1420</v>
      </c>
      <c r="G29" s="394">
        <f>IF($H$2=$O$4,-(SUM(G25:G28)),0)</f>
        <v>0</v>
      </c>
      <c r="H29" s="395" t="s">
        <v>1420</v>
      </c>
      <c r="I29" s="394">
        <f>IF($H$2=$O$4,-(SUM(I25:I28)),0)</f>
        <v>0</v>
      </c>
      <c r="J29" s="395" t="s">
        <v>1420</v>
      </c>
      <c r="K29" s="396">
        <f>IF($H$2=$O$4,-(SUM(K25:K28)),0)</f>
        <v>0</v>
      </c>
    </row>
    <row r="30" spans="1:19" ht="19.5" thickTop="1">
      <c r="A30" s="2479"/>
      <c r="B30" s="398" t="s">
        <v>1384</v>
      </c>
      <c r="C30" s="399" t="e">
        <f>$P$20*7</f>
        <v>#VALUE!</v>
      </c>
      <c r="D30" s="400" t="s">
        <v>1384</v>
      </c>
      <c r="E30" s="401" t="e">
        <f>C30</f>
        <v>#VALUE!</v>
      </c>
      <c r="F30" s="400" t="s">
        <v>1384</v>
      </c>
      <c r="G30" s="401" t="e">
        <f>C30</f>
        <v>#VALUE!</v>
      </c>
      <c r="H30" s="400" t="s">
        <v>1384</v>
      </c>
      <c r="I30" s="401" t="e">
        <f>C30</f>
        <v>#VALUE!</v>
      </c>
      <c r="J30" s="400" t="s">
        <v>1384</v>
      </c>
      <c r="K30" s="402" t="e">
        <f>C30</f>
        <v>#VALUE!</v>
      </c>
    </row>
    <row r="31" spans="1:19">
      <c r="A31" s="2479"/>
      <c r="B31" s="388" t="s">
        <v>1387</v>
      </c>
      <c r="C31" s="389">
        <f>$P$19*8</f>
        <v>4560</v>
      </c>
      <c r="D31" s="390" t="s">
        <v>1387</v>
      </c>
      <c r="E31" s="391">
        <f>C31</f>
        <v>4560</v>
      </c>
      <c r="F31" s="390" t="s">
        <v>1387</v>
      </c>
      <c r="G31" s="391">
        <f>E31</f>
        <v>4560</v>
      </c>
      <c r="H31" s="390" t="s">
        <v>1387</v>
      </c>
      <c r="I31" s="391">
        <f>G31</f>
        <v>4560</v>
      </c>
      <c r="J31" s="390" t="s">
        <v>1387</v>
      </c>
      <c r="K31" s="392">
        <f>I31</f>
        <v>4560</v>
      </c>
    </row>
    <row r="32" spans="1:19">
      <c r="A32" s="2479"/>
      <c r="B32" s="388" t="s">
        <v>1389</v>
      </c>
      <c r="C32" s="389">
        <f>$P$21*7</f>
        <v>4410</v>
      </c>
      <c r="D32" s="390" t="s">
        <v>1389</v>
      </c>
      <c r="E32" s="391">
        <f>C32</f>
        <v>4410</v>
      </c>
      <c r="F32" s="390" t="s">
        <v>1389</v>
      </c>
      <c r="G32" s="391">
        <f>E32</f>
        <v>4410</v>
      </c>
      <c r="H32" s="390" t="s">
        <v>1389</v>
      </c>
      <c r="I32" s="391">
        <f>G32</f>
        <v>4410</v>
      </c>
      <c r="J32" s="390" t="s">
        <v>1389</v>
      </c>
      <c r="K32" s="392">
        <f>I32</f>
        <v>4410</v>
      </c>
    </row>
    <row r="33" spans="1:16" ht="19.5" thickBot="1">
      <c r="A33" s="2479"/>
      <c r="B33" s="388" t="s">
        <v>1421</v>
      </c>
      <c r="C33" s="389">
        <f>$M$24*7</f>
        <v>0</v>
      </c>
      <c r="D33" s="390" t="s">
        <v>1421</v>
      </c>
      <c r="E33" s="391">
        <f>C33</f>
        <v>0</v>
      </c>
      <c r="F33" s="390" t="s">
        <v>1421</v>
      </c>
      <c r="G33" s="391">
        <f>E33</f>
        <v>0</v>
      </c>
      <c r="H33" s="390" t="s">
        <v>1421</v>
      </c>
      <c r="I33" s="391">
        <f>G33</f>
        <v>0</v>
      </c>
      <c r="J33" s="390" t="s">
        <v>1421</v>
      </c>
      <c r="K33" s="392">
        <f>I33</f>
        <v>0</v>
      </c>
    </row>
    <row r="34" spans="1:16" ht="19.5" thickBot="1">
      <c r="A34" s="2480"/>
      <c r="B34" s="405" t="s">
        <v>1422</v>
      </c>
      <c r="C34" s="406" t="e">
        <f>SUM(C25:C33)</f>
        <v>#VALUE!</v>
      </c>
      <c r="D34" s="407" t="s">
        <v>1422</v>
      </c>
      <c r="E34" s="406" t="e">
        <f>SUM(E25:E33)</f>
        <v>#VALUE!</v>
      </c>
      <c r="F34" s="407" t="s">
        <v>1422</v>
      </c>
      <c r="G34" s="406" t="e">
        <f>SUM(G25:G33)</f>
        <v>#VALUE!</v>
      </c>
      <c r="H34" s="407" t="s">
        <v>1422</v>
      </c>
      <c r="I34" s="406" t="e">
        <f>SUM(I25:I33)</f>
        <v>#VALUE!</v>
      </c>
      <c r="J34" s="407" t="s">
        <v>1422</v>
      </c>
      <c r="K34" s="408" t="e">
        <f>SUM(K25:K33)</f>
        <v>#VALUE!</v>
      </c>
    </row>
    <row r="35" spans="1:16" ht="19.5" customHeight="1">
      <c r="A35" s="2478" t="s">
        <v>1284</v>
      </c>
      <c r="B35" s="409" t="s">
        <v>1423</v>
      </c>
      <c r="C35" s="423">
        <f>ROUNDDOWN(P9*15*$K$2,0)-(ROUNDDOWN(P9*15*$K$2*$M$4,0))</f>
        <v>10175</v>
      </c>
      <c r="D35" s="384" t="s">
        <v>1383</v>
      </c>
      <c r="E35" s="423">
        <f>ROUNDDOWN(P10*15*$K$2,0)-(ROUNDDOWN(P10*15*$K$2*$M$4,0))</f>
        <v>12032</v>
      </c>
      <c r="F35" s="384" t="s">
        <v>1385</v>
      </c>
      <c r="G35" s="423">
        <f>ROUNDDOWN(P11*15*$K$2,0)-(ROUNDDOWN(P11*15*$K$2*$M$4,0))</f>
        <v>13917</v>
      </c>
      <c r="H35" s="384" t="s">
        <v>1386</v>
      </c>
      <c r="I35" s="423">
        <f>ROUNDDOWN(P12*15*$K$2,0)-(ROUNDDOWN(P12*15*$K$2*$M$4,0))</f>
        <v>15834</v>
      </c>
      <c r="J35" s="384" t="s">
        <v>1388</v>
      </c>
      <c r="K35" s="427">
        <f>ROUNDDOWN(P13*15*$K$2,0)-(ROUNDDOWN(P13*15*$K$2*$M$4,0))</f>
        <v>17765</v>
      </c>
    </row>
    <row r="36" spans="1:16">
      <c r="A36" s="2479"/>
      <c r="B36" s="388" t="str">
        <f>IF(【マスター】!C50="有","入浴介助加算(Ⅱ)","入浴介助加算(Ⅰ)")</f>
        <v>入浴介助加算(Ⅱ)</v>
      </c>
      <c r="C36" s="389">
        <f>ROUNDDOWN(Q15*15,0)-ROUNDDOWN(Q15*15*$M$4,0)</f>
        <v>836</v>
      </c>
      <c r="D36" s="390" t="str">
        <f>IF(【マスター】!C50="有","入浴介助加算(Ⅱ)","入浴介助加算(Ⅰ)")</f>
        <v>入浴介助加算(Ⅱ)</v>
      </c>
      <c r="E36" s="391">
        <f>C36</f>
        <v>836</v>
      </c>
      <c r="F36" s="390" t="str">
        <f>IF(【マスター】!C50="有","入浴介助加算(Ⅱ)","入浴介助加算(Ⅰ)")</f>
        <v>入浴介助加算(Ⅱ)</v>
      </c>
      <c r="G36" s="391">
        <f>C36</f>
        <v>836</v>
      </c>
      <c r="H36" s="390" t="str">
        <f>IF(【マスター】!C50="有","入浴介助加算(Ⅱ)","入浴介助加算(Ⅰ)")</f>
        <v>入浴介助加算(Ⅱ)</v>
      </c>
      <c r="I36" s="391">
        <f>C36</f>
        <v>836</v>
      </c>
      <c r="J36" s="390" t="str">
        <f>IF(【マスター】!C50="有","入浴介助加算(Ⅱ)","入浴介助加算(Ⅰ)")</f>
        <v>入浴介助加算(Ⅱ)</v>
      </c>
      <c r="K36" s="392">
        <f>C36</f>
        <v>836</v>
      </c>
      <c r="N36" s="374" t="s">
        <v>1428</v>
      </c>
      <c r="O36" s="374" t="s">
        <v>1429</v>
      </c>
      <c r="P36" s="417" t="s">
        <v>1430</v>
      </c>
    </row>
    <row r="37" spans="1:16">
      <c r="A37" s="2479"/>
      <c r="B37" s="388" t="s">
        <v>1417</v>
      </c>
      <c r="C37" s="389">
        <f>ROUNDDOWN(Q16*28,0)-ROUNDDOWN(Q16*28*$M$4,0)</f>
        <v>-1333</v>
      </c>
      <c r="D37" s="390" t="s">
        <v>1417</v>
      </c>
      <c r="E37" s="391">
        <f>C37</f>
        <v>-1333</v>
      </c>
      <c r="F37" s="390" t="s">
        <v>1417</v>
      </c>
      <c r="G37" s="391">
        <f>C37</f>
        <v>-1333</v>
      </c>
      <c r="H37" s="390" t="s">
        <v>1417</v>
      </c>
      <c r="I37" s="391">
        <f>C37</f>
        <v>-1333</v>
      </c>
      <c r="J37" s="390" t="s">
        <v>1417</v>
      </c>
      <c r="K37" s="392">
        <f>C37</f>
        <v>-1333</v>
      </c>
      <c r="M37" s="970" t="s">
        <v>770</v>
      </c>
      <c r="N37" s="971">
        <f>【マスター】!Q37</f>
        <v>16765</v>
      </c>
      <c r="O37" s="424">
        <f>SUM(R9,$R$15,$R$16)</f>
        <v>19624</v>
      </c>
      <c r="P37" s="545">
        <f>IF(ROUNDDOWN(O37*$K$2,0)-ROUNDDOWN(N37*$K$2,0)&lt;N37,0,ROUNDDOWN(O37*$K$2,0)-ROUNDDOWN(N37*$K$2,0))</f>
        <v>28990</v>
      </c>
    </row>
    <row r="38" spans="1:16">
      <c r="A38" s="2479"/>
      <c r="B38" s="527"/>
      <c r="C38" s="528"/>
      <c r="D38" s="527"/>
      <c r="E38" s="530"/>
      <c r="F38" s="527"/>
      <c r="G38" s="530"/>
      <c r="H38" s="527"/>
      <c r="I38" s="530"/>
      <c r="J38" s="527"/>
      <c r="K38" s="404"/>
      <c r="M38" s="970" t="s">
        <v>780</v>
      </c>
      <c r="N38" s="971">
        <f>【マスター】!Q38</f>
        <v>19705</v>
      </c>
      <c r="O38" s="424">
        <f t="shared" ref="O38:O41" si="3">SUM(R10,$R$15,$R$16)</f>
        <v>23406</v>
      </c>
      <c r="P38" s="545">
        <f>ROUNDDOWN(O38*$K$2,0)-ROUNDDOWN(N38*$K$2,0)</f>
        <v>37528</v>
      </c>
    </row>
    <row r="39" spans="1:16" ht="19.5" thickBot="1">
      <c r="A39" s="2479"/>
      <c r="B39" s="393" t="s">
        <v>1420</v>
      </c>
      <c r="C39" s="394">
        <f>IF($H$2=$O$4,-(SUM(C35:C38)),0)</f>
        <v>0</v>
      </c>
      <c r="D39" s="395" t="s">
        <v>1420</v>
      </c>
      <c r="E39" s="394">
        <f>IF($H$2=$O$4,-(SUM(E35:E38)),0)</f>
        <v>0</v>
      </c>
      <c r="F39" s="395" t="s">
        <v>1420</v>
      </c>
      <c r="G39" s="394">
        <f>IF($H$2=$O$4,-(SUM(G35:G38)),0)</f>
        <v>0</v>
      </c>
      <c r="H39" s="395" t="s">
        <v>1420</v>
      </c>
      <c r="I39" s="394">
        <f>IF($H$2=$O$4,-(SUM(I35:I38)),0)</f>
        <v>0</v>
      </c>
      <c r="J39" s="395" t="s">
        <v>1420</v>
      </c>
      <c r="K39" s="396">
        <f>IF($H$2=$O$4,-(SUM(K35:K38)),0)</f>
        <v>0</v>
      </c>
      <c r="M39" s="970" t="s">
        <v>758</v>
      </c>
      <c r="N39" s="971">
        <f>【マスター】!Q39</f>
        <v>27048</v>
      </c>
      <c r="O39" s="424">
        <f t="shared" si="3"/>
        <v>27250</v>
      </c>
      <c r="P39" s="545"/>
    </row>
    <row r="40" spans="1:16" ht="19.5" thickTop="1">
      <c r="A40" s="2479"/>
      <c r="B40" s="398" t="s">
        <v>1384</v>
      </c>
      <c r="C40" s="399" t="e">
        <f>$P$20*14</f>
        <v>#VALUE!</v>
      </c>
      <c r="D40" s="400" t="s">
        <v>1384</v>
      </c>
      <c r="E40" s="401" t="e">
        <f>C40</f>
        <v>#VALUE!</v>
      </c>
      <c r="F40" s="400" t="s">
        <v>1384</v>
      </c>
      <c r="G40" s="401" t="e">
        <f>C40</f>
        <v>#VALUE!</v>
      </c>
      <c r="H40" s="400" t="s">
        <v>1384</v>
      </c>
      <c r="I40" s="401" t="e">
        <f>C40</f>
        <v>#VALUE!</v>
      </c>
      <c r="J40" s="400" t="s">
        <v>1384</v>
      </c>
      <c r="K40" s="402" t="e">
        <f>C40</f>
        <v>#VALUE!</v>
      </c>
      <c r="M40" s="970" t="s">
        <v>785</v>
      </c>
      <c r="N40" s="971">
        <f>【マスター】!Q40</f>
        <v>30938</v>
      </c>
      <c r="O40" s="424">
        <f t="shared" si="3"/>
        <v>31156</v>
      </c>
      <c r="P40" s="545"/>
    </row>
    <row r="41" spans="1:16">
      <c r="A41" s="2479"/>
      <c r="B41" s="388" t="s">
        <v>1387</v>
      </c>
      <c r="C41" s="389">
        <f>$P$19*15</f>
        <v>8550</v>
      </c>
      <c r="D41" s="390" t="s">
        <v>1387</v>
      </c>
      <c r="E41" s="391">
        <f>C41</f>
        <v>8550</v>
      </c>
      <c r="F41" s="390" t="s">
        <v>1387</v>
      </c>
      <c r="G41" s="391">
        <f>E41</f>
        <v>8550</v>
      </c>
      <c r="H41" s="390" t="s">
        <v>1387</v>
      </c>
      <c r="I41" s="391">
        <f>G41</f>
        <v>8550</v>
      </c>
      <c r="J41" s="390" t="s">
        <v>1387</v>
      </c>
      <c r="K41" s="392">
        <f>I41</f>
        <v>8550</v>
      </c>
      <c r="M41" s="970" t="s">
        <v>790</v>
      </c>
      <c r="N41" s="971">
        <f>【マスター】!Q41</f>
        <v>36217</v>
      </c>
      <c r="O41" s="424">
        <f t="shared" si="3"/>
        <v>35093</v>
      </c>
      <c r="P41" s="545"/>
    </row>
    <row r="42" spans="1:16">
      <c r="A42" s="2479"/>
      <c r="B42" s="388" t="s">
        <v>1389</v>
      </c>
      <c r="C42" s="389">
        <f>$P$21*14</f>
        <v>8820</v>
      </c>
      <c r="D42" s="390" t="s">
        <v>1389</v>
      </c>
      <c r="E42" s="391">
        <f>C42</f>
        <v>8820</v>
      </c>
      <c r="F42" s="390" t="s">
        <v>1389</v>
      </c>
      <c r="G42" s="391">
        <f>E42</f>
        <v>8820</v>
      </c>
      <c r="H42" s="390" t="s">
        <v>1389</v>
      </c>
      <c r="I42" s="391">
        <f>G42</f>
        <v>8820</v>
      </c>
      <c r="J42" s="390" t="s">
        <v>1389</v>
      </c>
      <c r="K42" s="392">
        <f>I42</f>
        <v>8820</v>
      </c>
    </row>
    <row r="43" spans="1:16" ht="19.5" thickBot="1">
      <c r="A43" s="2479"/>
      <c r="B43" s="388" t="s">
        <v>1421</v>
      </c>
      <c r="C43" s="389">
        <f>$M$24*14</f>
        <v>0</v>
      </c>
      <c r="D43" s="390" t="s">
        <v>1421</v>
      </c>
      <c r="E43" s="391">
        <f>C43</f>
        <v>0</v>
      </c>
      <c r="F43" s="390" t="s">
        <v>1421</v>
      </c>
      <c r="G43" s="391">
        <f>E43</f>
        <v>0</v>
      </c>
      <c r="H43" s="390" t="s">
        <v>1421</v>
      </c>
      <c r="I43" s="391">
        <f>G43</f>
        <v>0</v>
      </c>
      <c r="J43" s="390" t="s">
        <v>1421</v>
      </c>
      <c r="K43" s="392">
        <f>I43</f>
        <v>0</v>
      </c>
    </row>
    <row r="44" spans="1:16" ht="19.5" thickBot="1">
      <c r="A44" s="2480"/>
      <c r="B44" s="405" t="s">
        <v>1422</v>
      </c>
      <c r="C44" s="406" t="e">
        <f>SUM(C35:C43)</f>
        <v>#VALUE!</v>
      </c>
      <c r="D44" s="407" t="s">
        <v>1422</v>
      </c>
      <c r="E44" s="406" t="e">
        <f>SUM(E35:E43)</f>
        <v>#VALUE!</v>
      </c>
      <c r="F44" s="407" t="s">
        <v>1422</v>
      </c>
      <c r="G44" s="406" t="e">
        <f>SUM(G35:G43)</f>
        <v>#VALUE!</v>
      </c>
      <c r="H44" s="407" t="s">
        <v>1422</v>
      </c>
      <c r="I44" s="406" t="e">
        <f>SUM(I35:I43)</f>
        <v>#VALUE!</v>
      </c>
      <c r="J44" s="407" t="s">
        <v>1422</v>
      </c>
      <c r="K44" s="408" t="e">
        <f>SUM(K35:K43)</f>
        <v>#VALUE!</v>
      </c>
      <c r="M44" s="546">
        <f>SUM(C45:C48)</f>
        <v>15870</v>
      </c>
    </row>
    <row r="45" spans="1:16" ht="18.75" customHeight="1">
      <c r="A45" s="2478" t="s">
        <v>1286</v>
      </c>
      <c r="B45" s="959" t="s">
        <v>1423</v>
      </c>
      <c r="C45" s="428">
        <f>ROUNDDOWN(N37*$K$2,0)-ROUNDDOWN(N37*$K$2*$M$4,0)</f>
        <v>17000</v>
      </c>
      <c r="D45" s="426" t="s">
        <v>1383</v>
      </c>
      <c r="E45" s="428">
        <f>ROUNDDOWN(N38*$K$2,0)-ROUNDDOWN(N38*$K$2*$M$4,0)</f>
        <v>19981</v>
      </c>
      <c r="F45" s="426" t="s">
        <v>1385</v>
      </c>
      <c r="G45" s="428">
        <f>IF(P39="",ROUNDDOWN(R11*$K$2,0)-ROUNDDOWN(R11*$K$2*$M$4,0),0)</f>
        <v>28763</v>
      </c>
      <c r="H45" s="426" t="s">
        <v>1386</v>
      </c>
      <c r="I45" s="428">
        <f>IF(P40="",ROUNDDOWN(R12*$K$2,0)-ROUNDDOWN(R12*$K$2*$M$4,0),0)</f>
        <v>32722</v>
      </c>
      <c r="J45" s="426" t="s">
        <v>1388</v>
      </c>
      <c r="K45" s="429">
        <f>IF(P41="",ROUNDDOWN(R13*$K$2,0)-ROUNDDOWN(R13*$K$2*$M$4,0),0)</f>
        <v>36715</v>
      </c>
    </row>
    <row r="46" spans="1:16">
      <c r="A46" s="2479"/>
      <c r="B46" s="960" t="str">
        <f>IF(【マスター】!C50="有","入浴介助加算(Ⅱ)","入浴介助加算(Ⅰ)")</f>
        <v>入浴介助加算(Ⅱ)</v>
      </c>
      <c r="C46" s="423">
        <f>ROUNDDOWN($R$15*$K$2,0)-ROUNDDOWN($R$15*$K$2*$M$4,0)</f>
        <v>1729</v>
      </c>
      <c r="D46" s="390" t="str">
        <f>IF(【マスター】!C50="有","入浴介助加算(Ⅱ)","入浴介助加算(Ⅰ)")</f>
        <v>入浴介助加算(Ⅱ)</v>
      </c>
      <c r="E46" s="423">
        <f>ROUNDDOWN($R$15*$K$2,0)-ROUNDDOWN($R$15*$K$2*$M$4,0)</f>
        <v>1729</v>
      </c>
      <c r="F46" s="390" t="str">
        <f>IF(【マスター】!C50="有","入浴介助加算(Ⅱ)","入浴介助加算(Ⅰ)")</f>
        <v>入浴介助加算(Ⅱ)</v>
      </c>
      <c r="G46" s="423">
        <f>IF(P39="",ROUNDDOWN($R$15*$K$2,0)-ROUNDDOWN($R$15*$K$2*$M$4,0),0)</f>
        <v>1729</v>
      </c>
      <c r="H46" s="390" t="str">
        <f>IF(【マスター】!C50="有","入浴介助加算(Ⅱ)","入浴介助加算(Ⅰ)")</f>
        <v>入浴介助加算(Ⅱ)</v>
      </c>
      <c r="I46" s="423">
        <f>IF(P40="",ROUNDDOWN($R$15*$K$2,0)-ROUNDDOWN($R$15*$K$2*$M$4,0),0)</f>
        <v>1729</v>
      </c>
      <c r="J46" s="390" t="str">
        <f>IF(【マスター】!C50="有","入浴介助加算(Ⅱ)","入浴介助加算(Ⅰ)")</f>
        <v>入浴介助加算(Ⅱ)</v>
      </c>
      <c r="K46" s="427">
        <f>IF(P41="",ROUNDDOWN($R$15*$K$2,0)-ROUNDDOWN($R$15*$K$2*$M$4,0),0)</f>
        <v>1729</v>
      </c>
    </row>
    <row r="47" spans="1:16">
      <c r="A47" s="2479"/>
      <c r="B47" s="960" t="s">
        <v>1417</v>
      </c>
      <c r="C47" s="423">
        <f>ROUNDDOWN($R$16*$K$2,0)-ROUNDDOWN($R$16*$K$2*$M$4,0)</f>
        <v>-2859</v>
      </c>
      <c r="D47" s="390" t="s">
        <v>1417</v>
      </c>
      <c r="E47" s="423">
        <f>ROUNDDOWN($R$16*$K$2,0)-ROUNDDOWN($R$16*$K$2*$M$4,0)</f>
        <v>-2859</v>
      </c>
      <c r="F47" s="390" t="s">
        <v>1417</v>
      </c>
      <c r="G47" s="423">
        <f>IF(P39="",ROUNDDOWN($R$16*$K$2,0)-ROUNDDOWN($R$16*$K$2*$M$4,0),0)</f>
        <v>-2859</v>
      </c>
      <c r="H47" s="390" t="s">
        <v>1417</v>
      </c>
      <c r="I47" s="423">
        <f>IF(P40="",ROUNDDOWN($R$16*$K$2,0)-ROUNDDOWN($R$16*$K$2*$M$4,0),0)</f>
        <v>-2859</v>
      </c>
      <c r="J47" s="390" t="s">
        <v>1417</v>
      </c>
      <c r="K47" s="427">
        <f>IF(P41="",ROUNDDOWN($R$16*$K$2,0)-ROUNDDOWN($R$16*$K$2*$M$4,0),0)</f>
        <v>-2859</v>
      </c>
    </row>
    <row r="48" spans="1:16" ht="19.5" thickBot="1">
      <c r="A48" s="2479"/>
      <c r="B48" s="393" t="s">
        <v>1420</v>
      </c>
      <c r="C48" s="394">
        <f>IF($H$2=$O$4,-(SUM(C45:C47)),0)</f>
        <v>0</v>
      </c>
      <c r="D48" s="395" t="s">
        <v>1420</v>
      </c>
      <c r="E48" s="394">
        <f>IF($H$2=$O$4,-(SUM(E45:E47)),0)</f>
        <v>0</v>
      </c>
      <c r="F48" s="395" t="s">
        <v>1420</v>
      </c>
      <c r="G48" s="394">
        <f>IF($H$2=$O$4,-(SUM(G45:G47)),0)</f>
        <v>0</v>
      </c>
      <c r="H48" s="395" t="s">
        <v>1420</v>
      </c>
      <c r="I48" s="394">
        <f>IF($H$2=$O$4,-(SUM(I45:I47)),0)</f>
        <v>0</v>
      </c>
      <c r="J48" s="395" t="s">
        <v>1420</v>
      </c>
      <c r="K48" s="396">
        <f>IF($H$2=$O$4,-(SUM(K45:K47)),0)</f>
        <v>0</v>
      </c>
    </row>
    <row r="49" spans="1:16" ht="20.25" thickTop="1" thickBot="1">
      <c r="A49" s="2479"/>
      <c r="B49" s="961" t="s">
        <v>1437</v>
      </c>
      <c r="C49" s="975">
        <f>P37</f>
        <v>28990</v>
      </c>
      <c r="D49" s="420" t="s">
        <v>1437</v>
      </c>
      <c r="E49" s="975">
        <f>P38</f>
        <v>37528</v>
      </c>
      <c r="F49" s="420" t="s">
        <v>1437</v>
      </c>
      <c r="G49" s="421">
        <f>P39</f>
        <v>0</v>
      </c>
      <c r="H49" s="420" t="s">
        <v>1437</v>
      </c>
      <c r="I49" s="421">
        <f>P40</f>
        <v>0</v>
      </c>
      <c r="J49" s="420" t="s">
        <v>1437</v>
      </c>
      <c r="K49" s="422">
        <f>P41</f>
        <v>0</v>
      </c>
    </row>
    <row r="50" spans="1:16" ht="19.5" thickTop="1">
      <c r="A50" s="2479"/>
      <c r="B50" s="962" t="s">
        <v>1384</v>
      </c>
      <c r="C50" s="399" t="e">
        <f>$P$20*30</f>
        <v>#VALUE!</v>
      </c>
      <c r="D50" s="400" t="s">
        <v>1384</v>
      </c>
      <c r="E50" s="401" t="e">
        <f>C50</f>
        <v>#VALUE!</v>
      </c>
      <c r="F50" s="400" t="s">
        <v>1384</v>
      </c>
      <c r="G50" s="401" t="e">
        <f>C50</f>
        <v>#VALUE!</v>
      </c>
      <c r="H50" s="400" t="s">
        <v>1384</v>
      </c>
      <c r="I50" s="401" t="e">
        <f>C50</f>
        <v>#VALUE!</v>
      </c>
      <c r="J50" s="400" t="s">
        <v>1384</v>
      </c>
      <c r="K50" s="402" t="e">
        <f>C50</f>
        <v>#VALUE!</v>
      </c>
    </row>
    <row r="51" spans="1:16">
      <c r="A51" s="2479"/>
      <c r="B51" s="960" t="s">
        <v>1387</v>
      </c>
      <c r="C51" s="389">
        <f>$P$19*31</f>
        <v>17670</v>
      </c>
      <c r="D51" s="390" t="s">
        <v>1387</v>
      </c>
      <c r="E51" s="391">
        <f>C51</f>
        <v>17670</v>
      </c>
      <c r="F51" s="390" t="s">
        <v>1387</v>
      </c>
      <c r="G51" s="391">
        <f>E51</f>
        <v>17670</v>
      </c>
      <c r="H51" s="390" t="s">
        <v>1387</v>
      </c>
      <c r="I51" s="391">
        <f>G51</f>
        <v>17670</v>
      </c>
      <c r="J51" s="390" t="s">
        <v>1387</v>
      </c>
      <c r="K51" s="392">
        <f>I51</f>
        <v>17670</v>
      </c>
    </row>
    <row r="52" spans="1:16">
      <c r="A52" s="2479"/>
      <c r="B52" s="960" t="s">
        <v>1389</v>
      </c>
      <c r="C52" s="389">
        <f>$P$21*30</f>
        <v>18900</v>
      </c>
      <c r="D52" s="390" t="s">
        <v>1389</v>
      </c>
      <c r="E52" s="391">
        <f>C52</f>
        <v>18900</v>
      </c>
      <c r="F52" s="390" t="s">
        <v>1389</v>
      </c>
      <c r="G52" s="391">
        <f>E52</f>
        <v>18900</v>
      </c>
      <c r="H52" s="390" t="s">
        <v>1389</v>
      </c>
      <c r="I52" s="391">
        <f>G52</f>
        <v>18900</v>
      </c>
      <c r="J52" s="390" t="s">
        <v>1389</v>
      </c>
      <c r="K52" s="392">
        <f>I52</f>
        <v>18900</v>
      </c>
    </row>
    <row r="53" spans="1:16" ht="20.25" thickBot="1">
      <c r="A53" s="2479"/>
      <c r="B53" s="963" t="s">
        <v>1421</v>
      </c>
      <c r="C53" s="964">
        <f>$M$24*30</f>
        <v>0</v>
      </c>
      <c r="D53" s="965" t="s">
        <v>1421</v>
      </c>
      <c r="E53" s="966">
        <f>C53</f>
        <v>0</v>
      </c>
      <c r="F53" s="965" t="s">
        <v>1421</v>
      </c>
      <c r="G53" s="966">
        <f>E53</f>
        <v>0</v>
      </c>
      <c r="H53" s="965" t="s">
        <v>1421</v>
      </c>
      <c r="I53" s="966">
        <f>G53</f>
        <v>0</v>
      </c>
      <c r="J53" s="965" t="s">
        <v>1421</v>
      </c>
      <c r="K53" s="967">
        <f>I53</f>
        <v>0</v>
      </c>
      <c r="M53" s="297">
        <f>IF(【マスター】!C73="有",1,0)</f>
        <v>0</v>
      </c>
      <c r="N53" s="297" t="s">
        <v>772</v>
      </c>
      <c r="O53" s="297" t="str">
        <f>【マスター】!D73</f>
        <v>9.2%（1ヶ月の利用合計単位数に乗じる）</v>
      </c>
    </row>
    <row r="54" spans="1:16" ht="20.100000000000001" customHeight="1" thickBot="1">
      <c r="A54" s="2480"/>
      <c r="B54" s="410" t="s">
        <v>1422</v>
      </c>
      <c r="C54" s="411" t="e">
        <f>SUM(C45,C49:C53)</f>
        <v>#VALUE!</v>
      </c>
      <c r="D54" s="412" t="s">
        <v>1422</v>
      </c>
      <c r="E54" s="411" t="e">
        <f>SUM(E45,E49:E53)</f>
        <v>#VALUE!</v>
      </c>
      <c r="F54" s="412" t="s">
        <v>1422</v>
      </c>
      <c r="G54" s="411" t="e">
        <f>SUM(G45:G53)</f>
        <v>#VALUE!</v>
      </c>
      <c r="H54" s="412" t="s">
        <v>1422</v>
      </c>
      <c r="I54" s="411" t="e">
        <f>SUM(I45:I53)</f>
        <v>#VALUE!</v>
      </c>
      <c r="J54" s="412" t="s">
        <v>1422</v>
      </c>
      <c r="K54" s="413" t="e">
        <f>SUM(K45:K53)</f>
        <v>#VALUE!</v>
      </c>
      <c r="M54" s="297">
        <f>IF(【マスター】!C74="有",1,0)</f>
        <v>1</v>
      </c>
      <c r="N54" s="297" t="s">
        <v>775</v>
      </c>
      <c r="O54" s="297" t="str">
        <f>【マスター】!D74</f>
        <v>9.0%（1ヶ月の利用合計単位数に乗じる）</v>
      </c>
    </row>
    <row r="55" spans="1:16" ht="19.5">
      <c r="B55" s="2477" t="s">
        <v>2046</v>
      </c>
      <c r="C55" s="2477"/>
      <c r="D55" s="2477"/>
      <c r="E55" s="2477"/>
      <c r="F55" s="2477"/>
      <c r="G55" s="2477"/>
      <c r="H55" s="2477"/>
      <c r="I55" s="2477"/>
      <c r="J55" s="2477"/>
      <c r="K55" s="2477"/>
      <c r="M55" s="297">
        <f>IF(【マスター】!C75="有",1,0)</f>
        <v>0</v>
      </c>
      <c r="N55" s="297" t="s">
        <v>779</v>
      </c>
      <c r="O55" s="297" t="str">
        <f>【マスター】!D75</f>
        <v>8.0%（1ヶ月の利用合計単位数に乗じる）</v>
      </c>
    </row>
    <row r="56" spans="1:16" ht="19.5">
      <c r="B56" s="2476" t="s">
        <v>1431</v>
      </c>
      <c r="C56" s="2476"/>
      <c r="D56" s="2476"/>
      <c r="E56" s="2476"/>
      <c r="F56" s="2476"/>
      <c r="G56" s="2476"/>
      <c r="H56" s="2476"/>
      <c r="I56" s="2476"/>
      <c r="M56" s="297">
        <f>SUM(M53:M55)</f>
        <v>1</v>
      </c>
      <c r="N56" s="297" t="s">
        <v>788</v>
      </c>
    </row>
    <row r="57" spans="1:16">
      <c r="B57" s="374" t="s">
        <v>1432</v>
      </c>
      <c r="L57" s="478"/>
    </row>
    <row r="58" spans="1:16" ht="19.5">
      <c r="A58" s="2471" t="s">
        <v>1433</v>
      </c>
      <c r="B58" s="414" t="s">
        <v>1434</v>
      </c>
      <c r="C58" s="581" t="s">
        <v>2019</v>
      </c>
      <c r="D58" s="581" t="s">
        <v>1434</v>
      </c>
      <c r="E58" s="581" t="s">
        <v>2019</v>
      </c>
      <c r="F58" s="581" t="s">
        <v>1434</v>
      </c>
      <c r="G58" s="581" t="s">
        <v>2019</v>
      </c>
      <c r="H58" s="581" t="s">
        <v>1434</v>
      </c>
      <c r="I58" s="581" t="s">
        <v>2019</v>
      </c>
      <c r="J58" s="581" t="s">
        <v>1434</v>
      </c>
      <c r="K58" s="581" t="s">
        <v>2019</v>
      </c>
      <c r="M58" s="297">
        <f>IF(【マスター】!C77="有",1,0)</f>
        <v>0</v>
      </c>
      <c r="N58" s="297" t="s">
        <v>772</v>
      </c>
      <c r="O58" s="297">
        <f>【マスター】!D77</f>
        <v>0</v>
      </c>
    </row>
    <row r="59" spans="1:16" ht="19.5">
      <c r="A59" s="2471"/>
      <c r="B59" s="376" t="str">
        <f>'料金表（1回分）'!F4</f>
        <v>入浴介助加算(Ⅰ）/日</v>
      </c>
      <c r="C59" s="415" t="str">
        <f>IF(【マスター】!C49="","算定なし",ASC("\"&amp;ROUNDDOWN(【マスター】!E49,0)-ROUNDDOWN(【マスター】!E49*$M$4,0)))</f>
        <v>\41</v>
      </c>
      <c r="D59" s="376" t="str">
        <f>'料金表（1回分）'!F9</f>
        <v>個別機能訓練加算（Ⅰ）イ/日</v>
      </c>
      <c r="E59" s="415" t="str">
        <f>IF(【マスター】!C54="","算定なし",ASC("\"&amp;ROUNDDOWN(【マスター】!E54,0)-ROUNDDOWN(【マスター】!E54*$M$4,0)))</f>
        <v>\57</v>
      </c>
      <c r="F59" s="376" t="str">
        <f>'料金表（1回分）'!F14</f>
        <v>サービス提供体制強化加算（Ⅲ）/日</v>
      </c>
      <c r="G59" s="415" t="str">
        <f>IF(【マスター】!C59="","算定なし",ASC("\"&amp;ROUNDDOWN(【マスター】!E59,0)-ROUNDDOWN(【マスター】!E59*$M$4,0)))</f>
        <v>算定なし</v>
      </c>
      <c r="H59" s="376" t="str">
        <f>'料金表（1回分）'!F19</f>
        <v>口腔機能向上加算（Ⅰ）/回</v>
      </c>
      <c r="I59" s="415" t="str">
        <f>IF(【マスター】!C64="","算定なし",ASC("\"&amp;ROUNDDOWN(【マスター】!E64,0)-ROUNDDOWN(【マスター】!E64*$M$4,0)))</f>
        <v>\153</v>
      </c>
      <c r="J59" s="376" t="str">
        <f>'料金表（1回分）'!F24</f>
        <v>生活機能向上連携加算（Ⅰ）/月</v>
      </c>
      <c r="K59" s="580" t="str">
        <f>IF(【マスター】!C69="","算定なし",ASC("\"&amp;ROUNDDOWN(【マスター】!E69,0)-ROUNDDOWN(【マスター】!E69*$M$4,0)))</f>
        <v>算定なし</v>
      </c>
      <c r="L59" s="472"/>
      <c r="M59" s="297">
        <f>IF(【マスター】!C78="有",1,0)</f>
        <v>0</v>
      </c>
      <c r="N59" s="297" t="s">
        <v>775</v>
      </c>
      <c r="O59" s="297">
        <f>【マスター】!D78</f>
        <v>0</v>
      </c>
    </row>
    <row r="60" spans="1:16" ht="19.5">
      <c r="A60" s="2471"/>
      <c r="B60" s="376" t="str">
        <f>'料金表（1回分）'!F5</f>
        <v>入浴介助加算（Ⅱ）/日</v>
      </c>
      <c r="C60" s="415" t="str">
        <f>IF(【マスター】!C50="","算定なし",ASC("\"&amp;ROUNDDOWN(【マスター】!E50,0)-ROUNDDOWN(【マスター】!E50*$M$4,0)))</f>
        <v>\56</v>
      </c>
      <c r="D60" s="376" t="str">
        <f>'料金表（1回分）'!F10</f>
        <v>個別機能訓練加算（Ⅰ）ロ/日</v>
      </c>
      <c r="E60" s="415" t="str">
        <f>IF(【マスター】!C55="","算定なし",ASC("\"&amp;ROUNDDOWN(【マスター】!E55,0)-ROUNDDOWN(【マスター】!E55*$M$4,0)))</f>
        <v>算定なし</v>
      </c>
      <c r="F60" s="376" t="str">
        <f>'料金表（1回分）'!F15</f>
        <v>栄養改善加算/回</v>
      </c>
      <c r="G60" s="415" t="str">
        <f>IF(【マスター】!C60="","算定なし",ASC("\"&amp;ROUNDDOWN(【マスター】!E60,0)-ROUNDDOWN(【マスター】!E60*$M$4,0)))</f>
        <v>算定なし</v>
      </c>
      <c r="H60" s="376" t="str">
        <f>'料金表（1回分）'!F20</f>
        <v>口腔機能向上加算（Ⅱ）/回</v>
      </c>
      <c r="I60" s="415" t="str">
        <f>IF(【マスター】!C65="","算定なし",ASC("\"&amp;ROUNDDOWN(【マスター】!E65,0)-ROUNDDOWN(【マスター】!E65*$M$4,0)))</f>
        <v>算定なし</v>
      </c>
      <c r="J60" s="376" t="str">
        <f>'料金表（1回分）'!F25</f>
        <v>生活機能向上連携加算（Ⅱ）/月</v>
      </c>
      <c r="K60" s="580" t="str">
        <f>IF(【マスター】!C70="","算定なし",ASC("\"&amp;ROUNDDOWN(【マスター】!E70,0)-ROUNDDOWN(【マスター】!E70*$M$4,0)))</f>
        <v>算定なし</v>
      </c>
      <c r="M60" s="297">
        <f>SUM(M58:M59)</f>
        <v>0</v>
      </c>
      <c r="N60" s="297" t="s">
        <v>788</v>
      </c>
      <c r="O60" s="507"/>
    </row>
    <row r="61" spans="1:16">
      <c r="A61" s="2471"/>
      <c r="B61" s="376" t="str">
        <f>'料金表（1回分）'!F6</f>
        <v>認知症加算/日</v>
      </c>
      <c r="C61" s="415" t="str">
        <f>IF(【マスター】!C51="","算定なし",ASC("\"&amp;ROUNDDOWN(【マスター】!E51,0)-ROUNDDOWN(【マスター】!E51*$M$4,0)))</f>
        <v>算定なし</v>
      </c>
      <c r="D61" s="376" t="str">
        <f>'料金表（1回分）'!F11</f>
        <v>個別機能訓練加算（Ⅱ）/月</v>
      </c>
      <c r="E61" s="415" t="str">
        <f>IF(【マスター】!C56="","算定なし",ASC("\"&amp;ROUNDDOWN(【マスター】!E56,0)-ROUNDDOWN(【マスター】!E56*$M$4,0)))</f>
        <v>算定なし</v>
      </c>
      <c r="F61" s="376" t="str">
        <f>'料金表（1回分）'!F16</f>
        <v>栄養アセスメント加算/月</v>
      </c>
      <c r="G61" s="415" t="str">
        <f>IF(【マスター】!C61="","算定なし",ASC("\"&amp;ROUNDDOWN(【マスター】!E61,0)-ROUNDDOWN(【マスター】!E61*$M$4,0)))</f>
        <v>算定なし</v>
      </c>
      <c r="H61" s="376" t="str">
        <f>'料金表（1回分）'!F21</f>
        <v>ＡＤＬ維持等加算（Ⅰ）/月</v>
      </c>
      <c r="I61" s="415" t="str">
        <f>IF(【マスター】!C66="","算定なし",ASC("\"&amp;ROUNDDOWN(【マスター】!E66,0)-ROUNDDOWN(【マスター】!E66*$M$4,0)))</f>
        <v>算定なし</v>
      </c>
      <c r="J61" s="376" t="str">
        <f>'料金表（1回分）'!F26</f>
        <v>延長加算（1時間当たり）/回</v>
      </c>
      <c r="K61" s="580" t="str">
        <f>IF(【マスター】!C71="","算定なし",ASC("\"&amp;ROUNDDOWN(【マスター】!E71,0)-ROUNDDOWN(【マスター】!E71*$M$4,0)))</f>
        <v>\51</v>
      </c>
    </row>
    <row r="62" spans="1:16" ht="19.5">
      <c r="A62" s="2471"/>
      <c r="B62" s="376" t="str">
        <f>'料金表（1回分）'!F7</f>
        <v>若年性認知症利用者受入加算/日</v>
      </c>
      <c r="C62" s="415" t="str">
        <f>IF(【マスター】!C52="","算定なし",ASC("\"&amp;ROUNDDOWN(【マスター】!E52,0)-ROUNDDOWN(【マスター】!E52*$M$4,0)))</f>
        <v>\61</v>
      </c>
      <c r="D62" s="376" t="str">
        <f>'料金表（1回分）'!F12</f>
        <v>サービス提供体制強化加算（Ⅰ）/日</v>
      </c>
      <c r="E62" s="415" t="str">
        <f>IF(【マスター】!C57="","算定なし",ASC("\"&amp;ROUNDDOWN(【マスター】!E57,0)-ROUNDDOWN(【マスター】!E57*$M$4,0)))</f>
        <v>算定なし</v>
      </c>
      <c r="F62" s="376" t="str">
        <f>'料金表（1回分）'!F17</f>
        <v>口腔・栄養スクリーニング加算（Ⅰ）/回</v>
      </c>
      <c r="G62" s="415" t="str">
        <f>IF(【マスター】!C62="","算定なし",ASC("\"&amp;ROUNDDOWN(【マスター】!E62,0)-ROUNDDOWN(【マスター】!E62*$M$4,0)))</f>
        <v>算定なし</v>
      </c>
      <c r="H62" s="376" t="str">
        <f>'料金表（1回分）'!F22</f>
        <v>ＡＤＬ維持等加算（Ⅱ）/月</v>
      </c>
      <c r="I62" s="415" t="str">
        <f>IF(【マスター】!C67="","算定なし",ASC("\"&amp;ROUNDDOWN(【マスター】!E67,0)-ROUNDDOWN(【マスター】!E67*$M$4,0)))</f>
        <v>算定なし</v>
      </c>
      <c r="J62" s="376" t="str">
        <f>'料金表（1回分）'!F27</f>
        <v>科学的介護推進体制加算/月</v>
      </c>
      <c r="K62" s="580" t="str">
        <f>IF(【マスター】!C72="","算定なし",ASC("\"&amp;ROUNDDOWN(【マスター】!E72,0)-ROUNDDOWN(【マスター】!E72*$M$4,0)))</f>
        <v>\41</v>
      </c>
      <c r="M62" s="297">
        <f>IF(【マスター】!C79="有",1,0)</f>
        <v>0</v>
      </c>
      <c r="N62" s="297" t="s">
        <v>2044</v>
      </c>
      <c r="O62" s="297">
        <f>【マスター】!D79</f>
        <v>0</v>
      </c>
      <c r="P62" s="374"/>
    </row>
    <row r="63" spans="1:16" ht="19.5">
      <c r="A63" s="2471"/>
      <c r="B63" s="376" t="str">
        <f>'料金表（1回分）'!F8</f>
        <v>中重度者ケア体制加算/日</v>
      </c>
      <c r="C63" s="415" t="str">
        <f>IF(【マスター】!C53="","算定なし",ASC("\"&amp;ROUNDDOWN(【マスター】!E53,0)-ROUNDDOWN(【マスター】!E53*$M$4,0)))</f>
        <v>算定なし</v>
      </c>
      <c r="D63" s="376" t="str">
        <f>'料金表（1回分）'!F13</f>
        <v>サービス提供体制強化加算（Ⅱ）/日</v>
      </c>
      <c r="E63" s="415" t="str">
        <f>IF(【マスター】!C58="","算定なし",ASC("\"&amp;ROUNDDOWN(【マスター】!E58,0)-ROUNDDOWN(【マスター】!E58*$M$4,0)))</f>
        <v>算定なし</v>
      </c>
      <c r="F63" s="376" t="str">
        <f>'料金表（1回分）'!F18</f>
        <v>口腔・栄養スクリーニング加算（Ⅱ）/回</v>
      </c>
      <c r="G63" s="415" t="str">
        <f>IF(【マスター】!C63="","算定なし",ASC("\"&amp;ROUNDDOWN(【マスター】!E63,0)-ROUNDDOWN(【マスター】!E63*$M$4,0)))</f>
        <v>算定なし</v>
      </c>
      <c r="H63" s="376" t="str">
        <f>'料金表（1回分）'!F23</f>
        <v>ＡＤＬ維持等加算（Ⅲ）/月</v>
      </c>
      <c r="I63" s="415" t="str">
        <f>IF(【マスター】!C68="","算定なし",ASC("\"&amp;ROUNDDOWN(【マスター】!E68,0)-ROUNDDOWN(【マスター】!E68*$M$4,0)))</f>
        <v>算定なし</v>
      </c>
      <c r="M63" s="297">
        <f>SUM(M62:M62)</f>
        <v>0</v>
      </c>
      <c r="N63" s="297" t="s">
        <v>788</v>
      </c>
      <c r="O63" s="507"/>
      <c r="P63" s="374"/>
    </row>
    <row r="64" spans="1:16">
      <c r="A64" s="2471"/>
      <c r="B64" s="419" t="s">
        <v>1435</v>
      </c>
      <c r="C64" s="2474" t="str">
        <f>IF(M56=0,N56,VLOOKUP(1,M53:O55,3,FALSE))</f>
        <v>9.0%（1ヶ月の利用合計単位数に乗じる）</v>
      </c>
      <c r="D64" s="2475"/>
      <c r="E64" s="506" t="s">
        <v>1436</v>
      </c>
      <c r="F64" s="2472" t="str">
        <f>IF(M60=0,N60,VLOOKUP(1,M58:O59,3,FALSE))</f>
        <v>算定なし</v>
      </c>
      <c r="G64" s="2473"/>
      <c r="H64" s="506" t="s">
        <v>2043</v>
      </c>
      <c r="I64" s="2464" t="str">
        <f>IF(M63=0,N63,VLOOKUP(1,M62:O63,3,FALSE))</f>
        <v>算定なし</v>
      </c>
      <c r="J64" s="2464"/>
    </row>
    <row r="65" spans="1:11">
      <c r="A65" s="2494" t="str">
        <f>【マスター】!$C$7</f>
        <v>デイサービスさつきの湯</v>
      </c>
      <c r="B65" s="2494"/>
      <c r="C65" s="2494"/>
      <c r="D65" s="2494"/>
      <c r="E65" s="2494"/>
      <c r="F65" s="2469" t="str">
        <f>"TEL:"&amp;【マスター】!C9</f>
        <v>TEL:0533-56-7087</v>
      </c>
      <c r="G65" s="2469"/>
      <c r="H65" s="2469" t="str">
        <f>"FAX:"&amp;【マスター】!$I$9</f>
        <v>FAX:0533-56-7088</v>
      </c>
      <c r="I65" s="2469"/>
      <c r="J65" s="2469" t="str">
        <f>"担当:"&amp;【マスター】!$C$20</f>
        <v>担当:繁原　秀章</v>
      </c>
      <c r="K65" s="2469"/>
    </row>
  </sheetData>
  <mergeCells count="24">
    <mergeCell ref="B56:I56"/>
    <mergeCell ref="A1:E2"/>
    <mergeCell ref="F1:K1"/>
    <mergeCell ref="F2:G2"/>
    <mergeCell ref="O2:S2"/>
    <mergeCell ref="B4:C4"/>
    <mergeCell ref="D4:E4"/>
    <mergeCell ref="F4:G4"/>
    <mergeCell ref="H4:I4"/>
    <mergeCell ref="J4:K4"/>
    <mergeCell ref="B55:K55"/>
    <mergeCell ref="A5:A14"/>
    <mergeCell ref="A15:A24"/>
    <mergeCell ref="A25:A34"/>
    <mergeCell ref="A35:A44"/>
    <mergeCell ref="A45:A54"/>
    <mergeCell ref="A65:E65"/>
    <mergeCell ref="F65:G65"/>
    <mergeCell ref="H65:I65"/>
    <mergeCell ref="J65:K65"/>
    <mergeCell ref="A58:A64"/>
    <mergeCell ref="C64:D64"/>
    <mergeCell ref="F64:G64"/>
    <mergeCell ref="I64:J64"/>
  </mergeCells>
  <phoneticPr fontId="17"/>
  <dataValidations disablePrompts="1" count="1">
    <dataValidation type="list" allowBlank="1" showInputMessage="1" showErrorMessage="1" sqref="H2" xr:uid="{00000000-0002-0000-1A00-000000000000}">
      <formula1>$O$4:$O$7</formula1>
    </dataValidation>
  </dataValidations>
  <printOptions horizontalCentered="1" verticalCentered="1"/>
  <pageMargins left="0.23622047244094491" right="0.23622047244094491" top="0.74803149606299213" bottom="0.74803149606299213" header="0.31496062992125984" footer="0.31496062992125984"/>
  <pageSetup paperSize="9" scale="66" orientation="portrait" r:id="rId1"/>
  <headerFooter>
    <oddFooter>&amp;L【通所介護_BMC】</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AO167"/>
  <sheetViews>
    <sheetView workbookViewId="0">
      <selection sqref="A1:T2"/>
    </sheetView>
  </sheetViews>
  <sheetFormatPr defaultColWidth="9" defaultRowHeight="12"/>
  <cols>
    <col min="1" max="1" width="4.625" style="430" customWidth="1"/>
    <col min="2" max="3" width="4.625" style="463" customWidth="1"/>
    <col min="4" max="20" width="4.625" style="430" customWidth="1"/>
    <col min="21" max="21" width="0" style="430" hidden="1" customWidth="1"/>
    <col min="22" max="22" width="4.625" style="430" hidden="1" customWidth="1"/>
    <col min="23" max="23" width="4.625" style="430" customWidth="1"/>
    <col min="24" max="24" width="4.625" style="465" customWidth="1"/>
    <col min="25" max="37" width="4.625" style="430" customWidth="1"/>
    <col min="38" max="16384" width="9" style="430"/>
  </cols>
  <sheetData>
    <row r="1" spans="1:24" ht="15" customHeight="1">
      <c r="A1" s="2498" t="s">
        <v>1438</v>
      </c>
      <c r="B1" s="2498"/>
      <c r="C1" s="2498"/>
      <c r="D1" s="2498"/>
      <c r="E1" s="2498"/>
      <c r="F1" s="2498"/>
      <c r="G1" s="2498"/>
      <c r="H1" s="2498"/>
      <c r="I1" s="2498"/>
      <c r="J1" s="2498"/>
      <c r="K1" s="2498"/>
      <c r="L1" s="2498"/>
      <c r="M1" s="2498"/>
      <c r="N1" s="2498"/>
      <c r="O1" s="2498"/>
      <c r="P1" s="2498"/>
      <c r="Q1" s="2498"/>
      <c r="R1" s="2498"/>
      <c r="S1" s="2498"/>
      <c r="T1" s="2498"/>
      <c r="X1" s="431"/>
    </row>
    <row r="2" spans="1:24" ht="15" customHeight="1">
      <c r="A2" s="2498"/>
      <c r="B2" s="2498"/>
      <c r="C2" s="2498"/>
      <c r="D2" s="2498"/>
      <c r="E2" s="2498"/>
      <c r="F2" s="2498"/>
      <c r="G2" s="2498"/>
      <c r="H2" s="2498"/>
      <c r="I2" s="2498"/>
      <c r="J2" s="2498"/>
      <c r="K2" s="2498"/>
      <c r="L2" s="2498"/>
      <c r="M2" s="2498"/>
      <c r="N2" s="2498"/>
      <c r="O2" s="2498"/>
      <c r="P2" s="2498"/>
      <c r="Q2" s="2498"/>
      <c r="R2" s="2498"/>
      <c r="S2" s="2498"/>
      <c r="T2" s="2498"/>
      <c r="X2" s="431"/>
    </row>
    <row r="3" spans="1:24" s="432" customFormat="1" ht="15" customHeight="1">
      <c r="A3" s="432" t="s">
        <v>1439</v>
      </c>
      <c r="B3" s="433"/>
      <c r="C3" s="433"/>
      <c r="X3" s="479"/>
    </row>
    <row r="4" spans="1:24" s="432" customFormat="1" ht="60" customHeight="1">
      <c r="B4" s="2499" t="str">
        <f>"　"&amp;【マスター】!C21&amp;"が開設する"&amp;【マスター】!C7&amp;【マスター】!E7&amp;"(以下「事業所」という。）が行う指定通所介護の事業（以下「事業」という。）の適正な運営を確保するために人員及び管理運営に関する事項を定め、事業所毎に置くべき従業者（以下「通所介護従業者」という。）が、要介護状態にある高齢者に対し、適正な指定通所介護を提供することを目的とします。"</f>
        <v>　株式会社ケアサポートが開設するデイサービスさつきの湯(以下「事業所」という。）が行う指定通所介護の事業（以下「事業」という。）の適正な運営を確保するために人員及び管理運営に関する事項を定め、事業所毎に置くべき従業者（以下「通所介護従業者」という。）が、要介護状態にある高齢者に対し、適正な指定通所介護を提供することを目的とします。</v>
      </c>
      <c r="C4" s="2499"/>
      <c r="D4" s="2499"/>
      <c r="E4" s="2499"/>
      <c r="F4" s="2499"/>
      <c r="G4" s="2499"/>
      <c r="H4" s="2499"/>
      <c r="I4" s="2499"/>
      <c r="J4" s="2499"/>
      <c r="K4" s="2499"/>
      <c r="L4" s="2499"/>
      <c r="M4" s="2499"/>
      <c r="N4" s="2499"/>
      <c r="O4" s="2499"/>
      <c r="P4" s="2499"/>
      <c r="Q4" s="2499"/>
      <c r="R4" s="2499"/>
      <c r="S4" s="2499"/>
      <c r="T4" s="2499"/>
      <c r="X4" s="434"/>
    </row>
    <row r="5" spans="1:24" s="432" customFormat="1" ht="15" customHeight="1">
      <c r="A5" s="432" t="s">
        <v>1440</v>
      </c>
      <c r="B5" s="433"/>
      <c r="C5" s="433"/>
      <c r="X5" s="434"/>
    </row>
    <row r="6" spans="1:24" s="432" customFormat="1" ht="90" customHeight="1">
      <c r="B6" s="2499" t="s">
        <v>1441</v>
      </c>
      <c r="C6" s="2499"/>
      <c r="D6" s="2499"/>
      <c r="E6" s="2499"/>
      <c r="F6" s="2499"/>
      <c r="G6" s="2499"/>
      <c r="H6" s="2499"/>
      <c r="I6" s="2499"/>
      <c r="J6" s="2499"/>
      <c r="K6" s="2499"/>
      <c r="L6" s="2499"/>
      <c r="M6" s="2499"/>
      <c r="N6" s="2499"/>
      <c r="O6" s="2499"/>
      <c r="P6" s="2499"/>
      <c r="Q6" s="2499"/>
      <c r="R6" s="2499"/>
      <c r="S6" s="2499"/>
      <c r="T6" s="2499"/>
      <c r="X6" s="434"/>
    </row>
    <row r="7" spans="1:24" s="432" customFormat="1" ht="15" customHeight="1">
      <c r="A7" s="432" t="s">
        <v>1442</v>
      </c>
      <c r="B7" s="433"/>
      <c r="C7" s="433"/>
      <c r="X7" s="434"/>
    </row>
    <row r="8" spans="1:24" s="432" customFormat="1" ht="15" customHeight="1">
      <c r="A8" s="435" t="s">
        <v>1443</v>
      </c>
      <c r="C8" s="433"/>
      <c r="X8" s="434"/>
    </row>
    <row r="9" spans="1:24" s="432" customFormat="1" ht="15" customHeight="1">
      <c r="A9" s="436"/>
      <c r="B9" s="2495" t="s">
        <v>300</v>
      </c>
      <c r="C9" s="2495"/>
      <c r="D9" s="2495"/>
      <c r="E9" s="2495"/>
      <c r="F9" s="2495"/>
      <c r="G9" s="437"/>
      <c r="H9" s="2500" t="str">
        <f>【マスター】!C21</f>
        <v>株式会社ケアサポート</v>
      </c>
      <c r="I9" s="2501"/>
      <c r="J9" s="2501"/>
      <c r="K9" s="2501"/>
      <c r="L9" s="2501"/>
      <c r="M9" s="2501"/>
      <c r="N9" s="2501"/>
      <c r="O9" s="2501"/>
      <c r="P9" s="2501"/>
      <c r="Q9" s="2501" t="s">
        <v>301</v>
      </c>
      <c r="R9" s="2501"/>
      <c r="S9" s="2501"/>
      <c r="T9" s="2502"/>
      <c r="X9" s="434"/>
    </row>
    <row r="10" spans="1:24" s="432" customFormat="1" ht="15" customHeight="1">
      <c r="A10" s="436"/>
      <c r="B10" s="2495" t="s">
        <v>302</v>
      </c>
      <c r="C10" s="2495"/>
      <c r="D10" s="2495"/>
      <c r="E10" s="2495"/>
      <c r="F10" s="2495"/>
      <c r="G10" s="438"/>
      <c r="H10" s="2503" t="str">
        <f>""&amp;【マスター】!C25&amp;"  "&amp;【マスター】!I25&amp;""</f>
        <v>代表取締役  本多康夫</v>
      </c>
      <c r="I10" s="2504"/>
      <c r="J10" s="2504"/>
      <c r="K10" s="2504"/>
      <c r="L10" s="2504"/>
      <c r="M10" s="2504"/>
      <c r="N10" s="2504"/>
      <c r="O10" s="2504"/>
      <c r="P10" s="2504"/>
      <c r="Q10" s="2504"/>
      <c r="R10" s="2504"/>
      <c r="S10" s="2504"/>
      <c r="T10" s="2505"/>
      <c r="X10" s="434"/>
    </row>
    <row r="11" spans="1:24" s="432" customFormat="1" ht="15" customHeight="1">
      <c r="A11" s="531"/>
      <c r="B11" s="2506" t="s">
        <v>303</v>
      </c>
      <c r="C11" s="2506"/>
      <c r="D11" s="2506"/>
      <c r="E11" s="2506"/>
      <c r="F11" s="2506"/>
      <c r="G11" s="532"/>
      <c r="H11" s="2509" t="s">
        <v>304</v>
      </c>
      <c r="I11" s="2510"/>
      <c r="J11" s="2510"/>
      <c r="K11" s="2511" t="str">
        <f>DBCS(【マスター】!F22&amp;" "&amp;【マスター】!C23)</f>
        <v>愛知県豊川市大堀町２９３番地　</v>
      </c>
      <c r="L11" s="2511"/>
      <c r="M11" s="2511"/>
      <c r="N11" s="2511"/>
      <c r="O11" s="2511"/>
      <c r="P11" s="2511"/>
      <c r="Q11" s="2511"/>
      <c r="R11" s="2511"/>
      <c r="S11" s="2511"/>
      <c r="T11" s="2512"/>
      <c r="X11" s="434"/>
    </row>
    <row r="12" spans="1:24" s="432" customFormat="1" ht="15" customHeight="1">
      <c r="A12" s="439"/>
      <c r="B12" s="2507"/>
      <c r="C12" s="2507"/>
      <c r="D12" s="2507"/>
      <c r="E12" s="2507"/>
      <c r="F12" s="2507"/>
      <c r="G12" s="440"/>
      <c r="H12" s="2513" t="s">
        <v>305</v>
      </c>
      <c r="I12" s="2514"/>
      <c r="J12" s="2514"/>
      <c r="K12" s="2515" t="str">
        <f>DBCS(【マスター】!C24)</f>
        <v>０５３３－６５－８７０２</v>
      </c>
      <c r="L12" s="2515"/>
      <c r="M12" s="2515"/>
      <c r="N12" s="2515"/>
      <c r="O12" s="2515"/>
      <c r="P12" s="2515"/>
      <c r="Q12" s="2515"/>
      <c r="R12" s="2515"/>
      <c r="S12" s="2515"/>
      <c r="T12" s="2516"/>
      <c r="X12" s="434"/>
    </row>
    <row r="13" spans="1:24" s="432" customFormat="1" ht="15" customHeight="1">
      <c r="A13" s="441"/>
      <c r="B13" s="2508"/>
      <c r="C13" s="2508"/>
      <c r="D13" s="2508"/>
      <c r="E13" s="2508"/>
      <c r="F13" s="2508"/>
      <c r="G13" s="442"/>
      <c r="H13" s="2517" t="s">
        <v>306</v>
      </c>
      <c r="I13" s="2518"/>
      <c r="J13" s="2518"/>
      <c r="K13" s="2519" t="str">
        <f>DBCS(【マスター】!I24)</f>
        <v>０５３３－６５－８７０３</v>
      </c>
      <c r="L13" s="2519"/>
      <c r="M13" s="2519"/>
      <c r="N13" s="2519"/>
      <c r="O13" s="2519"/>
      <c r="P13" s="2519"/>
      <c r="Q13" s="2519"/>
      <c r="R13" s="2519"/>
      <c r="S13" s="2519"/>
      <c r="T13" s="2520"/>
      <c r="X13" s="434"/>
    </row>
    <row r="14" spans="1:24" s="432" customFormat="1" ht="15" customHeight="1">
      <c r="A14" s="443" t="s">
        <v>309</v>
      </c>
      <c r="C14" s="433"/>
      <c r="X14" s="434"/>
    </row>
    <row r="15" spans="1:24" s="432" customFormat="1" ht="15" customHeight="1">
      <c r="A15" s="444"/>
      <c r="B15" s="2495" t="s">
        <v>78</v>
      </c>
      <c r="C15" s="2495"/>
      <c r="D15" s="2495"/>
      <c r="E15" s="2495"/>
      <c r="F15" s="2495"/>
      <c r="G15" s="437"/>
      <c r="H15" s="2496" t="str">
        <f>【マスター】!C7&amp;【マスター】!E7</f>
        <v>デイサービスさつきの湯</v>
      </c>
      <c r="I15" s="2496"/>
      <c r="J15" s="2496"/>
      <c r="K15" s="2496"/>
      <c r="L15" s="2496"/>
      <c r="M15" s="2496"/>
      <c r="N15" s="2496"/>
      <c r="O15" s="2496"/>
      <c r="P15" s="2496"/>
      <c r="Q15" s="2496"/>
      <c r="R15" s="2496"/>
      <c r="S15" s="2496"/>
      <c r="T15" s="2496"/>
      <c r="X15" s="434"/>
    </row>
    <row r="16" spans="1:24" s="432" customFormat="1" ht="15" customHeight="1">
      <c r="A16" s="533"/>
      <c r="B16" s="2506" t="s">
        <v>303</v>
      </c>
      <c r="C16" s="2506"/>
      <c r="D16" s="2506"/>
      <c r="E16" s="2506"/>
      <c r="F16" s="2506"/>
      <c r="G16" s="532"/>
      <c r="H16" s="2509" t="s">
        <v>304</v>
      </c>
      <c r="I16" s="2510"/>
      <c r="J16" s="2510"/>
      <c r="K16" s="2511" t="str">
        <f>DBCS(【マスター】!F8)</f>
        <v>愛知県豊川市八幡町本郷１４番地１</v>
      </c>
      <c r="L16" s="2511"/>
      <c r="M16" s="2511"/>
      <c r="N16" s="2511"/>
      <c r="O16" s="2511"/>
      <c r="P16" s="2511"/>
      <c r="Q16" s="2511"/>
      <c r="R16" s="2511"/>
      <c r="S16" s="2511"/>
      <c r="T16" s="2512"/>
      <c r="X16" s="434"/>
    </row>
    <row r="17" spans="1:24" s="432" customFormat="1" ht="15" customHeight="1">
      <c r="A17" s="445"/>
      <c r="B17" s="2507"/>
      <c r="C17" s="2507"/>
      <c r="D17" s="2507"/>
      <c r="E17" s="2507"/>
      <c r="F17" s="2507"/>
      <c r="G17" s="440"/>
      <c r="H17" s="2513" t="s">
        <v>305</v>
      </c>
      <c r="I17" s="2514"/>
      <c r="J17" s="2514"/>
      <c r="K17" s="2515" t="str">
        <f>DBCS(【マスター】!C9)</f>
        <v>０５３３－５６－７０８７</v>
      </c>
      <c r="L17" s="2515"/>
      <c r="M17" s="2515"/>
      <c r="N17" s="2515"/>
      <c r="O17" s="2515"/>
      <c r="P17" s="2515"/>
      <c r="Q17" s="2515"/>
      <c r="R17" s="2515"/>
      <c r="S17" s="2515"/>
      <c r="T17" s="2516"/>
      <c r="X17" s="434"/>
    </row>
    <row r="18" spans="1:24" s="432" customFormat="1" ht="15" customHeight="1">
      <c r="A18" s="445"/>
      <c r="B18" s="2507"/>
      <c r="C18" s="2507"/>
      <c r="D18" s="2507"/>
      <c r="E18" s="2507"/>
      <c r="F18" s="2507"/>
      <c r="G18" s="440"/>
      <c r="H18" s="2517" t="s">
        <v>306</v>
      </c>
      <c r="I18" s="2518"/>
      <c r="J18" s="2518"/>
      <c r="K18" s="2519" t="str">
        <f>DBCS(【マスター】!I9)</f>
        <v>０５３３－５６－７０８８</v>
      </c>
      <c r="L18" s="2519"/>
      <c r="M18" s="2519"/>
      <c r="N18" s="2519"/>
      <c r="O18" s="2519"/>
      <c r="P18" s="2519"/>
      <c r="Q18" s="2519"/>
      <c r="R18" s="2519"/>
      <c r="S18" s="2519"/>
      <c r="T18" s="2520"/>
      <c r="X18" s="434"/>
    </row>
    <row r="19" spans="1:24" s="432" customFormat="1" ht="15" customHeight="1">
      <c r="A19" s="444"/>
      <c r="B19" s="2495" t="s">
        <v>89</v>
      </c>
      <c r="C19" s="2495"/>
      <c r="D19" s="2495"/>
      <c r="E19" s="2495"/>
      <c r="F19" s="2495"/>
      <c r="G19" s="438"/>
      <c r="H19" s="2524" t="str">
        <f>DBCS(【マスター】!C10&amp;【マスター】!D10&amp;【マスター】!E10&amp;【マスター】!F10&amp;【マスター】!G10&amp;【マスター】!H10&amp;【マスター】!I10&amp;【マスター】!J10&amp;【マスター】!K10&amp;【マスター】!L10)</f>
        <v>２３７２６０２８６８</v>
      </c>
      <c r="I19" s="2524"/>
      <c r="J19" s="2524"/>
      <c r="K19" s="2524"/>
      <c r="L19" s="2524"/>
      <c r="M19" s="2524"/>
      <c r="N19" s="2524"/>
      <c r="O19" s="2524"/>
      <c r="P19" s="2524"/>
      <c r="Q19" s="2524"/>
      <c r="R19" s="2524"/>
      <c r="S19" s="2524"/>
      <c r="T19" s="2524"/>
      <c r="X19" s="434"/>
    </row>
    <row r="20" spans="1:24" s="432" customFormat="1" ht="15" customHeight="1">
      <c r="A20" s="444"/>
      <c r="B20" s="2495" t="s">
        <v>310</v>
      </c>
      <c r="C20" s="2495"/>
      <c r="D20" s="2495"/>
      <c r="E20" s="2495"/>
      <c r="F20" s="2495"/>
      <c r="G20" s="438"/>
      <c r="H20" s="2524" t="str">
        <f>【マスター】!C20</f>
        <v>繁原　秀章</v>
      </c>
      <c r="I20" s="2524"/>
      <c r="J20" s="2524"/>
      <c r="K20" s="2524"/>
      <c r="L20" s="2524"/>
      <c r="M20" s="2524"/>
      <c r="N20" s="2524"/>
      <c r="O20" s="2524"/>
      <c r="P20" s="2524"/>
      <c r="Q20" s="2524"/>
      <c r="R20" s="2524"/>
      <c r="S20" s="2524"/>
      <c r="T20" s="2524"/>
      <c r="X20" s="434"/>
    </row>
    <row r="21" spans="1:24" s="432" customFormat="1" ht="15" customHeight="1">
      <c r="A21" s="444"/>
      <c r="B21" s="2495" t="s">
        <v>311</v>
      </c>
      <c r="C21" s="2495"/>
      <c r="D21" s="2495"/>
      <c r="E21" s="2495"/>
      <c r="F21" s="2495"/>
      <c r="G21" s="438"/>
      <c r="H21" s="2525" t="s">
        <v>1444</v>
      </c>
      <c r="I21" s="2526"/>
      <c r="J21" s="2526"/>
      <c r="K21" s="2526"/>
      <c r="L21" s="2526"/>
      <c r="M21" s="2526"/>
      <c r="N21" s="446" t="str">
        <f>DBCS(【マスター】!C17)</f>
        <v>２０</v>
      </c>
      <c r="O21" s="2526" t="s">
        <v>313</v>
      </c>
      <c r="P21" s="2526"/>
      <c r="Q21" s="447"/>
      <c r="R21" s="447"/>
      <c r="S21" s="447"/>
      <c r="T21" s="448"/>
      <c r="X21" s="434"/>
    </row>
    <row r="22" spans="1:24" s="432" customFormat="1" ht="15" customHeight="1">
      <c r="A22" s="443" t="s">
        <v>315</v>
      </c>
      <c r="C22" s="433"/>
      <c r="X22" s="434"/>
    </row>
    <row r="23" spans="1:24" s="432" customFormat="1" ht="15" customHeight="1">
      <c r="A23" s="2535" t="s">
        <v>145</v>
      </c>
      <c r="B23" s="2535"/>
      <c r="C23" s="2535"/>
      <c r="D23" s="2535"/>
      <c r="E23" s="2535"/>
      <c r="F23" s="2536" t="s">
        <v>146</v>
      </c>
      <c r="G23" s="2537"/>
      <c r="H23" s="2540" t="s">
        <v>316</v>
      </c>
      <c r="I23" s="2540"/>
      <c r="J23" s="2540"/>
      <c r="K23" s="2540"/>
      <c r="L23" s="2540"/>
      <c r="M23" s="2540"/>
      <c r="N23" s="2540"/>
      <c r="O23" s="2540"/>
      <c r="P23" s="2509" t="s">
        <v>317</v>
      </c>
      <c r="Q23" s="2510"/>
      <c r="R23" s="2510"/>
      <c r="S23" s="2510"/>
      <c r="T23" s="2541"/>
      <c r="X23" s="434"/>
    </row>
    <row r="24" spans="1:24" s="432" customFormat="1" ht="15" customHeight="1">
      <c r="A24" s="2535"/>
      <c r="B24" s="2535"/>
      <c r="C24" s="2535"/>
      <c r="D24" s="2535"/>
      <c r="E24" s="2535"/>
      <c r="F24" s="2538"/>
      <c r="G24" s="2539"/>
      <c r="H24" s="2521" t="s">
        <v>318</v>
      </c>
      <c r="I24" s="2521"/>
      <c r="J24" s="2521" t="s">
        <v>319</v>
      </c>
      <c r="K24" s="2521"/>
      <c r="L24" s="2521" t="s">
        <v>320</v>
      </c>
      <c r="M24" s="2521"/>
      <c r="N24" s="2521" t="s">
        <v>321</v>
      </c>
      <c r="O24" s="2521"/>
      <c r="P24" s="2513"/>
      <c r="Q24" s="2514"/>
      <c r="R24" s="2514"/>
      <c r="S24" s="2514"/>
      <c r="T24" s="2542"/>
      <c r="X24" s="434"/>
    </row>
    <row r="25" spans="1:24" s="432" customFormat="1" ht="15" customHeight="1">
      <c r="A25" s="2535"/>
      <c r="B25" s="2535"/>
      <c r="C25" s="2535"/>
      <c r="D25" s="2535"/>
      <c r="E25" s="2535"/>
      <c r="F25" s="2522" t="s">
        <v>148</v>
      </c>
      <c r="G25" s="2523"/>
      <c r="H25" s="2522" t="s">
        <v>148</v>
      </c>
      <c r="I25" s="2523"/>
      <c r="J25" s="2522" t="s">
        <v>148</v>
      </c>
      <c r="K25" s="2523"/>
      <c r="L25" s="2522" t="s">
        <v>148</v>
      </c>
      <c r="M25" s="2523"/>
      <c r="N25" s="2522" t="s">
        <v>148</v>
      </c>
      <c r="O25" s="2523"/>
      <c r="P25" s="2543"/>
      <c r="Q25" s="2544"/>
      <c r="R25" s="2544"/>
      <c r="S25" s="2544"/>
      <c r="T25" s="2545"/>
      <c r="X25" s="434"/>
    </row>
    <row r="26" spans="1:24" s="432" customFormat="1" ht="15" customHeight="1">
      <c r="A26" s="2532" t="s">
        <v>322</v>
      </c>
      <c r="B26" s="2532"/>
      <c r="C26" s="2532"/>
      <c r="D26" s="2532"/>
      <c r="E26" s="2532"/>
      <c r="F26" s="2527" t="str">
        <f>DBCS(【マスター】!C31)</f>
        <v>０</v>
      </c>
      <c r="G26" s="2528"/>
      <c r="H26" s="2527" t="str">
        <f>DBCS(【マスター】!D31)</f>
        <v/>
      </c>
      <c r="I26" s="2528"/>
      <c r="J26" s="2527" t="str">
        <f>DBCS(【マスター】!F31)</f>
        <v/>
      </c>
      <c r="K26" s="2528"/>
      <c r="L26" s="2533"/>
      <c r="M26" s="2534"/>
      <c r="N26" s="2533"/>
      <c r="O26" s="2534"/>
      <c r="P26" s="2529" t="s">
        <v>323</v>
      </c>
      <c r="Q26" s="2530"/>
      <c r="R26" s="2530"/>
      <c r="S26" s="2530"/>
      <c r="T26" s="2531"/>
      <c r="X26" s="434"/>
    </row>
    <row r="27" spans="1:24" s="432" customFormat="1" ht="15" customHeight="1">
      <c r="A27" s="2532" t="s">
        <v>154</v>
      </c>
      <c r="B27" s="2532"/>
      <c r="C27" s="2532"/>
      <c r="D27" s="2532"/>
      <c r="E27" s="2532"/>
      <c r="F27" s="2527" t="str">
        <f>DBCS(【マスター】!C32)</f>
        <v>０</v>
      </c>
      <c r="G27" s="2528"/>
      <c r="H27" s="2527" t="str">
        <f>DBCS(【マスター】!D32)</f>
        <v/>
      </c>
      <c r="I27" s="2528"/>
      <c r="J27" s="2527" t="str">
        <f>DBCS(【マスター】!F32)</f>
        <v/>
      </c>
      <c r="K27" s="2528"/>
      <c r="L27" s="2527" t="str">
        <f>DBCS(【マスター】!H32)</f>
        <v/>
      </c>
      <c r="M27" s="2528"/>
      <c r="N27" s="2527" t="str">
        <f>DBCS(【マスター】!J32)</f>
        <v/>
      </c>
      <c r="O27" s="2528"/>
      <c r="P27" s="2529" t="s">
        <v>324</v>
      </c>
      <c r="Q27" s="2530"/>
      <c r="R27" s="2530"/>
      <c r="S27" s="2530"/>
      <c r="T27" s="2531"/>
      <c r="X27" s="434"/>
    </row>
    <row r="28" spans="1:24" s="432" customFormat="1" ht="15" customHeight="1">
      <c r="A28" s="2532" t="s">
        <v>325</v>
      </c>
      <c r="B28" s="2532"/>
      <c r="C28" s="2532"/>
      <c r="D28" s="2532"/>
      <c r="E28" s="2532"/>
      <c r="F28" s="2527" t="str">
        <f>DBCS(【マスター】!C33)</f>
        <v>０</v>
      </c>
      <c r="G28" s="2528"/>
      <c r="H28" s="2527" t="str">
        <f>DBCS(【マスター】!D33)</f>
        <v/>
      </c>
      <c r="I28" s="2528"/>
      <c r="J28" s="2527" t="str">
        <f>DBCS(【マスター】!F33)</f>
        <v/>
      </c>
      <c r="K28" s="2528"/>
      <c r="L28" s="2527" t="str">
        <f>DBCS(【マスター】!H33)</f>
        <v/>
      </c>
      <c r="M28" s="2528"/>
      <c r="N28" s="2527" t="str">
        <f>DBCS(【マスター】!J33)</f>
        <v/>
      </c>
      <c r="O28" s="2528"/>
      <c r="P28" s="2529" t="s">
        <v>326</v>
      </c>
      <c r="Q28" s="2530"/>
      <c r="R28" s="2530"/>
      <c r="S28" s="2530"/>
      <c r="T28" s="2531"/>
      <c r="X28" s="434"/>
    </row>
    <row r="29" spans="1:24" s="432" customFormat="1" ht="15" customHeight="1">
      <c r="A29" s="2532" t="s">
        <v>156</v>
      </c>
      <c r="B29" s="2532"/>
      <c r="C29" s="2532"/>
      <c r="D29" s="2532"/>
      <c r="E29" s="2532"/>
      <c r="F29" s="2527" t="str">
        <f>DBCS(【マスター】!C34)</f>
        <v>０</v>
      </c>
      <c r="G29" s="2528"/>
      <c r="H29" s="2527" t="str">
        <f>DBCS(【マスター】!D34)</f>
        <v/>
      </c>
      <c r="I29" s="2528"/>
      <c r="J29" s="2527" t="str">
        <f>DBCS(【マスター】!F34)</f>
        <v/>
      </c>
      <c r="K29" s="2528"/>
      <c r="L29" s="2527" t="str">
        <f>DBCS(【マスター】!H34)</f>
        <v/>
      </c>
      <c r="M29" s="2528"/>
      <c r="N29" s="2527" t="str">
        <f>DBCS(【マスター】!J34)</f>
        <v/>
      </c>
      <c r="O29" s="2528"/>
      <c r="P29" s="2529" t="s">
        <v>327</v>
      </c>
      <c r="Q29" s="2530"/>
      <c r="R29" s="2530"/>
      <c r="S29" s="2530"/>
      <c r="T29" s="2531"/>
      <c r="X29" s="434"/>
    </row>
    <row r="30" spans="1:24" s="432" customFormat="1" ht="15" customHeight="1">
      <c r="A30" s="2532" t="s">
        <v>1445</v>
      </c>
      <c r="B30" s="2532"/>
      <c r="C30" s="2532"/>
      <c r="D30" s="2532"/>
      <c r="E30" s="2532"/>
      <c r="F30" s="2527" t="str">
        <f>DBCS(【マスター】!C35)</f>
        <v>０</v>
      </c>
      <c r="G30" s="2528"/>
      <c r="H30" s="2527" t="str">
        <f>DBCS(【マスター】!D35)</f>
        <v/>
      </c>
      <c r="I30" s="2528"/>
      <c r="J30" s="2527" t="str">
        <f>DBCS(【マスター】!F35)</f>
        <v/>
      </c>
      <c r="K30" s="2528"/>
      <c r="L30" s="2527" t="str">
        <f>DBCS(【マスター】!H35)</f>
        <v/>
      </c>
      <c r="M30" s="2528"/>
      <c r="N30" s="2527" t="str">
        <f>DBCS(【マスター】!J35)</f>
        <v/>
      </c>
      <c r="O30" s="2528"/>
      <c r="P30" s="2529" t="s">
        <v>328</v>
      </c>
      <c r="Q30" s="2530"/>
      <c r="R30" s="2530"/>
      <c r="S30" s="2530"/>
      <c r="T30" s="2531"/>
      <c r="V30" s="432" t="s">
        <v>1446</v>
      </c>
      <c r="X30" s="434"/>
    </row>
    <row r="31" spans="1:24" s="432" customFormat="1" ht="15" customHeight="1">
      <c r="A31" s="443" t="s">
        <v>340</v>
      </c>
      <c r="C31" s="433"/>
      <c r="X31" s="434"/>
    </row>
    <row r="32" spans="1:24" s="432" customFormat="1" ht="15" customHeight="1">
      <c r="A32" s="2525" t="s">
        <v>341</v>
      </c>
      <c r="B32" s="2526"/>
      <c r="C32" s="2526"/>
      <c r="D32" s="2526"/>
      <c r="E32" s="2549"/>
      <c r="F32" s="2500" t="str">
        <f>""&amp;【マスター】!C16&amp;IF(【マスター】!E16=0," ","・")&amp;【マスター】!E16&amp;""&amp;IF(【マスター】!G16=0," ","・")&amp;【マスター】!G16&amp;""&amp;IF(【マスター】!I16=0," ","・")&amp;【マスター】!I16&amp;""&amp;IF(【マスター】!K16=0," ","・")&amp;【マスター】!K16&amp;""</f>
        <v xml:space="preserve">豊川市・豊橋市   </v>
      </c>
      <c r="G32" s="2501"/>
      <c r="H32" s="2501"/>
      <c r="I32" s="2501"/>
      <c r="J32" s="2501"/>
      <c r="K32" s="2501"/>
      <c r="L32" s="2501"/>
      <c r="M32" s="2501"/>
      <c r="N32" s="2501"/>
      <c r="O32" s="2501"/>
      <c r="P32" s="2501"/>
      <c r="Q32" s="2501"/>
      <c r="R32" s="2501"/>
      <c r="S32" s="2501"/>
      <c r="T32" s="2502"/>
      <c r="X32" s="434"/>
    </row>
    <row r="33" spans="1:24" s="432" customFormat="1" ht="15" customHeight="1">
      <c r="A33" s="443" t="s">
        <v>343</v>
      </c>
      <c r="C33" s="449"/>
      <c r="D33" s="449"/>
      <c r="E33" s="449"/>
      <c r="F33" s="449"/>
      <c r="G33" s="449"/>
      <c r="H33" s="449"/>
      <c r="I33" s="449"/>
      <c r="J33" s="449"/>
      <c r="K33" s="449"/>
      <c r="L33" s="449"/>
      <c r="M33" s="449"/>
      <c r="N33" s="449"/>
      <c r="O33" s="449"/>
      <c r="P33" s="449"/>
      <c r="Q33" s="449"/>
      <c r="R33" s="449"/>
      <c r="S33" s="449"/>
      <c r="T33" s="449"/>
      <c r="X33" s="434"/>
    </row>
    <row r="34" spans="1:24" s="432" customFormat="1" ht="15" customHeight="1">
      <c r="A34" s="531"/>
      <c r="B34" s="2506" t="s">
        <v>344</v>
      </c>
      <c r="C34" s="2506"/>
      <c r="D34" s="2506"/>
      <c r="E34" s="2506"/>
      <c r="F34" s="2506"/>
      <c r="G34" s="532"/>
      <c r="H34" s="2549" t="str">
        <f>【マスター】!K15</f>
        <v>月曜日～土曜日</v>
      </c>
      <c r="I34" s="2554"/>
      <c r="J34" s="2554"/>
      <c r="K34" s="2554"/>
      <c r="L34" s="2554"/>
      <c r="M34" s="2554"/>
      <c r="N34" s="2554"/>
      <c r="O34" s="449"/>
      <c r="P34" s="449"/>
      <c r="Q34" s="449"/>
      <c r="R34" s="449"/>
      <c r="S34" s="449"/>
      <c r="T34" s="449"/>
      <c r="X34" s="434"/>
    </row>
    <row r="35" spans="1:24" s="432" customFormat="1" ht="15" customHeight="1">
      <c r="A35" s="436"/>
      <c r="B35" s="2495" t="s">
        <v>345</v>
      </c>
      <c r="C35" s="2495"/>
      <c r="D35" s="2495"/>
      <c r="E35" s="2495"/>
      <c r="F35" s="2495"/>
      <c r="G35" s="437"/>
      <c r="H35" s="2555" t="str">
        <f>DBCS(【マスター】!C12&amp;【マスター】!D12&amp;【マスター】!E12)</f>
        <v>８：３０～１７：４０</v>
      </c>
      <c r="I35" s="2556"/>
      <c r="J35" s="2556"/>
      <c r="K35" s="2556"/>
      <c r="L35" s="2556"/>
      <c r="M35" s="2556"/>
      <c r="N35" s="2557"/>
      <c r="O35" s="449"/>
      <c r="P35" s="449"/>
      <c r="Q35" s="449"/>
      <c r="R35" s="449"/>
      <c r="S35" s="449"/>
      <c r="T35" s="449"/>
      <c r="X35" s="434"/>
    </row>
    <row r="36" spans="1:24" s="432" customFormat="1" ht="15" customHeight="1">
      <c r="A36" s="436"/>
      <c r="B36" s="2495" t="s">
        <v>95</v>
      </c>
      <c r="C36" s="2495"/>
      <c r="D36" s="2495"/>
      <c r="E36" s="2495"/>
      <c r="F36" s="2495"/>
      <c r="G36" s="437"/>
      <c r="H36" s="2546" t="str">
        <f>DBCS(【マスター】!I12&amp;【マスター】!J12&amp;【マスター】!K12)</f>
        <v>９：３０～１６：４０</v>
      </c>
      <c r="I36" s="2547"/>
      <c r="J36" s="2547"/>
      <c r="K36" s="2547"/>
      <c r="L36" s="2547"/>
      <c r="M36" s="2547"/>
      <c r="N36" s="2548"/>
      <c r="O36" s="449"/>
      <c r="P36" s="449"/>
      <c r="Q36" s="449"/>
      <c r="R36" s="449"/>
      <c r="S36" s="449"/>
      <c r="T36" s="449"/>
      <c r="X36" s="434"/>
    </row>
    <row r="37" spans="1:24" s="450" customFormat="1" ht="15" customHeight="1">
      <c r="A37" s="432"/>
      <c r="B37" s="433"/>
      <c r="C37" s="449"/>
      <c r="D37" s="449"/>
      <c r="E37" s="449"/>
      <c r="F37" s="449"/>
      <c r="H37" s="432" t="str">
        <f>IF(【マスター】!C13="","","※ただし送迎対応時間は、"&amp;【マスター】!C13&amp;【マスター】!D13&amp;【マスター】!E13&amp;"とします。")</f>
        <v>※ただし送迎対応時間は、7:00～21:00とします。</v>
      </c>
      <c r="I37" s="449"/>
      <c r="J37" s="449"/>
      <c r="K37" s="449"/>
      <c r="L37" s="449"/>
      <c r="M37" s="449"/>
      <c r="N37" s="449"/>
      <c r="O37" s="449"/>
      <c r="P37" s="449"/>
      <c r="Q37" s="449"/>
      <c r="R37" s="449"/>
      <c r="S37" s="449"/>
      <c r="T37" s="449"/>
      <c r="V37" s="432"/>
      <c r="X37" s="451"/>
    </row>
    <row r="38" spans="1:24" s="432" customFormat="1" ht="15" customHeight="1">
      <c r="A38" s="430" t="s">
        <v>1447</v>
      </c>
      <c r="B38" s="433"/>
      <c r="C38" s="433"/>
      <c r="X38" s="434"/>
    </row>
    <row r="39" spans="1:24" s="432" customFormat="1" ht="15" customHeight="1">
      <c r="A39" s="2532" t="s">
        <v>349</v>
      </c>
      <c r="B39" s="2532"/>
      <c r="C39" s="2532"/>
      <c r="D39" s="2532"/>
      <c r="E39" s="2532"/>
      <c r="F39" s="2525" t="s">
        <v>350</v>
      </c>
      <c r="G39" s="2526"/>
      <c r="H39" s="2526"/>
      <c r="I39" s="2526"/>
      <c r="J39" s="2526"/>
      <c r="K39" s="2526"/>
      <c r="L39" s="2526"/>
      <c r="M39" s="2526"/>
      <c r="N39" s="2526"/>
      <c r="O39" s="2526"/>
      <c r="P39" s="2526"/>
      <c r="Q39" s="2526"/>
      <c r="R39" s="2526"/>
      <c r="S39" s="2526"/>
      <c r="T39" s="2549"/>
      <c r="X39" s="434"/>
    </row>
    <row r="40" spans="1:24" s="432" customFormat="1" ht="15" customHeight="1">
      <c r="A40" s="534"/>
      <c r="B40" s="2550" t="s">
        <v>353</v>
      </c>
      <c r="C40" s="2550"/>
      <c r="D40" s="2550"/>
      <c r="E40" s="535"/>
      <c r="F40" s="2551" t="str">
        <f>IF(【マスター】!C71="",通所重説!AA54,通所重説!AA53)</f>
        <v>食事（昼食及び延長加算算定時の朝食、夕食）を提供します。</v>
      </c>
      <c r="G40" s="2552"/>
      <c r="H40" s="2552"/>
      <c r="I40" s="2552"/>
      <c r="J40" s="2552"/>
      <c r="K40" s="2552"/>
      <c r="L40" s="2552"/>
      <c r="M40" s="2552"/>
      <c r="N40" s="2552"/>
      <c r="O40" s="2552"/>
      <c r="P40" s="2552"/>
      <c r="Q40" s="2552"/>
      <c r="R40" s="2552"/>
      <c r="S40" s="2552"/>
      <c r="T40" s="2553"/>
      <c r="X40" s="479"/>
    </row>
    <row r="41" spans="1:24" s="432" customFormat="1" ht="15" customHeight="1">
      <c r="A41" s="534"/>
      <c r="B41" s="2550" t="s">
        <v>356</v>
      </c>
      <c r="C41" s="2550"/>
      <c r="D41" s="2550"/>
      <c r="E41" s="535"/>
      <c r="F41" s="2551" t="s">
        <v>1448</v>
      </c>
      <c r="G41" s="2552"/>
      <c r="H41" s="2552"/>
      <c r="I41" s="2552"/>
      <c r="J41" s="2552"/>
      <c r="K41" s="2552"/>
      <c r="L41" s="2552"/>
      <c r="M41" s="2552"/>
      <c r="N41" s="2552"/>
      <c r="O41" s="2552"/>
      <c r="P41" s="2552"/>
      <c r="Q41" s="2552"/>
      <c r="R41" s="2552"/>
      <c r="S41" s="2552"/>
      <c r="T41" s="2553"/>
      <c r="X41" s="434"/>
    </row>
    <row r="42" spans="1:24" s="432" customFormat="1" ht="30" customHeight="1">
      <c r="A42" s="534"/>
      <c r="B42" s="2550" t="s">
        <v>359</v>
      </c>
      <c r="C42" s="2550"/>
      <c r="D42" s="2550"/>
      <c r="E42" s="535"/>
      <c r="F42" s="2558" t="s">
        <v>1449</v>
      </c>
      <c r="G42" s="2560"/>
      <c r="H42" s="2560"/>
      <c r="I42" s="2560"/>
      <c r="J42" s="2560"/>
      <c r="K42" s="2560"/>
      <c r="L42" s="2560"/>
      <c r="M42" s="2560"/>
      <c r="N42" s="2560"/>
      <c r="O42" s="2560"/>
      <c r="P42" s="2560"/>
      <c r="Q42" s="2560"/>
      <c r="R42" s="2560"/>
      <c r="S42" s="2560"/>
      <c r="T42" s="2561"/>
      <c r="X42" s="434"/>
    </row>
    <row r="43" spans="1:24" s="432" customFormat="1" ht="30" customHeight="1">
      <c r="A43" s="534"/>
      <c r="B43" s="2550" t="s">
        <v>361</v>
      </c>
      <c r="C43" s="2550"/>
      <c r="D43" s="2550"/>
      <c r="E43" s="535"/>
      <c r="F43" s="2558" t="s">
        <v>362</v>
      </c>
      <c r="G43" s="2560"/>
      <c r="H43" s="2560"/>
      <c r="I43" s="2560"/>
      <c r="J43" s="2560"/>
      <c r="K43" s="2560"/>
      <c r="L43" s="2560"/>
      <c r="M43" s="2560"/>
      <c r="N43" s="2560"/>
      <c r="O43" s="2560"/>
      <c r="P43" s="2560"/>
      <c r="Q43" s="2560"/>
      <c r="R43" s="2560"/>
      <c r="S43" s="2560"/>
      <c r="T43" s="2561"/>
      <c r="X43" s="434"/>
    </row>
    <row r="44" spans="1:24" s="432" customFormat="1" ht="30" customHeight="1">
      <c r="A44" s="534"/>
      <c r="B44" s="2550" t="s">
        <v>363</v>
      </c>
      <c r="C44" s="2550"/>
      <c r="D44" s="2550"/>
      <c r="E44" s="535"/>
      <c r="F44" s="2558" t="s">
        <v>1450</v>
      </c>
      <c r="G44" s="2552"/>
      <c r="H44" s="2552"/>
      <c r="I44" s="2552"/>
      <c r="J44" s="2552"/>
      <c r="K44" s="2552"/>
      <c r="L44" s="2552"/>
      <c r="M44" s="2552"/>
      <c r="N44" s="2552"/>
      <c r="O44" s="2552"/>
      <c r="P44" s="2552"/>
      <c r="Q44" s="2552"/>
      <c r="R44" s="2552"/>
      <c r="S44" s="2552"/>
      <c r="T44" s="2553"/>
      <c r="X44" s="434"/>
    </row>
    <row r="45" spans="1:24" s="432" customFormat="1" ht="15" customHeight="1">
      <c r="A45" s="534"/>
      <c r="B45" s="2550" t="s">
        <v>366</v>
      </c>
      <c r="C45" s="2550"/>
      <c r="D45" s="2550"/>
      <c r="E45" s="535"/>
      <c r="F45" s="2551" t="s">
        <v>1451</v>
      </c>
      <c r="G45" s="2552"/>
      <c r="H45" s="2552"/>
      <c r="I45" s="2552"/>
      <c r="J45" s="2552"/>
      <c r="K45" s="2552"/>
      <c r="L45" s="2552"/>
      <c r="M45" s="2552"/>
      <c r="N45" s="2552"/>
      <c r="O45" s="2552"/>
      <c r="P45" s="2552"/>
      <c r="Q45" s="2552"/>
      <c r="R45" s="2552"/>
      <c r="S45" s="2552"/>
      <c r="T45" s="2553"/>
      <c r="X45" s="434"/>
    </row>
    <row r="46" spans="1:24" s="432" customFormat="1" ht="15" customHeight="1">
      <c r="A46" s="452"/>
      <c r="B46" s="2559" t="s">
        <v>368</v>
      </c>
      <c r="C46" s="2559"/>
      <c r="D46" s="2559"/>
      <c r="E46" s="453"/>
      <c r="F46" s="2503" t="s">
        <v>1452</v>
      </c>
      <c r="G46" s="2504"/>
      <c r="H46" s="2504"/>
      <c r="I46" s="2504"/>
      <c r="J46" s="2504"/>
      <c r="K46" s="2504"/>
      <c r="L46" s="2504"/>
      <c r="M46" s="2504"/>
      <c r="N46" s="2504"/>
      <c r="O46" s="2504"/>
      <c r="P46" s="2504"/>
      <c r="Q46" s="2504"/>
      <c r="R46" s="2504"/>
      <c r="S46" s="2504"/>
      <c r="T46" s="2505"/>
      <c r="X46" s="434"/>
    </row>
    <row r="47" spans="1:24" s="432" customFormat="1" ht="30" customHeight="1">
      <c r="A47" s="452"/>
      <c r="B47" s="2559" t="s">
        <v>370</v>
      </c>
      <c r="C47" s="2559"/>
      <c r="D47" s="2559"/>
      <c r="E47" s="453"/>
      <c r="F47" s="2503" t="s">
        <v>1453</v>
      </c>
      <c r="G47" s="2504"/>
      <c r="H47" s="2504"/>
      <c r="I47" s="2504"/>
      <c r="J47" s="2504"/>
      <c r="K47" s="2504"/>
      <c r="L47" s="2504"/>
      <c r="M47" s="2504"/>
      <c r="N47" s="2504"/>
      <c r="O47" s="2504"/>
      <c r="P47" s="2504"/>
      <c r="Q47" s="2504"/>
      <c r="R47" s="2504"/>
      <c r="S47" s="2504"/>
      <c r="T47" s="2505"/>
      <c r="X47" s="434"/>
    </row>
    <row r="48" spans="1:24" s="432" customFormat="1" ht="15" customHeight="1">
      <c r="A48" s="454" t="s">
        <v>534</v>
      </c>
      <c r="B48" s="455"/>
      <c r="C48" s="456"/>
      <c r="D48" s="456"/>
      <c r="E48" s="456"/>
      <c r="F48" s="456"/>
      <c r="G48" s="456"/>
      <c r="H48" s="456"/>
      <c r="I48" s="457"/>
      <c r="J48" s="457"/>
      <c r="K48" s="457"/>
      <c r="L48" s="457"/>
      <c r="M48" s="457"/>
      <c r="N48" s="457"/>
      <c r="O48" s="457"/>
      <c r="P48" s="457"/>
      <c r="Q48" s="457"/>
      <c r="R48" s="457"/>
      <c r="S48" s="457"/>
      <c r="T48" s="457"/>
      <c r="X48" s="434"/>
    </row>
    <row r="49" spans="1:24" s="432" customFormat="1" ht="15" customHeight="1">
      <c r="A49" s="2564" t="str">
        <f>IF((【マスター】!C73="")*AND(【マスター】!C74="")*AND(【マスター】!C75=""),【マスター】!P77,VLOOKUP("有",【マスター】!C73:S77,4,FALSE))</f>
        <v>（１ヶ月の利用合計単位数＋１ヶ月の利用合計単位数×９．０％）×　地域単価</v>
      </c>
      <c r="B49" s="2564"/>
      <c r="C49" s="2564"/>
      <c r="D49" s="2564"/>
      <c r="E49" s="2564"/>
      <c r="F49" s="2564"/>
      <c r="G49" s="2564"/>
      <c r="H49" s="2564"/>
      <c r="I49" s="2564"/>
      <c r="J49" s="2564"/>
      <c r="K49" s="2564"/>
      <c r="L49" s="2564"/>
      <c r="M49" s="2564"/>
      <c r="N49" s="2564"/>
      <c r="O49" s="2564"/>
      <c r="P49" s="2564"/>
      <c r="Q49" s="2564"/>
      <c r="R49" s="2564"/>
      <c r="S49" s="2564"/>
      <c r="T49" s="2564"/>
      <c r="X49" s="434"/>
    </row>
    <row r="50" spans="1:24" s="432" customFormat="1" ht="15" customHeight="1">
      <c r="A50" s="458" t="s">
        <v>535</v>
      </c>
      <c r="B50" s="455"/>
      <c r="C50" s="456"/>
      <c r="D50" s="456"/>
      <c r="E50" s="456"/>
      <c r="F50" s="456"/>
      <c r="G50" s="456"/>
      <c r="H50" s="456"/>
      <c r="I50" s="457"/>
      <c r="J50" s="457"/>
      <c r="K50" s="457"/>
      <c r="L50" s="457"/>
      <c r="M50" s="457"/>
      <c r="N50" s="457"/>
      <c r="O50" s="457"/>
      <c r="P50" s="457"/>
      <c r="Q50" s="457"/>
      <c r="R50" s="457"/>
      <c r="S50" s="457"/>
      <c r="T50" s="457"/>
      <c r="X50" s="434"/>
    </row>
    <row r="51" spans="1:24" s="432" customFormat="1" ht="15" customHeight="1">
      <c r="A51" s="454" t="s">
        <v>536</v>
      </c>
      <c r="B51" s="433"/>
      <c r="C51" s="457"/>
      <c r="D51" s="457"/>
      <c r="E51" s="457"/>
      <c r="F51" s="457"/>
      <c r="G51" s="457"/>
      <c r="H51" s="457"/>
      <c r="I51" s="457"/>
      <c r="J51" s="457"/>
      <c r="K51" s="457"/>
      <c r="L51" s="457"/>
      <c r="M51" s="457"/>
      <c r="N51" s="457"/>
      <c r="O51" s="457"/>
      <c r="P51" s="457"/>
      <c r="Q51" s="457"/>
      <c r="R51" s="457"/>
      <c r="S51" s="457"/>
      <c r="T51" s="457"/>
      <c r="X51" s="434"/>
    </row>
    <row r="52" spans="1:24" s="432" customFormat="1" ht="15" customHeight="1">
      <c r="A52" s="459" t="s">
        <v>75</v>
      </c>
      <c r="B52" s="433" t="s">
        <v>537</v>
      </c>
      <c r="C52" s="457"/>
      <c r="D52" s="457"/>
      <c r="E52" s="457"/>
      <c r="F52" s="457"/>
      <c r="G52" s="457"/>
      <c r="H52" s="457"/>
      <c r="I52" s="457"/>
      <c r="J52" s="457"/>
      <c r="K52" s="457"/>
      <c r="L52" s="457"/>
      <c r="M52" s="457"/>
      <c r="N52" s="457"/>
      <c r="O52" s="457"/>
      <c r="P52" s="457"/>
      <c r="Q52" s="457"/>
      <c r="R52" s="457"/>
      <c r="S52" s="457"/>
      <c r="X52" s="434"/>
    </row>
    <row r="53" spans="1:24" s="432" customFormat="1" ht="30" customHeight="1">
      <c r="A53" s="433"/>
      <c r="B53" s="2562" t="s">
        <v>538</v>
      </c>
      <c r="C53" s="2562"/>
      <c r="D53" s="2562"/>
      <c r="E53" s="2562"/>
      <c r="F53" s="2562"/>
      <c r="G53" s="2562"/>
      <c r="H53" s="2562"/>
      <c r="I53" s="2562"/>
      <c r="J53" s="2562"/>
      <c r="K53" s="2562"/>
      <c r="L53" s="2562"/>
      <c r="M53" s="2562"/>
      <c r="N53" s="2562"/>
      <c r="O53" s="2562"/>
      <c r="P53" s="2562"/>
      <c r="Q53" s="2562"/>
      <c r="R53" s="2562"/>
      <c r="S53" s="2562"/>
      <c r="T53" s="2562"/>
      <c r="X53" s="434"/>
    </row>
    <row r="54" spans="1:24" s="432" customFormat="1" ht="15" customHeight="1">
      <c r="A54" s="459" t="s">
        <v>75</v>
      </c>
      <c r="B54" s="433" t="s">
        <v>539</v>
      </c>
      <c r="C54" s="457"/>
      <c r="D54" s="457"/>
      <c r="E54" s="457"/>
      <c r="F54" s="457"/>
      <c r="G54" s="457"/>
      <c r="H54" s="457"/>
      <c r="I54" s="457"/>
      <c r="J54" s="457"/>
      <c r="K54" s="457"/>
      <c r="L54" s="457"/>
      <c r="M54" s="457"/>
      <c r="N54" s="457"/>
      <c r="O54" s="457"/>
      <c r="P54" s="457"/>
      <c r="Q54" s="457"/>
      <c r="R54" s="457"/>
      <c r="S54" s="457"/>
      <c r="X54" s="434"/>
    </row>
    <row r="55" spans="1:24" s="432" customFormat="1" ht="15" customHeight="1">
      <c r="A55" s="433"/>
      <c r="B55" s="2499" t="str">
        <f>DBCS("　食事サービスを受ける方は、昼食代１食あたり"&amp;【マスター】!J44&amp;"円が必要となります。")</f>
        <v>　食事サービスを受ける方は、昼食代１食あたり５７０円が必要となります。</v>
      </c>
      <c r="C55" s="2499"/>
      <c r="D55" s="2499"/>
      <c r="E55" s="2499"/>
      <c r="F55" s="2499"/>
      <c r="G55" s="2499"/>
      <c r="H55" s="2499"/>
      <c r="I55" s="2499"/>
      <c r="J55" s="2499"/>
      <c r="K55" s="2499"/>
      <c r="L55" s="2499"/>
      <c r="M55" s="2499"/>
      <c r="N55" s="2499"/>
      <c r="O55" s="2499"/>
      <c r="P55" s="2499"/>
      <c r="Q55" s="2499"/>
      <c r="R55" s="2499"/>
      <c r="S55" s="2499"/>
      <c r="T55" s="2499"/>
      <c r="W55" s="434"/>
      <c r="X55" s="946" t="s">
        <v>2072</v>
      </c>
    </row>
    <row r="56" spans="1:24" s="432" customFormat="1" ht="30" customHeight="1">
      <c r="A56" s="433"/>
      <c r="B56" s="2499" t="str">
        <f>IF(【マスター】!C71="","",'通所重説 (別表)'!B98:H98)</f>
        <v>　延長加算算定時に、食事サービスを受ける方は、夕食代１食あたり６３０円が必要となります。</v>
      </c>
      <c r="C56" s="2499"/>
      <c r="D56" s="2499"/>
      <c r="E56" s="2499"/>
      <c r="F56" s="2499"/>
      <c r="G56" s="2499"/>
      <c r="H56" s="2499"/>
      <c r="I56" s="2499"/>
      <c r="J56" s="2499"/>
      <c r="K56" s="2499"/>
      <c r="L56" s="2499"/>
      <c r="M56" s="2499"/>
      <c r="N56" s="2499"/>
      <c r="O56" s="2499"/>
      <c r="P56" s="2499"/>
      <c r="Q56" s="2499"/>
      <c r="R56" s="2499"/>
      <c r="S56" s="2499"/>
      <c r="T56" s="2499"/>
      <c r="X56" s="434"/>
    </row>
    <row r="57" spans="1:24" s="432" customFormat="1" ht="15" customHeight="1">
      <c r="A57" s="459" t="s">
        <v>75</v>
      </c>
      <c r="B57" s="433" t="s">
        <v>540</v>
      </c>
      <c r="C57" s="457"/>
      <c r="D57" s="457"/>
      <c r="E57" s="457"/>
      <c r="F57" s="457"/>
      <c r="G57" s="457"/>
      <c r="H57" s="457"/>
      <c r="I57" s="457"/>
      <c r="J57" s="457"/>
      <c r="K57" s="457"/>
      <c r="L57" s="457"/>
      <c r="M57" s="457"/>
      <c r="N57" s="457"/>
      <c r="O57" s="457"/>
      <c r="P57" s="457"/>
      <c r="Q57" s="457"/>
      <c r="R57" s="457"/>
      <c r="S57" s="457"/>
      <c r="X57" s="434"/>
    </row>
    <row r="58" spans="1:24" s="432" customFormat="1" ht="15" customHeight="1">
      <c r="A58" s="433"/>
      <c r="B58" s="433" t="s">
        <v>541</v>
      </c>
      <c r="C58" s="433"/>
      <c r="D58" s="433"/>
      <c r="E58" s="433"/>
      <c r="F58" s="433"/>
      <c r="G58" s="433"/>
      <c r="H58" s="433"/>
      <c r="I58" s="433"/>
      <c r="J58" s="433"/>
      <c r="K58" s="433"/>
      <c r="L58" s="433"/>
      <c r="M58" s="433"/>
      <c r="N58" s="433"/>
      <c r="O58" s="433"/>
      <c r="P58" s="433"/>
      <c r="Q58" s="433"/>
      <c r="R58" s="433"/>
      <c r="S58" s="433"/>
      <c r="X58" s="434"/>
    </row>
    <row r="59" spans="1:24" s="432" customFormat="1" ht="15" customHeight="1">
      <c r="A59" s="460"/>
      <c r="B59" s="433"/>
      <c r="C59" s="433" t="s">
        <v>542</v>
      </c>
      <c r="E59" s="433"/>
      <c r="F59" s="433"/>
      <c r="I59" s="460" t="s">
        <v>1454</v>
      </c>
      <c r="J59" s="432" t="str">
        <f>DBCS(【マスター】!J46)&amp;"円"</f>
        <v>１００円</v>
      </c>
      <c r="N59" s="433"/>
      <c r="O59" s="433"/>
      <c r="P59" s="433"/>
      <c r="Q59" s="433"/>
      <c r="R59" s="433"/>
      <c r="S59" s="433"/>
      <c r="T59" s="433"/>
      <c r="X59" s="946" t="s">
        <v>2072</v>
      </c>
    </row>
    <row r="60" spans="1:24" s="432" customFormat="1" ht="15" customHeight="1">
      <c r="A60" s="460"/>
      <c r="B60" s="433"/>
      <c r="C60" s="433" t="s">
        <v>543</v>
      </c>
      <c r="E60" s="433"/>
      <c r="H60" s="460"/>
      <c r="I60" s="460" t="s">
        <v>1454</v>
      </c>
      <c r="J60" s="432" t="str">
        <f>DBCS(【マスター】!J47)&amp;"円"</f>
        <v>５０円</v>
      </c>
      <c r="M60" s="433"/>
      <c r="X60" s="946" t="s">
        <v>2072</v>
      </c>
    </row>
    <row r="61" spans="1:24" s="432" customFormat="1" ht="15" customHeight="1">
      <c r="A61" s="459" t="s">
        <v>75</v>
      </c>
      <c r="B61" s="433" t="s">
        <v>544</v>
      </c>
      <c r="X61" s="434"/>
    </row>
    <row r="62" spans="1:24" s="432" customFormat="1" ht="30" customHeight="1">
      <c r="A62" s="433"/>
      <c r="B62" s="2562" t="s">
        <v>545</v>
      </c>
      <c r="C62" s="2562"/>
      <c r="D62" s="2562"/>
      <c r="E62" s="2562"/>
      <c r="F62" s="2562"/>
      <c r="G62" s="2562"/>
      <c r="H62" s="2562"/>
      <c r="I62" s="2562"/>
      <c r="J62" s="2562"/>
      <c r="K62" s="2562"/>
      <c r="L62" s="2562"/>
      <c r="M62" s="2562"/>
      <c r="N62" s="2562"/>
      <c r="O62" s="2562"/>
      <c r="P62" s="2562"/>
      <c r="Q62" s="2562"/>
      <c r="R62" s="2562"/>
      <c r="S62" s="2562"/>
      <c r="T62" s="2562"/>
      <c r="X62" s="434"/>
    </row>
    <row r="63" spans="1:24" s="432" customFormat="1" ht="15" customHeight="1">
      <c r="A63" s="459" t="s">
        <v>75</v>
      </c>
      <c r="B63" s="461" t="s">
        <v>546</v>
      </c>
      <c r="C63" s="859"/>
      <c r="D63" s="859"/>
      <c r="E63" s="859"/>
      <c r="F63" s="859"/>
      <c r="G63" s="859"/>
      <c r="H63" s="859"/>
      <c r="I63" s="859"/>
      <c r="J63" s="859"/>
      <c r="K63" s="859"/>
      <c r="L63" s="859"/>
      <c r="M63" s="859"/>
      <c r="N63" s="859"/>
      <c r="O63" s="859"/>
      <c r="P63" s="859"/>
      <c r="Q63" s="859"/>
      <c r="R63" s="859"/>
      <c r="S63" s="859"/>
      <c r="X63" s="434"/>
    </row>
    <row r="64" spans="1:24" s="432" customFormat="1" ht="15" customHeight="1">
      <c r="A64" s="433"/>
      <c r="B64" s="461" t="s">
        <v>547</v>
      </c>
      <c r="C64" s="859"/>
      <c r="D64" s="859"/>
      <c r="E64" s="859"/>
      <c r="F64" s="859"/>
      <c r="G64" s="859"/>
      <c r="H64" s="859"/>
      <c r="I64" s="859"/>
      <c r="J64" s="859"/>
      <c r="K64" s="859"/>
      <c r="L64" s="859"/>
      <c r="M64" s="859"/>
      <c r="N64" s="859"/>
      <c r="O64" s="859"/>
      <c r="P64" s="859"/>
      <c r="Q64" s="859"/>
      <c r="R64" s="859"/>
      <c r="S64" s="859"/>
      <c r="U64" s="432" t="s">
        <v>548</v>
      </c>
      <c r="X64" s="434"/>
    </row>
    <row r="65" spans="1:24" s="432" customFormat="1" ht="15" customHeight="1">
      <c r="A65" s="454" t="s">
        <v>260</v>
      </c>
      <c r="B65" s="433"/>
      <c r="C65" s="457"/>
      <c r="D65" s="457"/>
      <c r="E65" s="457"/>
      <c r="F65" s="457"/>
      <c r="G65" s="457"/>
      <c r="H65" s="457"/>
      <c r="I65" s="457"/>
      <c r="J65" s="457"/>
      <c r="K65" s="457"/>
      <c r="L65" s="457"/>
      <c r="M65" s="457"/>
      <c r="N65" s="457"/>
      <c r="O65" s="457"/>
      <c r="P65" s="457"/>
      <c r="Q65" s="457"/>
      <c r="R65" s="457"/>
      <c r="S65" s="457"/>
      <c r="T65" s="457"/>
      <c r="X65" s="434"/>
    </row>
    <row r="66" spans="1:24" s="432" customFormat="1" ht="15" customHeight="1">
      <c r="B66" s="433" t="s">
        <v>373</v>
      </c>
      <c r="X66" s="434"/>
    </row>
    <row r="67" spans="1:24" s="432" customFormat="1" ht="15" customHeight="1">
      <c r="A67" s="433"/>
      <c r="B67" s="433"/>
      <c r="D67" s="2563" t="str">
        <f>【マスター】!C83</f>
        <v>口座振替・振込・現金支払</v>
      </c>
      <c r="E67" s="2563"/>
      <c r="F67" s="2563"/>
      <c r="G67" s="2563"/>
      <c r="H67" s="2563"/>
      <c r="I67" s="2563"/>
      <c r="J67" s="2563"/>
      <c r="K67" s="2563"/>
      <c r="L67" s="2563"/>
      <c r="M67" s="2563"/>
      <c r="N67" s="2563"/>
      <c r="O67" s="433" t="s">
        <v>374</v>
      </c>
      <c r="X67" s="434"/>
    </row>
    <row r="68" spans="1:24" s="432" customFormat="1" ht="15" customHeight="1">
      <c r="B68" s="433" t="s">
        <v>375</v>
      </c>
      <c r="C68" s="457"/>
      <c r="D68" s="457"/>
      <c r="E68" s="457"/>
      <c r="F68" s="457"/>
      <c r="G68" s="457"/>
      <c r="H68" s="457"/>
      <c r="I68" s="457"/>
      <c r="J68" s="457"/>
      <c r="K68" s="457"/>
      <c r="L68" s="457"/>
      <c r="M68" s="457"/>
      <c r="N68" s="457"/>
      <c r="O68" s="457"/>
      <c r="P68" s="457"/>
      <c r="Q68" s="457"/>
      <c r="R68" s="457"/>
      <c r="S68" s="457"/>
      <c r="X68" s="434"/>
    </row>
    <row r="69" spans="1:24" s="432" customFormat="1" ht="15" customHeight="1">
      <c r="A69" s="432" t="s">
        <v>1455</v>
      </c>
      <c r="B69" s="433"/>
      <c r="C69" s="457"/>
      <c r="D69" s="457"/>
      <c r="E69" s="457"/>
      <c r="F69" s="457"/>
      <c r="G69" s="457"/>
      <c r="H69" s="457"/>
      <c r="I69" s="457"/>
      <c r="J69" s="457"/>
      <c r="K69" s="457"/>
      <c r="L69" s="457"/>
      <c r="M69" s="457"/>
      <c r="N69" s="457"/>
      <c r="O69" s="457"/>
      <c r="P69" s="457"/>
      <c r="Q69" s="457"/>
      <c r="R69" s="457"/>
      <c r="S69" s="457"/>
      <c r="T69" s="457"/>
      <c r="X69" s="434"/>
    </row>
    <row r="70" spans="1:24" s="432" customFormat="1" ht="15" customHeight="1">
      <c r="A70" s="454" t="s">
        <v>377</v>
      </c>
      <c r="B70" s="433"/>
      <c r="C70" s="457"/>
      <c r="D70" s="457"/>
      <c r="E70" s="457"/>
      <c r="F70" s="457"/>
      <c r="G70" s="457"/>
      <c r="H70" s="457"/>
      <c r="I70" s="457"/>
      <c r="J70" s="457"/>
      <c r="K70" s="457"/>
      <c r="L70" s="457"/>
      <c r="M70" s="457"/>
      <c r="N70" s="457"/>
      <c r="O70" s="457"/>
      <c r="P70" s="457"/>
      <c r="Q70" s="457"/>
      <c r="R70" s="457"/>
      <c r="S70" s="457"/>
      <c r="T70" s="457"/>
      <c r="X70" s="434"/>
    </row>
    <row r="71" spans="1:24" s="432" customFormat="1" ht="55.35" customHeight="1">
      <c r="B71" s="2562" t="s">
        <v>378</v>
      </c>
      <c r="C71" s="2562"/>
      <c r="D71" s="2562"/>
      <c r="E71" s="2562"/>
      <c r="F71" s="2562"/>
      <c r="G71" s="2562"/>
      <c r="H71" s="2562"/>
      <c r="I71" s="2562"/>
      <c r="J71" s="2562"/>
      <c r="K71" s="2562"/>
      <c r="L71" s="2562"/>
      <c r="M71" s="2562"/>
      <c r="N71" s="2562"/>
      <c r="O71" s="2562"/>
      <c r="P71" s="2562"/>
      <c r="Q71" s="2562"/>
      <c r="R71" s="2562"/>
      <c r="S71" s="2562"/>
      <c r="T71" s="2562"/>
      <c r="X71" s="434"/>
    </row>
    <row r="72" spans="1:24" s="432" customFormat="1" ht="15" customHeight="1">
      <c r="A72" s="454" t="s">
        <v>379</v>
      </c>
      <c r="B72" s="433"/>
      <c r="C72" s="433"/>
      <c r="X72" s="434"/>
    </row>
    <row r="73" spans="1:24" s="432" customFormat="1" ht="15" customHeight="1">
      <c r="A73" s="462" t="s">
        <v>380</v>
      </c>
      <c r="B73" s="2562" t="s">
        <v>1456</v>
      </c>
      <c r="C73" s="2562"/>
      <c r="D73" s="2562"/>
      <c r="E73" s="2562"/>
      <c r="F73" s="2562"/>
      <c r="G73" s="2562"/>
      <c r="H73" s="2562"/>
      <c r="I73" s="2562"/>
      <c r="J73" s="2562"/>
      <c r="K73" s="2562"/>
      <c r="L73" s="2562"/>
      <c r="M73" s="2562"/>
      <c r="N73" s="2562"/>
      <c r="O73" s="2562"/>
      <c r="P73" s="2562"/>
      <c r="Q73" s="2562"/>
      <c r="R73" s="2562"/>
      <c r="S73" s="2562"/>
      <c r="X73" s="434"/>
    </row>
    <row r="74" spans="1:24" s="432" customFormat="1" ht="30" customHeight="1">
      <c r="A74" s="462" t="s">
        <v>382</v>
      </c>
      <c r="B74" s="2562" t="s">
        <v>383</v>
      </c>
      <c r="C74" s="2562"/>
      <c r="D74" s="2562"/>
      <c r="E74" s="2562"/>
      <c r="F74" s="2562"/>
      <c r="G74" s="2562"/>
      <c r="H74" s="2562"/>
      <c r="I74" s="2562"/>
      <c r="J74" s="2562"/>
      <c r="K74" s="2562"/>
      <c r="L74" s="2562"/>
      <c r="M74" s="2562"/>
      <c r="N74" s="2562"/>
      <c r="O74" s="2562"/>
      <c r="P74" s="2562"/>
      <c r="Q74" s="2562"/>
      <c r="R74" s="2562"/>
      <c r="S74" s="2562"/>
      <c r="T74" s="2562"/>
      <c r="X74" s="434"/>
    </row>
    <row r="75" spans="1:24" s="432" customFormat="1" ht="30" customHeight="1">
      <c r="A75" s="462" t="s">
        <v>384</v>
      </c>
      <c r="B75" s="2562" t="s">
        <v>385</v>
      </c>
      <c r="C75" s="2562"/>
      <c r="D75" s="2562"/>
      <c r="E75" s="2562"/>
      <c r="F75" s="2562"/>
      <c r="G75" s="2562"/>
      <c r="H75" s="2562"/>
      <c r="I75" s="2562"/>
      <c r="J75" s="2562"/>
      <c r="K75" s="2562"/>
      <c r="L75" s="2562"/>
      <c r="M75" s="2562"/>
      <c r="N75" s="2562"/>
      <c r="O75" s="2562"/>
      <c r="P75" s="2562"/>
      <c r="Q75" s="2562"/>
      <c r="R75" s="2562"/>
      <c r="S75" s="2562"/>
      <c r="T75" s="2562"/>
      <c r="X75" s="434"/>
    </row>
    <row r="76" spans="1:24" s="432" customFormat="1" ht="15" customHeight="1">
      <c r="A76" s="462" t="s">
        <v>386</v>
      </c>
      <c r="B76" s="2562" t="s">
        <v>387</v>
      </c>
      <c r="C76" s="2562"/>
      <c r="D76" s="2562"/>
      <c r="E76" s="2562"/>
      <c r="F76" s="2562"/>
      <c r="G76" s="2562"/>
      <c r="H76" s="2562"/>
      <c r="I76" s="2562"/>
      <c r="J76" s="2562"/>
      <c r="K76" s="2562"/>
      <c r="L76" s="2562"/>
      <c r="M76" s="2562"/>
      <c r="N76" s="2562"/>
      <c r="O76" s="2562"/>
      <c r="P76" s="2562"/>
      <c r="Q76" s="2562"/>
      <c r="R76" s="2562"/>
      <c r="S76" s="2562"/>
      <c r="T76" s="2562"/>
      <c r="X76" s="434"/>
    </row>
    <row r="77" spans="1:24" s="432" customFormat="1" ht="30" customHeight="1">
      <c r="A77" s="462" t="s">
        <v>388</v>
      </c>
      <c r="B77" s="2562" t="s">
        <v>389</v>
      </c>
      <c r="C77" s="2562"/>
      <c r="D77" s="2562"/>
      <c r="E77" s="2562"/>
      <c r="F77" s="2562"/>
      <c r="G77" s="2562"/>
      <c r="H77" s="2562"/>
      <c r="I77" s="2562"/>
      <c r="J77" s="2562"/>
      <c r="K77" s="2562"/>
      <c r="L77" s="2562"/>
      <c r="M77" s="2562"/>
      <c r="N77" s="2562"/>
      <c r="O77" s="2562"/>
      <c r="P77" s="2562"/>
      <c r="Q77" s="2562"/>
      <c r="R77" s="2562"/>
      <c r="S77" s="2562"/>
      <c r="T77" s="2562"/>
      <c r="X77" s="434"/>
    </row>
    <row r="78" spans="1:24" s="432" customFormat="1" ht="15" customHeight="1">
      <c r="A78" s="462" t="s">
        <v>390</v>
      </c>
      <c r="B78" s="2562" t="s">
        <v>391</v>
      </c>
      <c r="C78" s="2562"/>
      <c r="D78" s="2562"/>
      <c r="E78" s="2562"/>
      <c r="F78" s="2562"/>
      <c r="G78" s="2562"/>
      <c r="H78" s="2562"/>
      <c r="I78" s="2562"/>
      <c r="J78" s="2562"/>
      <c r="K78" s="2562"/>
      <c r="L78" s="2562"/>
      <c r="M78" s="2562"/>
      <c r="N78" s="2562"/>
      <c r="O78" s="2562"/>
      <c r="P78" s="2562"/>
      <c r="Q78" s="2562"/>
      <c r="R78" s="2562"/>
      <c r="S78" s="2562"/>
      <c r="X78" s="434"/>
    </row>
    <row r="79" spans="1:24" s="432" customFormat="1" ht="15" customHeight="1">
      <c r="A79" s="432" t="s">
        <v>1457</v>
      </c>
      <c r="B79" s="433"/>
      <c r="C79" s="457"/>
      <c r="D79" s="457"/>
      <c r="E79" s="457"/>
      <c r="F79" s="457"/>
      <c r="G79" s="457"/>
      <c r="H79" s="457"/>
      <c r="I79" s="457"/>
      <c r="J79" s="457"/>
      <c r="K79" s="457"/>
      <c r="L79" s="457"/>
      <c r="M79" s="457"/>
      <c r="N79" s="457"/>
      <c r="O79" s="457"/>
      <c r="P79" s="457"/>
      <c r="Q79" s="457"/>
      <c r="R79" s="457"/>
      <c r="S79" s="457"/>
      <c r="T79" s="457"/>
      <c r="X79" s="434"/>
    </row>
    <row r="80" spans="1:24" s="432" customFormat="1" ht="15" customHeight="1">
      <c r="A80" s="2567" t="s">
        <v>407</v>
      </c>
      <c r="B80" s="2560" t="str">
        <f>通所重説!B100</f>
        <v>当事業所
お 客 様
相談窓口</v>
      </c>
      <c r="C80" s="2560"/>
      <c r="D80" s="2560"/>
      <c r="E80" s="2561"/>
      <c r="F80" s="2570" t="str">
        <f>通所重説!F100</f>
        <v>窓 口 責 任 者</v>
      </c>
      <c r="G80" s="2570"/>
      <c r="H80" s="2570"/>
      <c r="I80" s="2570"/>
      <c r="J80" s="2570"/>
      <c r="K80" s="2571" t="str">
        <f>通所重説!K100</f>
        <v>繁原　秀章</v>
      </c>
      <c r="L80" s="2571"/>
      <c r="M80" s="2571"/>
      <c r="N80" s="2571"/>
      <c r="O80" s="2571"/>
      <c r="P80" s="2571"/>
      <c r="Q80" s="2571"/>
      <c r="R80" s="2571"/>
      <c r="S80" s="2571"/>
      <c r="T80" s="2571"/>
    </row>
    <row r="81" spans="1:21" s="432" customFormat="1" ht="15" customHeight="1">
      <c r="A81" s="2568"/>
      <c r="B81" s="2515"/>
      <c r="C81" s="2515"/>
      <c r="D81" s="2515"/>
      <c r="E81" s="2516"/>
      <c r="F81" s="2572" t="str">
        <f>通所重説!F101</f>
        <v>ご 利 用 時 間</v>
      </c>
      <c r="G81" s="2572"/>
      <c r="H81" s="2572"/>
      <c r="I81" s="2572"/>
      <c r="J81" s="2572"/>
      <c r="K81" s="2573" t="str">
        <f>通所重説!K101</f>
        <v>９：３０～１６：４０</v>
      </c>
      <c r="L81" s="2573"/>
      <c r="M81" s="2573"/>
      <c r="N81" s="2573"/>
      <c r="O81" s="2573"/>
      <c r="P81" s="2573"/>
      <c r="Q81" s="2573"/>
      <c r="R81" s="2573"/>
      <c r="S81" s="2573"/>
      <c r="T81" s="2573"/>
    </row>
    <row r="82" spans="1:21" s="432" customFormat="1" ht="15" customHeight="1">
      <c r="A82" s="2568"/>
      <c r="B82" s="2515"/>
      <c r="C82" s="2515"/>
      <c r="D82" s="2515"/>
      <c r="E82" s="2516"/>
      <c r="F82" s="2592" t="str">
        <f>通所重説!F102</f>
        <v>ご利用方法・</v>
      </c>
      <c r="G82" s="2593"/>
      <c r="H82" s="2593"/>
      <c r="I82" s="2574" t="str">
        <f>通所重説!I102</f>
        <v>電話</v>
      </c>
      <c r="J82" s="2575"/>
      <c r="K82" s="2573" t="str">
        <f>通所重説!K102</f>
        <v>０５３３－５６－７０８７</v>
      </c>
      <c r="L82" s="2573"/>
      <c r="M82" s="2573"/>
      <c r="N82" s="2573"/>
      <c r="O82" s="2573"/>
      <c r="P82" s="2573"/>
      <c r="Q82" s="2573"/>
      <c r="R82" s="2573"/>
      <c r="S82" s="2573"/>
      <c r="T82" s="2573"/>
    </row>
    <row r="83" spans="1:21" s="432" customFormat="1" ht="15" customHeight="1">
      <c r="A83" s="2568"/>
      <c r="B83" s="2515"/>
      <c r="C83" s="2515"/>
      <c r="D83" s="2515"/>
      <c r="E83" s="2516"/>
      <c r="F83" s="2594"/>
      <c r="G83" s="2595"/>
      <c r="H83" s="2595"/>
      <c r="I83" s="2574" t="str">
        <f>通所重説!I103</f>
        <v>面接</v>
      </c>
      <c r="J83" s="2575"/>
      <c r="K83" s="2573" t="str">
        <f>通所重説!K103</f>
        <v>（当事業所相談室）</v>
      </c>
      <c r="L83" s="2573"/>
      <c r="M83" s="2573"/>
      <c r="N83" s="2573"/>
      <c r="O83" s="2573"/>
      <c r="P83" s="2573"/>
      <c r="Q83" s="2573"/>
      <c r="R83" s="2573"/>
      <c r="S83" s="2573"/>
      <c r="T83" s="2573"/>
    </row>
    <row r="84" spans="1:21" s="432" customFormat="1" ht="15" customHeight="1">
      <c r="A84" s="2569"/>
      <c r="B84" s="2519"/>
      <c r="C84" s="2519"/>
      <c r="D84" s="2519"/>
      <c r="E84" s="2520"/>
      <c r="F84" s="2596"/>
      <c r="G84" s="2597"/>
      <c r="H84" s="2597"/>
      <c r="I84" s="2577" t="str">
        <f>通所重説!I104</f>
        <v>意見箱</v>
      </c>
      <c r="J84" s="2578"/>
      <c r="K84" s="2579" t="str">
        <f>通所重説!K104</f>
        <v>（玄関に設置）</v>
      </c>
      <c r="L84" s="2579"/>
      <c r="M84" s="2579"/>
      <c r="N84" s="2579"/>
      <c r="O84" s="2579"/>
      <c r="P84" s="2579"/>
      <c r="Q84" s="2579"/>
      <c r="R84" s="2579"/>
      <c r="S84" s="2579"/>
      <c r="T84" s="2579"/>
      <c r="U84" s="432" t="s">
        <v>929</v>
      </c>
    </row>
    <row r="85" spans="1:21" s="432" customFormat="1" ht="15" customHeight="1">
      <c r="A85" s="2567" t="str">
        <f>通所重説!A105</f>
        <v>☑</v>
      </c>
      <c r="B85" s="2552" t="str">
        <f>DBCS(【マスター】!A85)</f>
        <v>東三河広域連合</v>
      </c>
      <c r="C85" s="2552"/>
      <c r="D85" s="2552"/>
      <c r="E85" s="2553"/>
      <c r="F85" s="2570" t="str">
        <f>通所重説!F105</f>
        <v>住　　所</v>
      </c>
      <c r="G85" s="2570"/>
      <c r="H85" s="2570"/>
      <c r="I85" s="2570"/>
      <c r="J85" s="2570"/>
      <c r="K85" s="2580" t="str">
        <f>通所重説!K105</f>
        <v>愛知県豊橋市八町通２丁目１６番地</v>
      </c>
      <c r="L85" s="2581"/>
      <c r="M85" s="2581"/>
      <c r="N85" s="2581"/>
      <c r="O85" s="2581"/>
      <c r="P85" s="2581"/>
      <c r="Q85" s="2581"/>
      <c r="R85" s="2581"/>
      <c r="S85" s="2581"/>
      <c r="T85" s="2582"/>
    </row>
    <row r="86" spans="1:21" s="432" customFormat="1" ht="15" customHeight="1">
      <c r="A86" s="2568"/>
      <c r="B86" s="2590"/>
      <c r="C86" s="2590"/>
      <c r="D86" s="2590"/>
      <c r="E86" s="2591"/>
      <c r="F86" s="2572" t="str">
        <f>通所重説!F106</f>
        <v>電　　話</v>
      </c>
      <c r="G86" s="2572"/>
      <c r="H86" s="2572"/>
      <c r="I86" s="2572"/>
      <c r="J86" s="2572"/>
      <c r="K86" s="2583" t="str">
        <f>通所重説!K106</f>
        <v>０５３２－２６－８４７１</v>
      </c>
      <c r="L86" s="2584"/>
      <c r="M86" s="2584"/>
      <c r="N86" s="2584"/>
      <c r="O86" s="2584"/>
      <c r="P86" s="2584"/>
      <c r="Q86" s="2584"/>
      <c r="R86" s="2584"/>
      <c r="S86" s="2584"/>
      <c r="T86" s="2585"/>
    </row>
    <row r="87" spans="1:21" s="432" customFormat="1" ht="15" customHeight="1">
      <c r="A87" s="2569"/>
      <c r="B87" s="2519" t="s">
        <v>419</v>
      </c>
      <c r="C87" s="2519"/>
      <c r="D87" s="2519"/>
      <c r="E87" s="2520"/>
      <c r="F87" s="2586" t="str">
        <f>通所重説!F107</f>
        <v>ご 利 用 時 間</v>
      </c>
      <c r="G87" s="2586"/>
      <c r="H87" s="2586"/>
      <c r="I87" s="2586"/>
      <c r="J87" s="2586"/>
      <c r="K87" s="2587" t="str">
        <f>通所重説!K107</f>
        <v>８：３０～１７：１５</v>
      </c>
      <c r="L87" s="2588"/>
      <c r="M87" s="2588"/>
      <c r="N87" s="2588"/>
      <c r="O87" s="2588"/>
      <c r="P87" s="2588"/>
      <c r="Q87" s="2588"/>
      <c r="R87" s="2588"/>
      <c r="S87" s="2588"/>
      <c r="T87" s="2589"/>
    </row>
    <row r="88" spans="1:21" s="432" customFormat="1" ht="15" customHeight="1">
      <c r="A88" s="2567" t="str">
        <f>通所重説!A108</f>
        <v>□</v>
      </c>
      <c r="B88" s="2552" t="str">
        <f>DBCS(【マスター】!A87)</f>
        <v/>
      </c>
      <c r="C88" s="2552"/>
      <c r="D88" s="2552"/>
      <c r="E88" s="2553"/>
      <c r="F88" s="2598" t="str">
        <f>通所重説!F108</f>
        <v>住　　所</v>
      </c>
      <c r="G88" s="2599"/>
      <c r="H88" s="2599"/>
      <c r="I88" s="2599"/>
      <c r="J88" s="2600"/>
      <c r="K88" s="2601" t="str">
        <f>通所重説!K108</f>
        <v/>
      </c>
      <c r="L88" s="2602"/>
      <c r="M88" s="2602"/>
      <c r="N88" s="2602"/>
      <c r="O88" s="2602"/>
      <c r="P88" s="2602"/>
      <c r="Q88" s="2602"/>
      <c r="R88" s="2602"/>
      <c r="S88" s="2602"/>
      <c r="T88" s="2603"/>
    </row>
    <row r="89" spans="1:21" s="432" customFormat="1" ht="15" customHeight="1">
      <c r="A89" s="2568"/>
      <c r="B89" s="2590"/>
      <c r="C89" s="2590"/>
      <c r="D89" s="2590"/>
      <c r="E89" s="2591"/>
      <c r="F89" s="2604" t="str">
        <f>通所重説!F109</f>
        <v>電　　話</v>
      </c>
      <c r="G89" s="2605"/>
      <c r="H89" s="2605"/>
      <c r="I89" s="2605"/>
      <c r="J89" s="2606"/>
      <c r="K89" s="2583" t="str">
        <f>通所重説!K109</f>
        <v/>
      </c>
      <c r="L89" s="2584"/>
      <c r="M89" s="2584"/>
      <c r="N89" s="2584"/>
      <c r="O89" s="2584"/>
      <c r="P89" s="2584"/>
      <c r="Q89" s="2584"/>
      <c r="R89" s="2584"/>
      <c r="S89" s="2584"/>
      <c r="T89" s="2585"/>
    </row>
    <row r="90" spans="1:21" s="432" customFormat="1" ht="15" customHeight="1">
      <c r="A90" s="2569"/>
      <c r="B90" s="2519" t="s">
        <v>1458</v>
      </c>
      <c r="C90" s="2519"/>
      <c r="D90" s="2519"/>
      <c r="E90" s="2520"/>
      <c r="F90" s="2607" t="str">
        <f>通所重説!F110</f>
        <v>ご 利 用 時 間</v>
      </c>
      <c r="G90" s="2608"/>
      <c r="H90" s="2608"/>
      <c r="I90" s="2608"/>
      <c r="J90" s="2609"/>
      <c r="K90" s="2587" t="str">
        <f>通所重説!K110</f>
        <v>～</v>
      </c>
      <c r="L90" s="2588"/>
      <c r="M90" s="2588"/>
      <c r="N90" s="2588"/>
      <c r="O90" s="2588"/>
      <c r="P90" s="2588"/>
      <c r="Q90" s="2588"/>
      <c r="R90" s="2588"/>
      <c r="S90" s="2588"/>
      <c r="T90" s="2589"/>
    </row>
    <row r="91" spans="1:21" s="432" customFormat="1" ht="15" customHeight="1">
      <c r="A91" s="2567" t="str">
        <f>通所重説!A111</f>
        <v>□</v>
      </c>
      <c r="B91" s="2552" t="str">
        <f>DBCS(【マスター】!A89)</f>
        <v/>
      </c>
      <c r="C91" s="2552"/>
      <c r="D91" s="2552"/>
      <c r="E91" s="2553"/>
      <c r="F91" s="2598" t="str">
        <f>通所重説!F111</f>
        <v>住　　所</v>
      </c>
      <c r="G91" s="2599"/>
      <c r="H91" s="2599"/>
      <c r="I91" s="2599"/>
      <c r="J91" s="2600"/>
      <c r="K91" s="2601" t="str">
        <f>通所重説!K111</f>
        <v/>
      </c>
      <c r="L91" s="2602"/>
      <c r="M91" s="2602"/>
      <c r="N91" s="2602"/>
      <c r="O91" s="2602"/>
      <c r="P91" s="2602"/>
      <c r="Q91" s="2602"/>
      <c r="R91" s="2602"/>
      <c r="S91" s="2602"/>
      <c r="T91" s="2603"/>
    </row>
    <row r="92" spans="1:21" s="432" customFormat="1" ht="15" customHeight="1">
      <c r="A92" s="2568"/>
      <c r="B92" s="2590"/>
      <c r="C92" s="2590"/>
      <c r="D92" s="2590"/>
      <c r="E92" s="2591"/>
      <c r="F92" s="2604" t="str">
        <f>通所重説!F112</f>
        <v>電　　話</v>
      </c>
      <c r="G92" s="2605"/>
      <c r="H92" s="2605"/>
      <c r="I92" s="2605"/>
      <c r="J92" s="2606"/>
      <c r="K92" s="2583" t="str">
        <f>通所重説!K112</f>
        <v/>
      </c>
      <c r="L92" s="2584"/>
      <c r="M92" s="2584"/>
      <c r="N92" s="2584"/>
      <c r="O92" s="2584"/>
      <c r="P92" s="2584"/>
      <c r="Q92" s="2584"/>
      <c r="R92" s="2584"/>
      <c r="S92" s="2584"/>
      <c r="T92" s="2585"/>
    </row>
    <row r="93" spans="1:21" s="432" customFormat="1" ht="15" customHeight="1">
      <c r="A93" s="2569"/>
      <c r="B93" s="2519" t="s">
        <v>1458</v>
      </c>
      <c r="C93" s="2519"/>
      <c r="D93" s="2519"/>
      <c r="E93" s="2520"/>
      <c r="F93" s="2607" t="str">
        <f>通所重説!F113</f>
        <v>ご 利 用 時 間</v>
      </c>
      <c r="G93" s="2608"/>
      <c r="H93" s="2608"/>
      <c r="I93" s="2608"/>
      <c r="J93" s="2609"/>
      <c r="K93" s="2587" t="str">
        <f>通所重説!K113</f>
        <v>～</v>
      </c>
      <c r="L93" s="2588"/>
      <c r="M93" s="2588"/>
      <c r="N93" s="2588"/>
      <c r="O93" s="2588"/>
      <c r="P93" s="2588"/>
      <c r="Q93" s="2588"/>
      <c r="R93" s="2588"/>
      <c r="S93" s="2588"/>
      <c r="T93" s="2589"/>
    </row>
    <row r="94" spans="1:21" s="432" customFormat="1" ht="15" customHeight="1">
      <c r="A94" s="2567" t="str">
        <f>通所重説!A114</f>
        <v>□</v>
      </c>
      <c r="B94" s="2552" t="str">
        <f>DBCS(【マスター】!A91)</f>
        <v/>
      </c>
      <c r="C94" s="2552"/>
      <c r="D94" s="2552"/>
      <c r="E94" s="2553"/>
      <c r="F94" s="2598" t="str">
        <f>通所重説!F114</f>
        <v>住　　所</v>
      </c>
      <c r="G94" s="2599"/>
      <c r="H94" s="2599"/>
      <c r="I94" s="2599"/>
      <c r="J94" s="2600"/>
      <c r="K94" s="2601" t="str">
        <f>通所重説!K114</f>
        <v/>
      </c>
      <c r="L94" s="2602"/>
      <c r="M94" s="2602"/>
      <c r="N94" s="2602"/>
      <c r="O94" s="2602"/>
      <c r="P94" s="2602"/>
      <c r="Q94" s="2602"/>
      <c r="R94" s="2602"/>
      <c r="S94" s="2602"/>
      <c r="T94" s="2603"/>
    </row>
    <row r="95" spans="1:21" s="432" customFormat="1" ht="15" customHeight="1">
      <c r="A95" s="2568"/>
      <c r="B95" s="2590"/>
      <c r="C95" s="2590"/>
      <c r="D95" s="2590"/>
      <c r="E95" s="2591"/>
      <c r="F95" s="2604" t="str">
        <f>通所重説!F115</f>
        <v>電　　話</v>
      </c>
      <c r="G95" s="2605"/>
      <c r="H95" s="2605"/>
      <c r="I95" s="2605"/>
      <c r="J95" s="2606"/>
      <c r="K95" s="2583" t="str">
        <f>通所重説!K115</f>
        <v/>
      </c>
      <c r="L95" s="2584"/>
      <c r="M95" s="2584"/>
      <c r="N95" s="2584"/>
      <c r="O95" s="2584"/>
      <c r="P95" s="2584"/>
      <c r="Q95" s="2584"/>
      <c r="R95" s="2584"/>
      <c r="S95" s="2584"/>
      <c r="T95" s="2585"/>
    </row>
    <row r="96" spans="1:21" s="432" customFormat="1" ht="15" customHeight="1">
      <c r="A96" s="2569"/>
      <c r="B96" s="2519" t="s">
        <v>1458</v>
      </c>
      <c r="C96" s="2519"/>
      <c r="D96" s="2519"/>
      <c r="E96" s="2520"/>
      <c r="F96" s="2607" t="str">
        <f>通所重説!F116</f>
        <v>ご 利 用 時 間</v>
      </c>
      <c r="G96" s="2608"/>
      <c r="H96" s="2608"/>
      <c r="I96" s="2608"/>
      <c r="J96" s="2609"/>
      <c r="K96" s="2587" t="str">
        <f>通所重説!K116</f>
        <v>～</v>
      </c>
      <c r="L96" s="2588"/>
      <c r="M96" s="2588"/>
      <c r="N96" s="2588"/>
      <c r="O96" s="2588"/>
      <c r="P96" s="2588"/>
      <c r="Q96" s="2588"/>
      <c r="R96" s="2588"/>
      <c r="S96" s="2588"/>
      <c r="T96" s="2589"/>
    </row>
    <row r="97" spans="1:41" s="432" customFormat="1" ht="15" customHeight="1">
      <c r="A97" s="2567" t="str">
        <f>通所重説!A117</f>
        <v>□</v>
      </c>
      <c r="B97" s="2552" t="str">
        <f>DBCS(【マスター】!A93)</f>
        <v/>
      </c>
      <c r="C97" s="2552"/>
      <c r="D97" s="2552"/>
      <c r="E97" s="2553"/>
      <c r="F97" s="2598" t="str">
        <f>通所重説!F117</f>
        <v>住　　所</v>
      </c>
      <c r="G97" s="2599"/>
      <c r="H97" s="2599"/>
      <c r="I97" s="2599"/>
      <c r="J97" s="2600"/>
      <c r="K97" s="2601" t="str">
        <f>通所重説!K117</f>
        <v/>
      </c>
      <c r="L97" s="2602"/>
      <c r="M97" s="2602"/>
      <c r="N97" s="2602"/>
      <c r="O97" s="2602"/>
      <c r="P97" s="2602"/>
      <c r="Q97" s="2602"/>
      <c r="R97" s="2602"/>
      <c r="S97" s="2602"/>
      <c r="T97" s="2603"/>
    </row>
    <row r="98" spans="1:41" s="432" customFormat="1" ht="15" customHeight="1">
      <c r="A98" s="2568"/>
      <c r="B98" s="2590"/>
      <c r="C98" s="2590"/>
      <c r="D98" s="2590"/>
      <c r="E98" s="2591"/>
      <c r="F98" s="2604" t="str">
        <f>通所重説!F118</f>
        <v>電　　話</v>
      </c>
      <c r="G98" s="2605"/>
      <c r="H98" s="2605"/>
      <c r="I98" s="2605"/>
      <c r="J98" s="2606"/>
      <c r="K98" s="2583" t="str">
        <f>通所重説!K118</f>
        <v/>
      </c>
      <c r="L98" s="2584"/>
      <c r="M98" s="2584"/>
      <c r="N98" s="2584"/>
      <c r="O98" s="2584"/>
      <c r="P98" s="2584"/>
      <c r="Q98" s="2584"/>
      <c r="R98" s="2584"/>
      <c r="S98" s="2584"/>
      <c r="T98" s="2585"/>
    </row>
    <row r="99" spans="1:41" s="432" customFormat="1" ht="15" customHeight="1">
      <c r="A99" s="2569"/>
      <c r="B99" s="2519" t="s">
        <v>1458</v>
      </c>
      <c r="C99" s="2519"/>
      <c r="D99" s="2519"/>
      <c r="E99" s="2520"/>
      <c r="F99" s="2607" t="str">
        <f>通所重説!F119</f>
        <v>ご 利 用 時 間</v>
      </c>
      <c r="G99" s="2608"/>
      <c r="H99" s="2608"/>
      <c r="I99" s="2608"/>
      <c r="J99" s="2609"/>
      <c r="K99" s="2587" t="str">
        <f>通所重説!K119</f>
        <v>～</v>
      </c>
      <c r="L99" s="2588"/>
      <c r="M99" s="2588"/>
      <c r="N99" s="2588"/>
      <c r="O99" s="2588"/>
      <c r="P99" s="2588"/>
      <c r="Q99" s="2588"/>
      <c r="R99" s="2588"/>
      <c r="S99" s="2588"/>
      <c r="T99" s="2589"/>
    </row>
    <row r="100" spans="1:41" s="432" customFormat="1" ht="15" customHeight="1">
      <c r="A100" s="2567" t="s">
        <v>407</v>
      </c>
      <c r="B100" s="2560" t="str">
        <f>通所重説!B120</f>
        <v>国 保 連
相談窓口</v>
      </c>
      <c r="C100" s="2560"/>
      <c r="D100" s="2560"/>
      <c r="E100" s="2561"/>
      <c r="F100" s="2598" t="str">
        <f>通所重説!F120</f>
        <v>住　　所</v>
      </c>
      <c r="G100" s="2599"/>
      <c r="H100" s="2599"/>
      <c r="I100" s="2599"/>
      <c r="J100" s="2600"/>
      <c r="K100" s="2601" t="str">
        <f>通所重説!K120</f>
        <v>愛知県名古屋市東区泉一丁目６番５号</v>
      </c>
      <c r="L100" s="2602"/>
      <c r="M100" s="2602"/>
      <c r="N100" s="2602"/>
      <c r="O100" s="2602"/>
      <c r="P100" s="2602"/>
      <c r="Q100" s="2602"/>
      <c r="R100" s="2602"/>
      <c r="S100" s="2602"/>
      <c r="T100" s="2603"/>
      <c r="W100" s="479"/>
    </row>
    <row r="101" spans="1:41" s="432" customFormat="1" ht="15" customHeight="1">
      <c r="A101" s="2568"/>
      <c r="B101" s="2515"/>
      <c r="C101" s="2515"/>
      <c r="D101" s="2515"/>
      <c r="E101" s="2516"/>
      <c r="F101" s="2604" t="str">
        <f>通所重説!F121</f>
        <v>電　　話</v>
      </c>
      <c r="G101" s="2605"/>
      <c r="H101" s="2605"/>
      <c r="I101" s="2605"/>
      <c r="J101" s="2606"/>
      <c r="K101" s="2583" t="str">
        <f>通所重説!K121</f>
        <v>０５２－９７１－４１６５</v>
      </c>
      <c r="L101" s="2584"/>
      <c r="M101" s="2584"/>
      <c r="N101" s="2584"/>
      <c r="O101" s="2584"/>
      <c r="P101" s="2584"/>
      <c r="Q101" s="2584"/>
      <c r="R101" s="2584"/>
      <c r="S101" s="2584"/>
      <c r="T101" s="2585"/>
    </row>
    <row r="102" spans="1:41" s="432" customFormat="1" ht="15" customHeight="1">
      <c r="A102" s="2569"/>
      <c r="B102" s="2519"/>
      <c r="C102" s="2519"/>
      <c r="D102" s="2519"/>
      <c r="E102" s="2520"/>
      <c r="F102" s="2607" t="str">
        <f>通所重説!F122</f>
        <v>ご 利 用 時 間</v>
      </c>
      <c r="G102" s="2608"/>
      <c r="H102" s="2608"/>
      <c r="I102" s="2608"/>
      <c r="J102" s="2609"/>
      <c r="K102" s="2587" t="str">
        <f>通所重説!K122</f>
        <v>９：００～１７：００</v>
      </c>
      <c r="L102" s="2588"/>
      <c r="M102" s="2588"/>
      <c r="N102" s="2588"/>
      <c r="O102" s="2588"/>
      <c r="P102" s="2588"/>
      <c r="Q102" s="2588"/>
      <c r="R102" s="2588"/>
      <c r="S102" s="2588"/>
      <c r="T102" s="2589"/>
    </row>
    <row r="103" spans="1:41" s="432" customFormat="1" ht="15" customHeight="1">
      <c r="A103" s="432" t="s">
        <v>1459</v>
      </c>
      <c r="B103" s="433"/>
      <c r="C103" s="433"/>
      <c r="X103" s="434"/>
    </row>
    <row r="104" spans="1:41" s="432" customFormat="1" ht="15" customHeight="1">
      <c r="A104" s="2499" t="s">
        <v>1460</v>
      </c>
      <c r="B104" s="2499"/>
      <c r="C104" s="2499"/>
      <c r="D104" s="2499"/>
      <c r="E104" s="2499"/>
      <c r="F104" s="2499"/>
      <c r="G104" s="2499"/>
      <c r="H104" s="2499"/>
      <c r="I104" s="2499"/>
      <c r="J104" s="2499"/>
      <c r="K104" s="2499"/>
      <c r="L104" s="2499"/>
      <c r="M104" s="2499"/>
      <c r="N104" s="2499"/>
      <c r="O104" s="2499"/>
      <c r="P104" s="2499"/>
      <c r="Q104" s="2499"/>
      <c r="R104" s="2499"/>
      <c r="S104" s="2499"/>
      <c r="T104" s="2499"/>
      <c r="X104" s="434"/>
    </row>
    <row r="105" spans="1:41" s="432" customFormat="1" ht="15" customHeight="1">
      <c r="A105" s="462" t="s">
        <v>599</v>
      </c>
      <c r="B105" s="432" t="s">
        <v>1461</v>
      </c>
      <c r="C105" s="433"/>
      <c r="X105" s="434"/>
    </row>
    <row r="106" spans="1:41" s="432" customFormat="1" ht="15" customHeight="1">
      <c r="A106" s="462" t="s">
        <v>601</v>
      </c>
      <c r="B106" s="432" t="s">
        <v>1462</v>
      </c>
      <c r="C106" s="433"/>
      <c r="X106" s="434"/>
    </row>
    <row r="107" spans="1:41" s="432" customFormat="1" ht="30" customHeight="1">
      <c r="A107" s="462" t="s">
        <v>981</v>
      </c>
      <c r="B107" s="2499" t="s">
        <v>1463</v>
      </c>
      <c r="C107" s="2499"/>
      <c r="D107" s="2499"/>
      <c r="E107" s="2499"/>
      <c r="F107" s="2499"/>
      <c r="G107" s="2499"/>
      <c r="H107" s="2499"/>
      <c r="I107" s="2499"/>
      <c r="J107" s="2499"/>
      <c r="K107" s="2499"/>
      <c r="L107" s="2499"/>
      <c r="M107" s="2499"/>
      <c r="N107" s="2499"/>
      <c r="O107" s="2499"/>
      <c r="P107" s="2499"/>
      <c r="Q107" s="2499"/>
      <c r="R107" s="2499"/>
      <c r="S107" s="2499"/>
      <c r="T107" s="2499"/>
      <c r="X107" s="434"/>
    </row>
    <row r="108" spans="1:41" s="432" customFormat="1" ht="15" customHeight="1">
      <c r="A108" s="432" t="s">
        <v>1464</v>
      </c>
      <c r="B108" s="433"/>
      <c r="C108" s="433"/>
      <c r="W108" s="434"/>
      <c r="X108" s="434"/>
    </row>
    <row r="109" spans="1:41" s="432" customFormat="1" ht="43.35" customHeight="1">
      <c r="A109" s="462" t="s">
        <v>599</v>
      </c>
      <c r="B109" s="2499" t="s">
        <v>1465</v>
      </c>
      <c r="C109" s="2499"/>
      <c r="D109" s="2499"/>
      <c r="E109" s="2499"/>
      <c r="F109" s="2499"/>
      <c r="G109" s="2499"/>
      <c r="H109" s="2499"/>
      <c r="I109" s="2499"/>
      <c r="J109" s="2499"/>
      <c r="K109" s="2499"/>
      <c r="L109" s="2499"/>
      <c r="M109" s="2499"/>
      <c r="N109" s="2499"/>
      <c r="O109" s="2499"/>
      <c r="P109" s="2499"/>
      <c r="Q109" s="2499"/>
      <c r="R109" s="2499"/>
      <c r="S109" s="2499"/>
      <c r="T109" s="2499"/>
      <c r="W109" s="434"/>
      <c r="X109" s="434"/>
    </row>
    <row r="110" spans="1:41" s="432" customFormat="1" ht="45" customHeight="1">
      <c r="A110" s="462" t="s">
        <v>601</v>
      </c>
      <c r="B110" s="2499" t="s">
        <v>1466</v>
      </c>
      <c r="C110" s="2499"/>
      <c r="D110" s="2499"/>
      <c r="E110" s="2499"/>
      <c r="F110" s="2499"/>
      <c r="G110" s="2499"/>
      <c r="H110" s="2499"/>
      <c r="I110" s="2499"/>
      <c r="J110" s="2499"/>
      <c r="K110" s="2499"/>
      <c r="L110" s="2499"/>
      <c r="M110" s="2499"/>
      <c r="N110" s="2499"/>
      <c r="O110" s="2499"/>
      <c r="P110" s="2499"/>
      <c r="Q110" s="2499"/>
      <c r="R110" s="2499"/>
      <c r="S110" s="2499"/>
      <c r="T110" s="2499"/>
      <c r="X110" s="434"/>
    </row>
    <row r="111" spans="1:41" s="450" customFormat="1" ht="15" customHeight="1">
      <c r="A111" s="433" t="s">
        <v>1880</v>
      </c>
      <c r="B111" s="845"/>
      <c r="C111" s="845"/>
      <c r="D111" s="845"/>
      <c r="E111" s="845"/>
      <c r="F111" s="846"/>
      <c r="G111" s="846"/>
      <c r="H111" s="846"/>
      <c r="I111" s="846"/>
      <c r="J111" s="846"/>
      <c r="K111" s="846"/>
      <c r="L111" s="846"/>
      <c r="M111" s="846"/>
      <c r="N111" s="846"/>
      <c r="O111" s="846"/>
      <c r="P111" s="846"/>
      <c r="Q111" s="846"/>
      <c r="R111" s="846"/>
      <c r="S111" s="846"/>
      <c r="T111" s="457"/>
      <c r="U111" s="451" t="s">
        <v>1840</v>
      </c>
      <c r="V111" s="847"/>
      <c r="W111" s="434"/>
      <c r="X111" s="609"/>
      <c r="Y111" s="609"/>
    </row>
    <row r="112" spans="1:41" s="432" customFormat="1" ht="30" customHeight="1">
      <c r="A112" s="926"/>
      <c r="B112" s="2497" t="s">
        <v>1919</v>
      </c>
      <c r="C112" s="2497"/>
      <c r="D112" s="2497"/>
      <c r="E112" s="2497"/>
      <c r="F112" s="2497"/>
      <c r="G112" s="2497"/>
      <c r="H112" s="2497"/>
      <c r="I112" s="2497"/>
      <c r="J112" s="2497"/>
      <c r="K112" s="2497"/>
      <c r="L112" s="2497"/>
      <c r="M112" s="2497"/>
      <c r="N112" s="2497"/>
      <c r="O112" s="2497"/>
      <c r="P112" s="2497"/>
      <c r="Q112" s="2497"/>
      <c r="R112" s="2497"/>
      <c r="S112" s="2497"/>
      <c r="T112" s="2497"/>
      <c r="V112" s="434"/>
      <c r="W112" s="449"/>
      <c r="X112" s="449"/>
      <c r="Y112" s="449"/>
      <c r="Z112" s="449"/>
      <c r="AA112" s="449"/>
      <c r="AB112" s="449"/>
      <c r="AC112" s="449"/>
      <c r="AD112" s="449"/>
      <c r="AE112" s="449"/>
      <c r="AF112" s="449"/>
      <c r="AG112" s="449"/>
      <c r="AH112" s="449"/>
      <c r="AI112" s="449"/>
      <c r="AJ112" s="449"/>
      <c r="AK112" s="449"/>
      <c r="AL112" s="449"/>
      <c r="AM112" s="449"/>
      <c r="AN112" s="449"/>
      <c r="AO112" s="449"/>
    </row>
    <row r="113" spans="1:41" s="432" customFormat="1" ht="15" customHeight="1">
      <c r="A113" s="2610" t="s">
        <v>599</v>
      </c>
      <c r="B113" s="2610"/>
      <c r="C113" s="2497" t="s">
        <v>1946</v>
      </c>
      <c r="D113" s="2497"/>
      <c r="E113" s="2497"/>
      <c r="F113" s="2497"/>
      <c r="G113" s="2497"/>
      <c r="H113" s="2497"/>
      <c r="I113" s="2497"/>
      <c r="J113" s="2497"/>
      <c r="K113" s="2497"/>
      <c r="L113" s="2497"/>
      <c r="M113" s="2497"/>
      <c r="N113" s="2497"/>
      <c r="O113" s="2497"/>
      <c r="P113" s="2497"/>
      <c r="Q113" s="2497"/>
      <c r="R113" s="2497"/>
      <c r="S113" s="2497"/>
      <c r="T113" s="2497"/>
      <c r="V113" s="434"/>
      <c r="W113" s="449"/>
      <c r="X113" s="449"/>
      <c r="Y113" s="449"/>
      <c r="Z113" s="449"/>
      <c r="AA113" s="449"/>
      <c r="AB113" s="449"/>
      <c r="AC113" s="449"/>
      <c r="AD113" s="449"/>
      <c r="AE113" s="449"/>
      <c r="AF113" s="449"/>
      <c r="AG113" s="449"/>
      <c r="AH113" s="449"/>
      <c r="AI113" s="449"/>
      <c r="AJ113" s="449"/>
      <c r="AK113" s="449"/>
      <c r="AL113" s="449"/>
      <c r="AM113" s="449"/>
      <c r="AN113" s="449"/>
      <c r="AO113" s="449"/>
    </row>
    <row r="114" spans="1:41" s="432" customFormat="1" ht="15" customHeight="1">
      <c r="A114" s="2610"/>
      <c r="B114" s="2610"/>
      <c r="C114" s="2497"/>
      <c r="D114" s="2497"/>
      <c r="E114" s="2497"/>
      <c r="F114" s="2497"/>
      <c r="G114" s="2497"/>
      <c r="H114" s="2497"/>
      <c r="I114" s="2497"/>
      <c r="J114" s="2497"/>
      <c r="K114" s="2497"/>
      <c r="L114" s="2497"/>
      <c r="M114" s="2497"/>
      <c r="N114" s="2497"/>
      <c r="O114" s="2497"/>
      <c r="P114" s="2497"/>
      <c r="Q114" s="2497"/>
      <c r="R114" s="2497"/>
      <c r="S114" s="2497"/>
      <c r="T114" s="2497"/>
      <c r="V114" s="434"/>
      <c r="W114" s="449"/>
      <c r="X114" s="449"/>
      <c r="Y114" s="449"/>
      <c r="Z114" s="449"/>
      <c r="AA114" s="449"/>
      <c r="AB114" s="449"/>
      <c r="AC114" s="449"/>
      <c r="AD114" s="449"/>
      <c r="AE114" s="449"/>
      <c r="AF114" s="449"/>
      <c r="AG114" s="449"/>
      <c r="AH114" s="449"/>
      <c r="AI114" s="449"/>
      <c r="AJ114" s="449"/>
      <c r="AK114" s="449"/>
      <c r="AL114" s="449"/>
      <c r="AM114" s="449"/>
      <c r="AN114" s="449"/>
      <c r="AO114" s="449"/>
    </row>
    <row r="115" spans="1:41" s="432" customFormat="1" ht="15" customHeight="1">
      <c r="A115" s="926"/>
      <c r="C115" s="848" t="s">
        <v>1896</v>
      </c>
      <c r="D115" s="848"/>
      <c r="E115" s="848"/>
      <c r="F115" s="848"/>
      <c r="G115" s="848"/>
      <c r="H115" s="848"/>
      <c r="I115" s="848"/>
      <c r="J115" s="848"/>
      <c r="K115" s="848"/>
      <c r="L115" s="848"/>
      <c r="M115" s="848"/>
      <c r="N115" s="848"/>
      <c r="O115" s="848"/>
      <c r="P115" s="848"/>
      <c r="Q115" s="848"/>
      <c r="R115" s="848"/>
      <c r="S115" s="848"/>
      <c r="T115" s="857"/>
      <c r="V115" s="434"/>
      <c r="W115" s="449"/>
      <c r="X115" s="449"/>
      <c r="Y115" s="449"/>
      <c r="Z115" s="449"/>
      <c r="AA115" s="449"/>
      <c r="AB115" s="449"/>
      <c r="AC115" s="449"/>
      <c r="AD115" s="449"/>
      <c r="AE115" s="449"/>
      <c r="AF115" s="449"/>
      <c r="AG115" s="449"/>
      <c r="AH115" s="449"/>
      <c r="AI115" s="449"/>
      <c r="AJ115" s="449"/>
      <c r="AK115" s="449"/>
      <c r="AL115" s="449"/>
      <c r="AM115" s="449"/>
      <c r="AN115" s="449"/>
      <c r="AO115" s="449"/>
    </row>
    <row r="116" spans="1:41" s="432" customFormat="1" ht="15" customHeight="1">
      <c r="A116" s="926"/>
      <c r="B116" s="849"/>
      <c r="C116" s="2497" t="s">
        <v>1918</v>
      </c>
      <c r="D116" s="2497"/>
      <c r="E116" s="2497"/>
      <c r="F116" s="2497"/>
      <c r="G116" s="2497"/>
      <c r="H116" s="2497"/>
      <c r="I116" s="2497"/>
      <c r="J116" s="2497"/>
      <c r="K116" s="2497"/>
      <c r="L116" s="2497"/>
      <c r="M116" s="2497"/>
      <c r="N116" s="2497"/>
      <c r="O116" s="2497"/>
      <c r="P116" s="2497"/>
      <c r="Q116" s="2497"/>
      <c r="R116" s="2497"/>
      <c r="S116" s="2497"/>
      <c r="T116" s="2497"/>
      <c r="V116" s="434"/>
      <c r="W116" s="449"/>
      <c r="X116" s="449"/>
      <c r="Y116" s="449"/>
      <c r="Z116" s="449"/>
      <c r="AA116" s="449"/>
      <c r="AB116" s="449"/>
      <c r="AC116" s="449"/>
      <c r="AD116" s="449"/>
      <c r="AE116" s="449"/>
      <c r="AF116" s="449"/>
      <c r="AG116" s="449"/>
      <c r="AH116" s="449"/>
      <c r="AI116" s="449"/>
      <c r="AJ116" s="449"/>
      <c r="AK116" s="449"/>
      <c r="AL116" s="449"/>
      <c r="AM116" s="449"/>
      <c r="AN116" s="449"/>
      <c r="AO116" s="449"/>
    </row>
    <row r="117" spans="1:41" s="432" customFormat="1" ht="15" customHeight="1">
      <c r="A117" s="926"/>
      <c r="B117" s="849"/>
      <c r="C117" s="2497" t="s">
        <v>1994</v>
      </c>
      <c r="D117" s="2611"/>
      <c r="E117" s="2611"/>
      <c r="F117" s="2611"/>
      <c r="G117" s="2611"/>
      <c r="H117" s="2611"/>
      <c r="I117" s="2611"/>
      <c r="J117" s="2611"/>
      <c r="K117" s="2611"/>
      <c r="L117" s="2611"/>
      <c r="M117" s="2611"/>
      <c r="N117" s="2611"/>
      <c r="O117" s="2611"/>
      <c r="P117" s="2611"/>
      <c r="Q117" s="2611"/>
      <c r="R117" s="2611"/>
      <c r="S117" s="2611"/>
      <c r="T117" s="2611"/>
      <c r="V117" s="434"/>
      <c r="W117" s="449"/>
      <c r="X117" s="449"/>
      <c r="Y117" s="449"/>
      <c r="Z117" s="449"/>
      <c r="AA117" s="449"/>
      <c r="AB117" s="449"/>
      <c r="AC117" s="449"/>
      <c r="AD117" s="449"/>
      <c r="AE117" s="449"/>
      <c r="AF117" s="449"/>
      <c r="AG117" s="449"/>
      <c r="AH117" s="449"/>
      <c r="AI117" s="449"/>
      <c r="AJ117" s="449"/>
      <c r="AK117" s="449"/>
      <c r="AL117" s="449"/>
      <c r="AM117" s="449"/>
      <c r="AN117" s="449"/>
      <c r="AO117" s="449"/>
    </row>
    <row r="118" spans="1:41" s="432" customFormat="1" ht="15" customHeight="1">
      <c r="A118" s="926"/>
      <c r="B118" s="849"/>
      <c r="C118" s="2611"/>
      <c r="D118" s="2611"/>
      <c r="E118" s="2611"/>
      <c r="F118" s="2611"/>
      <c r="G118" s="2611"/>
      <c r="H118" s="2611"/>
      <c r="I118" s="2611"/>
      <c r="J118" s="2611"/>
      <c r="K118" s="2611"/>
      <c r="L118" s="2611"/>
      <c r="M118" s="2611"/>
      <c r="N118" s="2611"/>
      <c r="O118" s="2611"/>
      <c r="P118" s="2611"/>
      <c r="Q118" s="2611"/>
      <c r="R118" s="2611"/>
      <c r="S118" s="2611"/>
      <c r="T118" s="2611"/>
      <c r="V118" s="434"/>
      <c r="W118" s="449"/>
      <c r="X118" s="449"/>
      <c r="Y118" s="449"/>
      <c r="Z118" s="449"/>
      <c r="AA118" s="449"/>
      <c r="AB118" s="449"/>
      <c r="AC118" s="449"/>
      <c r="AD118" s="449"/>
      <c r="AE118" s="449"/>
      <c r="AF118" s="449"/>
      <c r="AG118" s="449"/>
      <c r="AH118" s="449"/>
      <c r="AI118" s="449"/>
      <c r="AJ118" s="449"/>
      <c r="AK118" s="449"/>
      <c r="AL118" s="449"/>
      <c r="AM118" s="449"/>
      <c r="AN118" s="449"/>
      <c r="AO118" s="449"/>
    </row>
    <row r="119" spans="1:41" s="432" customFormat="1" ht="15" customHeight="1">
      <c r="A119" s="788"/>
      <c r="B119" s="848"/>
      <c r="C119" s="2497" t="s">
        <v>1899</v>
      </c>
      <c r="D119" s="2497"/>
      <c r="E119" s="2497"/>
      <c r="F119" s="2497"/>
      <c r="G119" s="2497"/>
      <c r="H119" s="2497"/>
      <c r="I119" s="2497"/>
      <c r="J119" s="2497"/>
      <c r="K119" s="2497"/>
      <c r="L119" s="2497"/>
      <c r="M119" s="2497"/>
      <c r="N119" s="2497"/>
      <c r="O119" s="2497"/>
      <c r="P119" s="2497"/>
      <c r="Q119" s="2497"/>
      <c r="R119" s="2497"/>
      <c r="S119" s="2497"/>
      <c r="T119" s="2497"/>
      <c r="V119" s="434"/>
      <c r="W119" s="449"/>
      <c r="X119" s="449"/>
      <c r="Y119" s="449"/>
      <c r="Z119" s="449"/>
      <c r="AA119" s="449"/>
      <c r="AB119" s="449"/>
      <c r="AC119" s="449"/>
      <c r="AD119" s="449"/>
      <c r="AE119" s="449"/>
      <c r="AF119" s="449"/>
      <c r="AG119" s="449"/>
      <c r="AH119" s="449"/>
      <c r="AI119" s="449"/>
      <c r="AJ119" s="449"/>
      <c r="AK119" s="449"/>
      <c r="AL119" s="449"/>
      <c r="AM119" s="449"/>
      <c r="AN119" s="449"/>
      <c r="AO119" s="449"/>
    </row>
    <row r="120" spans="1:41" s="432" customFormat="1" ht="15" customHeight="1">
      <c r="A120" s="2610" t="s">
        <v>601</v>
      </c>
      <c r="B120" s="2610"/>
      <c r="C120" s="2612" t="s">
        <v>1948</v>
      </c>
      <c r="D120" s="2612"/>
      <c r="E120" s="2612"/>
      <c r="F120" s="2612"/>
      <c r="G120" s="2612"/>
      <c r="H120" s="2612"/>
      <c r="I120" s="2612"/>
      <c r="J120" s="2612"/>
      <c r="K120" s="2612"/>
      <c r="L120" s="2612"/>
      <c r="M120" s="2612"/>
      <c r="N120" s="2612"/>
      <c r="O120" s="2612"/>
      <c r="P120" s="2612"/>
      <c r="Q120" s="2612"/>
      <c r="R120" s="2612"/>
      <c r="S120" s="2612"/>
      <c r="T120" s="2612"/>
      <c r="W120" s="434"/>
      <c r="X120" s="434"/>
      <c r="Y120" s="858"/>
      <c r="Z120" s="858"/>
    </row>
    <row r="121" spans="1:41" s="432" customFormat="1" ht="15" customHeight="1">
      <c r="A121" s="2610"/>
      <c r="B121" s="2610"/>
      <c r="C121" s="2612"/>
      <c r="D121" s="2612"/>
      <c r="E121" s="2612"/>
      <c r="F121" s="2612"/>
      <c r="G121" s="2612"/>
      <c r="H121" s="2612"/>
      <c r="I121" s="2612"/>
      <c r="J121" s="2612"/>
      <c r="K121" s="2612"/>
      <c r="L121" s="2612"/>
      <c r="M121" s="2612"/>
      <c r="N121" s="2612"/>
      <c r="O121" s="2612"/>
      <c r="P121" s="2612"/>
      <c r="Q121" s="2612"/>
      <c r="R121" s="2612"/>
      <c r="S121" s="2612"/>
      <c r="T121" s="2612"/>
      <c r="W121" s="434"/>
      <c r="X121" s="434"/>
      <c r="Y121" s="858"/>
      <c r="Z121" s="858"/>
    </row>
    <row r="122" spans="1:41" s="432" customFormat="1" ht="15" customHeight="1">
      <c r="A122" s="2610" t="s">
        <v>635</v>
      </c>
      <c r="B122" s="2610"/>
      <c r="C122" s="2612" t="s">
        <v>1900</v>
      </c>
      <c r="D122" s="2612"/>
      <c r="E122" s="2612"/>
      <c r="F122" s="2612"/>
      <c r="G122" s="2612"/>
      <c r="H122" s="2612"/>
      <c r="I122" s="2612"/>
      <c r="J122" s="2612"/>
      <c r="K122" s="2612"/>
      <c r="L122" s="2612"/>
      <c r="M122" s="2612"/>
      <c r="N122" s="2612"/>
      <c r="O122" s="2612"/>
      <c r="P122" s="2612"/>
      <c r="Q122" s="2612"/>
      <c r="R122" s="2612"/>
      <c r="S122" s="2612"/>
      <c r="T122" s="2612"/>
      <c r="W122" s="434"/>
      <c r="X122" s="434"/>
      <c r="Y122" s="858"/>
      <c r="Z122" s="858"/>
    </row>
    <row r="123" spans="1:41" s="432" customFormat="1" ht="15" customHeight="1">
      <c r="A123" s="2610"/>
      <c r="B123" s="2610"/>
      <c r="C123" s="2612"/>
      <c r="D123" s="2612"/>
      <c r="E123" s="2612"/>
      <c r="F123" s="2612"/>
      <c r="G123" s="2612"/>
      <c r="H123" s="2612"/>
      <c r="I123" s="2612"/>
      <c r="J123" s="2612"/>
      <c r="K123" s="2612"/>
      <c r="L123" s="2612"/>
      <c r="M123" s="2612"/>
      <c r="N123" s="2612"/>
      <c r="O123" s="2612"/>
      <c r="P123" s="2612"/>
      <c r="Q123" s="2612"/>
      <c r="R123" s="2612"/>
      <c r="S123" s="2612"/>
      <c r="T123" s="2612"/>
      <c r="W123" s="434"/>
      <c r="X123" s="434"/>
      <c r="Y123" s="858"/>
      <c r="Z123" s="858"/>
    </row>
    <row r="124" spans="1:41" s="432" customFormat="1" ht="15" customHeight="1">
      <c r="A124" s="2610" t="s">
        <v>655</v>
      </c>
      <c r="B124" s="2610"/>
      <c r="C124" s="2497" t="s">
        <v>1901</v>
      </c>
      <c r="D124" s="2497"/>
      <c r="E124" s="2497"/>
      <c r="F124" s="2497"/>
      <c r="G124" s="2497"/>
      <c r="H124" s="2497"/>
      <c r="I124" s="2497"/>
      <c r="J124" s="2497"/>
      <c r="K124" s="2497"/>
      <c r="L124" s="2497"/>
      <c r="M124" s="2497"/>
      <c r="N124" s="2497"/>
      <c r="O124" s="2497"/>
      <c r="P124" s="2497"/>
      <c r="Q124" s="2497"/>
      <c r="R124" s="2497"/>
      <c r="S124" s="2497"/>
      <c r="T124" s="2497"/>
      <c r="V124" s="434"/>
      <c r="W124" s="449"/>
      <c r="X124" s="449"/>
      <c r="Y124" s="449"/>
      <c r="Z124" s="449"/>
      <c r="AA124" s="449"/>
      <c r="AB124" s="449"/>
      <c r="AC124" s="449"/>
      <c r="AD124" s="449"/>
      <c r="AE124" s="449"/>
      <c r="AF124" s="449"/>
      <c r="AG124" s="449"/>
      <c r="AH124" s="449"/>
      <c r="AI124" s="449"/>
      <c r="AJ124" s="449"/>
      <c r="AK124" s="449"/>
      <c r="AL124" s="449"/>
      <c r="AM124" s="449"/>
      <c r="AN124" s="449"/>
      <c r="AO124" s="449"/>
    </row>
    <row r="125" spans="1:41" s="432" customFormat="1" ht="15" customHeight="1">
      <c r="A125" s="2610"/>
      <c r="B125" s="2610"/>
      <c r="C125" s="2497"/>
      <c r="D125" s="2497"/>
      <c r="E125" s="2497"/>
      <c r="F125" s="2497"/>
      <c r="G125" s="2497"/>
      <c r="H125" s="2497"/>
      <c r="I125" s="2497"/>
      <c r="J125" s="2497"/>
      <c r="K125" s="2497"/>
      <c r="L125" s="2497"/>
      <c r="M125" s="2497"/>
      <c r="N125" s="2497"/>
      <c r="O125" s="2497"/>
      <c r="P125" s="2497"/>
      <c r="Q125" s="2497"/>
      <c r="R125" s="2497"/>
      <c r="S125" s="2497"/>
      <c r="T125" s="2497"/>
      <c r="V125" s="434"/>
      <c r="W125" s="449"/>
      <c r="X125" s="449"/>
      <c r="Y125" s="449"/>
      <c r="Z125" s="449"/>
      <c r="AA125" s="449"/>
      <c r="AB125" s="449"/>
      <c r="AC125" s="449"/>
      <c r="AD125" s="449"/>
      <c r="AE125" s="449"/>
      <c r="AF125" s="449"/>
      <c r="AG125" s="449"/>
      <c r="AH125" s="449"/>
      <c r="AI125" s="449"/>
      <c r="AJ125" s="449"/>
      <c r="AK125" s="449"/>
      <c r="AL125" s="449"/>
      <c r="AM125" s="449"/>
      <c r="AN125" s="449"/>
      <c r="AO125" s="449"/>
    </row>
    <row r="126" spans="1:41" s="432" customFormat="1" ht="15" customHeight="1">
      <c r="A126" s="454" t="s">
        <v>1467</v>
      </c>
      <c r="B126" s="433"/>
      <c r="C126" s="433"/>
      <c r="X126" s="434"/>
    </row>
    <row r="127" spans="1:41" s="432" customFormat="1" ht="45" customHeight="1">
      <c r="A127" s="462" t="s">
        <v>599</v>
      </c>
      <c r="B127" s="2562" t="s">
        <v>1468</v>
      </c>
      <c r="C127" s="2562"/>
      <c r="D127" s="2562"/>
      <c r="E127" s="2562"/>
      <c r="F127" s="2562"/>
      <c r="G127" s="2562"/>
      <c r="H127" s="2562"/>
      <c r="I127" s="2562"/>
      <c r="J127" s="2562"/>
      <c r="K127" s="2562"/>
      <c r="L127" s="2562"/>
      <c r="M127" s="2562"/>
      <c r="N127" s="2562"/>
      <c r="O127" s="2562"/>
      <c r="P127" s="2562"/>
      <c r="Q127" s="2562"/>
      <c r="R127" s="2562"/>
      <c r="S127" s="2562"/>
      <c r="T127" s="2562"/>
      <c r="X127" s="434"/>
    </row>
    <row r="128" spans="1:41" s="432" customFormat="1" ht="15" customHeight="1">
      <c r="A128" s="462" t="s">
        <v>601</v>
      </c>
      <c r="B128" s="2562" t="s">
        <v>1469</v>
      </c>
      <c r="C128" s="2562"/>
      <c r="D128" s="2562"/>
      <c r="E128" s="2562"/>
      <c r="F128" s="2562"/>
      <c r="G128" s="2562"/>
      <c r="H128" s="2562"/>
      <c r="I128" s="2562"/>
      <c r="J128" s="2562"/>
      <c r="K128" s="2562"/>
      <c r="L128" s="2562"/>
      <c r="M128" s="2562"/>
      <c r="N128" s="2562"/>
      <c r="O128" s="2562"/>
      <c r="P128" s="2562"/>
      <c r="Q128" s="2562"/>
      <c r="R128" s="2562"/>
      <c r="S128" s="2562"/>
      <c r="T128" s="2562"/>
      <c r="X128" s="434"/>
    </row>
    <row r="129" spans="1:26" s="432" customFormat="1" ht="30" customHeight="1">
      <c r="A129" s="462" t="s">
        <v>981</v>
      </c>
      <c r="B129" s="2562" t="s">
        <v>1470</v>
      </c>
      <c r="C129" s="2562"/>
      <c r="D129" s="2562"/>
      <c r="E129" s="2562"/>
      <c r="F129" s="2562"/>
      <c r="G129" s="2562"/>
      <c r="H129" s="2562"/>
      <c r="I129" s="2562"/>
      <c r="J129" s="2562"/>
      <c r="K129" s="2562"/>
      <c r="L129" s="2562"/>
      <c r="M129" s="2562"/>
      <c r="N129" s="2562"/>
      <c r="O129" s="2562"/>
      <c r="P129" s="2562"/>
      <c r="Q129" s="2562"/>
      <c r="R129" s="2562"/>
      <c r="S129" s="2562"/>
      <c r="T129" s="2562"/>
      <c r="X129" s="434"/>
    </row>
    <row r="130" spans="1:26" s="432" customFormat="1" ht="15" customHeight="1">
      <c r="A130" s="459" t="s">
        <v>75</v>
      </c>
      <c r="B130" s="461" t="s">
        <v>1471</v>
      </c>
      <c r="C130" s="461"/>
      <c r="D130" s="461"/>
      <c r="E130" s="461"/>
      <c r="F130" s="461"/>
      <c r="G130" s="461"/>
      <c r="H130" s="461"/>
      <c r="I130" s="461"/>
      <c r="J130" s="461"/>
      <c r="K130" s="461"/>
      <c r="L130" s="461"/>
      <c r="M130" s="461"/>
      <c r="N130" s="461"/>
      <c r="O130" s="461"/>
      <c r="P130" s="461"/>
      <c r="Q130" s="859"/>
      <c r="R130" s="859"/>
      <c r="S130" s="859"/>
      <c r="T130" s="859"/>
      <c r="X130" s="434"/>
    </row>
    <row r="131" spans="1:26" s="450" customFormat="1" ht="15" customHeight="1">
      <c r="A131" s="786"/>
      <c r="B131" s="787"/>
      <c r="C131" s="788"/>
      <c r="D131" s="435"/>
      <c r="E131" s="435"/>
      <c r="F131" s="789"/>
      <c r="G131" s="789"/>
      <c r="H131" s="789"/>
      <c r="I131" s="789"/>
      <c r="J131" s="789"/>
      <c r="K131" s="789"/>
      <c r="L131" s="789"/>
      <c r="M131" s="789"/>
      <c r="N131" s="789"/>
      <c r="O131" s="789"/>
      <c r="P131" s="789"/>
      <c r="Q131" s="789"/>
      <c r="R131" s="789"/>
      <c r="S131" s="789"/>
      <c r="T131" s="457"/>
      <c r="W131" s="451"/>
      <c r="X131" s="451"/>
      <c r="Y131" s="609"/>
      <c r="Z131" s="609"/>
    </row>
    <row r="132" spans="1:26" s="432" customFormat="1" ht="15" customHeight="1">
      <c r="A132" s="432" t="str">
        <f>DBCS(【マスター】!C4&amp;【マスター】!D4&amp;【マスター】!E4&amp;"　"&amp;【マスター】!F4&amp;【マスター】!G4&amp;"　"&amp;【マスター】!H4&amp;"日")</f>
        <v>令和６年　６月　１日</v>
      </c>
      <c r="B132" s="433"/>
      <c r="C132" s="457"/>
      <c r="D132" s="457"/>
      <c r="E132" s="457"/>
      <c r="F132" s="457"/>
      <c r="G132" s="457"/>
      <c r="H132" s="457"/>
      <c r="I132" s="457"/>
      <c r="J132" s="457"/>
      <c r="K132" s="457"/>
      <c r="L132" s="457"/>
      <c r="M132" s="457"/>
      <c r="N132" s="457"/>
      <c r="O132" s="457"/>
      <c r="P132" s="457"/>
      <c r="Q132" s="457"/>
      <c r="R132" s="457"/>
      <c r="S132" s="457"/>
      <c r="T132" s="457"/>
      <c r="X132" s="434"/>
    </row>
    <row r="133" spans="1:26" s="432" customFormat="1" ht="15" customHeight="1">
      <c r="B133" s="433"/>
      <c r="C133" s="457"/>
      <c r="D133" s="457"/>
      <c r="E133" s="457"/>
      <c r="F133" s="457"/>
      <c r="G133" s="457"/>
      <c r="H133" s="457"/>
      <c r="I133" s="457"/>
      <c r="J133" s="457"/>
      <c r="K133" s="457"/>
      <c r="L133" s="457"/>
      <c r="M133" s="457"/>
      <c r="N133" s="457"/>
      <c r="O133" s="457"/>
      <c r="P133" s="457"/>
      <c r="Q133" s="457"/>
      <c r="R133" s="457"/>
      <c r="S133" s="457"/>
      <c r="T133" s="457"/>
      <c r="X133" s="434"/>
    </row>
    <row r="134" spans="1:26" s="432" customFormat="1" ht="15" customHeight="1">
      <c r="B134" s="433"/>
      <c r="C134" s="463" t="s">
        <v>489</v>
      </c>
      <c r="D134" s="457"/>
      <c r="E134" s="457"/>
      <c r="F134" s="457"/>
      <c r="G134" s="457"/>
      <c r="H134" s="430" t="s">
        <v>490</v>
      </c>
      <c r="K134" s="2576" t="str">
        <f>DBCS(【マスター】!F22&amp;【マスター】!C23)</f>
        <v>愛知県豊川市大堀町２９３番地</v>
      </c>
      <c r="L134" s="2576"/>
      <c r="M134" s="2576"/>
      <c r="N134" s="2576"/>
      <c r="O134" s="2576"/>
      <c r="P134" s="2576"/>
      <c r="Q134" s="2576"/>
      <c r="R134" s="2576"/>
      <c r="S134" s="2576"/>
      <c r="T134" s="2576"/>
      <c r="X134" s="434"/>
    </row>
    <row r="135" spans="1:26" s="432" customFormat="1" ht="15" customHeight="1">
      <c r="B135" s="433"/>
      <c r="C135" s="433"/>
      <c r="H135" s="430" t="s">
        <v>491</v>
      </c>
      <c r="K135" s="2565" t="str">
        <f>【マスター】!C21</f>
        <v>株式会社ケアサポート</v>
      </c>
      <c r="L135" s="2565"/>
      <c r="M135" s="2565"/>
      <c r="N135" s="2565"/>
      <c r="O135" s="2565"/>
      <c r="P135" s="2565"/>
      <c r="Q135" s="2565"/>
      <c r="R135" s="2565"/>
      <c r="S135" s="2565"/>
      <c r="T135" s="2565"/>
      <c r="X135" s="434"/>
    </row>
    <row r="136" spans="1:26" s="432" customFormat="1" ht="15" customHeight="1">
      <c r="B136" s="433"/>
      <c r="C136" s="433"/>
      <c r="H136" s="430" t="s">
        <v>492</v>
      </c>
      <c r="K136" s="2566" t="str">
        <f>DBCS(【マスター】!C25&amp;" "&amp;【マスター】!I25)</f>
        <v>代表取締役　本多康夫</v>
      </c>
      <c r="L136" s="2566"/>
      <c r="M136" s="2566"/>
      <c r="N136" s="2566"/>
      <c r="O136" s="2566"/>
      <c r="P136" s="2566"/>
      <c r="Q136" s="2566"/>
      <c r="R136" s="2566"/>
      <c r="S136" s="2566"/>
      <c r="T136" s="2566"/>
      <c r="X136" s="434"/>
    </row>
    <row r="137" spans="1:26" s="432" customFormat="1" ht="15" customHeight="1">
      <c r="B137" s="433"/>
      <c r="C137" s="433"/>
      <c r="D137" s="457"/>
      <c r="E137" s="457"/>
      <c r="F137" s="457"/>
      <c r="G137" s="457"/>
      <c r="H137" s="433" t="s">
        <v>78</v>
      </c>
      <c r="I137" s="457"/>
      <c r="J137" s="457"/>
      <c r="K137" s="2565" t="str">
        <f>【マスター】!C7&amp;【マスター】!E7</f>
        <v>デイサービスさつきの湯</v>
      </c>
      <c r="L137" s="2565"/>
      <c r="M137" s="2565"/>
      <c r="N137" s="2565"/>
      <c r="O137" s="2565"/>
      <c r="P137" s="2565"/>
      <c r="Q137" s="2565"/>
      <c r="R137" s="2565"/>
      <c r="S137" s="2565"/>
      <c r="T137" s="2565"/>
      <c r="X137" s="434"/>
    </row>
    <row r="138" spans="1:26" s="432" customFormat="1" ht="15" customHeight="1">
      <c r="B138" s="433"/>
      <c r="C138" s="433"/>
      <c r="X138" s="434"/>
    </row>
    <row r="139" spans="1:26" s="432" customFormat="1" ht="15" customHeight="1">
      <c r="B139" s="433"/>
      <c r="C139" s="433"/>
      <c r="X139" s="434"/>
    </row>
    <row r="140" spans="1:26" s="432" customFormat="1" ht="15" customHeight="1">
      <c r="B140" s="433"/>
      <c r="C140" s="433"/>
      <c r="X140" s="434"/>
    </row>
    <row r="141" spans="1:26" s="432" customFormat="1" ht="15" customHeight="1">
      <c r="B141" s="433"/>
      <c r="C141" s="433"/>
      <c r="X141" s="434"/>
    </row>
    <row r="142" spans="1:26" s="432" customFormat="1" ht="15" customHeight="1">
      <c r="B142" s="433"/>
      <c r="C142" s="433"/>
      <c r="X142" s="434"/>
    </row>
    <row r="143" spans="1:26" s="432" customFormat="1" ht="15" customHeight="1">
      <c r="B143" s="433"/>
      <c r="C143" s="433"/>
      <c r="X143" s="434"/>
    </row>
    <row r="144" spans="1:26" s="432" customFormat="1" ht="15" customHeight="1">
      <c r="B144" s="433"/>
      <c r="C144" s="433"/>
      <c r="X144" s="434"/>
    </row>
    <row r="145" spans="2:24" s="432" customFormat="1" ht="15" customHeight="1">
      <c r="B145" s="433"/>
      <c r="C145" s="433"/>
      <c r="X145" s="434"/>
    </row>
    <row r="146" spans="2:24" s="432" customFormat="1" ht="15" customHeight="1">
      <c r="B146" s="433"/>
      <c r="C146" s="433"/>
      <c r="X146" s="434"/>
    </row>
    <row r="147" spans="2:24" s="432" customFormat="1" ht="15" customHeight="1">
      <c r="B147" s="433"/>
      <c r="C147" s="433"/>
      <c r="X147" s="434"/>
    </row>
    <row r="148" spans="2:24" s="432" customFormat="1" ht="15" customHeight="1">
      <c r="B148" s="433"/>
      <c r="C148" s="433"/>
      <c r="X148" s="434"/>
    </row>
    <row r="149" spans="2:24" s="432" customFormat="1" ht="15" customHeight="1">
      <c r="B149" s="433"/>
      <c r="C149" s="433"/>
      <c r="X149" s="434"/>
    </row>
    <row r="150" spans="2:24" s="432" customFormat="1" ht="15" customHeight="1">
      <c r="B150" s="433"/>
      <c r="C150" s="433"/>
      <c r="L150" s="464"/>
      <c r="M150" s="464"/>
      <c r="N150" s="464"/>
      <c r="O150" s="464"/>
      <c r="P150" s="464"/>
      <c r="Q150" s="464"/>
      <c r="R150" s="464"/>
      <c r="S150" s="464"/>
      <c r="T150" s="464"/>
      <c r="X150" s="434"/>
    </row>
    <row r="151" spans="2:24" s="432" customFormat="1" ht="15" customHeight="1">
      <c r="B151" s="433"/>
      <c r="C151" s="433"/>
      <c r="L151" s="464"/>
      <c r="M151" s="464"/>
      <c r="N151" s="464"/>
      <c r="O151" s="464"/>
      <c r="P151" s="464"/>
      <c r="Q151" s="464"/>
      <c r="R151" s="464"/>
      <c r="S151" s="464"/>
      <c r="T151" s="464"/>
      <c r="X151" s="434"/>
    </row>
    <row r="152" spans="2:24" s="432" customFormat="1" ht="15" customHeight="1">
      <c r="B152" s="433"/>
      <c r="C152" s="433"/>
      <c r="L152" s="464"/>
      <c r="M152" s="464"/>
      <c r="N152" s="464"/>
      <c r="O152" s="464"/>
      <c r="P152" s="464"/>
      <c r="Q152" s="464"/>
      <c r="R152" s="464"/>
      <c r="S152" s="464"/>
      <c r="T152" s="464"/>
      <c r="X152" s="434"/>
    </row>
    <row r="153" spans="2:24" s="432" customFormat="1" ht="15" customHeight="1">
      <c r="B153" s="433"/>
      <c r="C153" s="433"/>
      <c r="L153" s="464"/>
      <c r="M153" s="464"/>
      <c r="N153" s="464"/>
      <c r="O153" s="464"/>
      <c r="P153" s="464"/>
      <c r="Q153" s="464"/>
      <c r="R153" s="464"/>
      <c r="S153" s="464"/>
      <c r="T153" s="464"/>
      <c r="X153" s="434"/>
    </row>
    <row r="154" spans="2:24" s="432" customFormat="1" ht="15" customHeight="1">
      <c r="B154" s="433"/>
      <c r="C154" s="433"/>
      <c r="L154" s="464"/>
      <c r="M154" s="464"/>
      <c r="N154" s="464"/>
      <c r="O154" s="464"/>
      <c r="P154" s="464"/>
      <c r="Q154" s="464"/>
      <c r="R154" s="464"/>
      <c r="S154" s="464"/>
      <c r="X154" s="434"/>
    </row>
    <row r="155" spans="2:24" s="432" customFormat="1" ht="15" customHeight="1">
      <c r="B155" s="433"/>
      <c r="C155" s="433"/>
      <c r="X155" s="434"/>
    </row>
    <row r="156" spans="2:24" s="432" customFormat="1" ht="15" customHeight="1">
      <c r="B156" s="433"/>
      <c r="C156" s="433"/>
      <c r="X156" s="434"/>
    </row>
    <row r="157" spans="2:24" s="432" customFormat="1" ht="15" customHeight="1">
      <c r="B157" s="433"/>
      <c r="C157" s="433"/>
      <c r="X157" s="434"/>
    </row>
    <row r="158" spans="2:24" s="432" customFormat="1" ht="15" customHeight="1">
      <c r="B158" s="433"/>
      <c r="C158" s="433"/>
      <c r="X158" s="434"/>
    </row>
    <row r="159" spans="2:24" s="432" customFormat="1" ht="15" customHeight="1">
      <c r="B159" s="433"/>
      <c r="C159" s="433"/>
      <c r="X159" s="434"/>
    </row>
    <row r="160" spans="2:24" s="432" customFormat="1" ht="15" customHeight="1">
      <c r="B160" s="433"/>
      <c r="C160" s="433"/>
      <c r="X160" s="434"/>
    </row>
    <row r="161" spans="1:24" s="432" customFormat="1" ht="15" customHeight="1">
      <c r="B161" s="433"/>
      <c r="C161" s="433"/>
      <c r="X161" s="434"/>
    </row>
    <row r="162" spans="1:24" s="432" customFormat="1" ht="15" customHeight="1">
      <c r="B162" s="433"/>
      <c r="C162" s="433"/>
      <c r="X162" s="434"/>
    </row>
    <row r="163" spans="1:24" s="432" customFormat="1" ht="15" customHeight="1">
      <c r="B163" s="433"/>
      <c r="C163" s="433"/>
      <c r="X163" s="434"/>
    </row>
    <row r="164" spans="1:24" s="432" customFormat="1" ht="15" customHeight="1">
      <c r="B164" s="433"/>
      <c r="C164" s="433"/>
      <c r="X164" s="434"/>
    </row>
    <row r="165" spans="1:24" s="432" customFormat="1" ht="15" customHeight="1">
      <c r="B165" s="433"/>
      <c r="C165" s="433"/>
      <c r="X165" s="434"/>
    </row>
    <row r="166" spans="1:24" s="432" customFormat="1" ht="15" customHeight="1">
      <c r="B166" s="433"/>
      <c r="C166" s="433"/>
      <c r="X166" s="434"/>
    </row>
    <row r="167" spans="1:24">
      <c r="A167" s="432"/>
      <c r="B167" s="433"/>
      <c r="C167" s="433"/>
      <c r="D167" s="432"/>
      <c r="E167" s="432"/>
      <c r="F167" s="432"/>
      <c r="G167" s="432"/>
      <c r="H167" s="432"/>
      <c r="I167" s="432"/>
      <c r="J167" s="432"/>
      <c r="K167" s="432"/>
      <c r="L167" s="432"/>
      <c r="M167" s="432"/>
      <c r="N167" s="432"/>
      <c r="O167" s="432"/>
      <c r="P167" s="432"/>
      <c r="Q167" s="432"/>
      <c r="R167" s="432"/>
      <c r="S167" s="432"/>
      <c r="T167" s="432"/>
    </row>
  </sheetData>
  <sheetProtection selectLockedCells="1"/>
  <mergeCells count="207">
    <mergeCell ref="A113:B114"/>
    <mergeCell ref="A120:B121"/>
    <mergeCell ref="A122:B123"/>
    <mergeCell ref="A124:B125"/>
    <mergeCell ref="A100:A102"/>
    <mergeCell ref="B100:E102"/>
    <mergeCell ref="F100:J100"/>
    <mergeCell ref="K100:T100"/>
    <mergeCell ref="F101:J101"/>
    <mergeCell ref="K101:T101"/>
    <mergeCell ref="F102:J102"/>
    <mergeCell ref="K102:T102"/>
    <mergeCell ref="C116:T116"/>
    <mergeCell ref="C117:T118"/>
    <mergeCell ref="C119:T119"/>
    <mergeCell ref="C120:T121"/>
    <mergeCell ref="C122:T123"/>
    <mergeCell ref="C124:T125"/>
    <mergeCell ref="A97:A99"/>
    <mergeCell ref="F97:J97"/>
    <mergeCell ref="K97:T97"/>
    <mergeCell ref="F98:J98"/>
    <mergeCell ref="K98:T98"/>
    <mergeCell ref="F99:J99"/>
    <mergeCell ref="K99:T99"/>
    <mergeCell ref="B99:E99"/>
    <mergeCell ref="B97:E98"/>
    <mergeCell ref="A94:A96"/>
    <mergeCell ref="F94:J94"/>
    <mergeCell ref="K94:T94"/>
    <mergeCell ref="F95:J95"/>
    <mergeCell ref="K95:T95"/>
    <mergeCell ref="F96:J96"/>
    <mergeCell ref="K96:T96"/>
    <mergeCell ref="B96:E96"/>
    <mergeCell ref="B94:E95"/>
    <mergeCell ref="A91:A93"/>
    <mergeCell ref="F91:J91"/>
    <mergeCell ref="K91:T91"/>
    <mergeCell ref="F92:J92"/>
    <mergeCell ref="K92:T92"/>
    <mergeCell ref="F93:J93"/>
    <mergeCell ref="K93:T93"/>
    <mergeCell ref="B93:E93"/>
    <mergeCell ref="B91:E92"/>
    <mergeCell ref="A88:A90"/>
    <mergeCell ref="F88:J88"/>
    <mergeCell ref="K88:T88"/>
    <mergeCell ref="F89:J89"/>
    <mergeCell ref="K89:T89"/>
    <mergeCell ref="F90:J90"/>
    <mergeCell ref="K90:T90"/>
    <mergeCell ref="B90:E90"/>
    <mergeCell ref="B88:E89"/>
    <mergeCell ref="F85:J85"/>
    <mergeCell ref="K85:T85"/>
    <mergeCell ref="F86:J86"/>
    <mergeCell ref="K86:T86"/>
    <mergeCell ref="F87:J87"/>
    <mergeCell ref="K87:T87"/>
    <mergeCell ref="B87:E87"/>
    <mergeCell ref="B85:E86"/>
    <mergeCell ref="F82:H84"/>
    <mergeCell ref="K135:T135"/>
    <mergeCell ref="K136:T136"/>
    <mergeCell ref="K137:T137"/>
    <mergeCell ref="A80:A84"/>
    <mergeCell ref="B80:E84"/>
    <mergeCell ref="F80:J80"/>
    <mergeCell ref="K80:T80"/>
    <mergeCell ref="F81:J81"/>
    <mergeCell ref="A104:T104"/>
    <mergeCell ref="B107:T107"/>
    <mergeCell ref="B109:T109"/>
    <mergeCell ref="B110:T110"/>
    <mergeCell ref="B127:T127"/>
    <mergeCell ref="B128:T128"/>
    <mergeCell ref="K81:T81"/>
    <mergeCell ref="I82:J82"/>
    <mergeCell ref="K82:T82"/>
    <mergeCell ref="I83:J83"/>
    <mergeCell ref="K83:T83"/>
    <mergeCell ref="B129:T129"/>
    <mergeCell ref="K134:T134"/>
    <mergeCell ref="I84:J84"/>
    <mergeCell ref="K84:T84"/>
    <mergeCell ref="A85:A87"/>
    <mergeCell ref="B77:T77"/>
    <mergeCell ref="B78:S78"/>
    <mergeCell ref="D67:N67"/>
    <mergeCell ref="B71:T71"/>
    <mergeCell ref="B73:S73"/>
    <mergeCell ref="B74:T74"/>
    <mergeCell ref="B75:T75"/>
    <mergeCell ref="B76:T76"/>
    <mergeCell ref="B47:D47"/>
    <mergeCell ref="F47:T47"/>
    <mergeCell ref="B53:T53"/>
    <mergeCell ref="B55:T55"/>
    <mergeCell ref="B56:T56"/>
    <mergeCell ref="B62:T62"/>
    <mergeCell ref="A49:T49"/>
    <mergeCell ref="B44:D44"/>
    <mergeCell ref="F44:T44"/>
    <mergeCell ref="B45:D45"/>
    <mergeCell ref="F45:T45"/>
    <mergeCell ref="B46:D46"/>
    <mergeCell ref="F46:T46"/>
    <mergeCell ref="B41:D41"/>
    <mergeCell ref="F41:T41"/>
    <mergeCell ref="B42:D42"/>
    <mergeCell ref="F42:T42"/>
    <mergeCell ref="B43:D43"/>
    <mergeCell ref="F43:T43"/>
    <mergeCell ref="B36:F36"/>
    <mergeCell ref="H36:N36"/>
    <mergeCell ref="A39:E39"/>
    <mergeCell ref="F39:T39"/>
    <mergeCell ref="B40:D40"/>
    <mergeCell ref="F40:T40"/>
    <mergeCell ref="P30:T30"/>
    <mergeCell ref="A32:E32"/>
    <mergeCell ref="F32:T32"/>
    <mergeCell ref="B34:F34"/>
    <mergeCell ref="H34:N34"/>
    <mergeCell ref="B35:F35"/>
    <mergeCell ref="H35:N35"/>
    <mergeCell ref="A30:E30"/>
    <mergeCell ref="F30:G30"/>
    <mergeCell ref="H30:I30"/>
    <mergeCell ref="J30:K30"/>
    <mergeCell ref="L30:M30"/>
    <mergeCell ref="N30:O30"/>
    <mergeCell ref="P28:T28"/>
    <mergeCell ref="A29:E29"/>
    <mergeCell ref="F29:G29"/>
    <mergeCell ref="H29:I29"/>
    <mergeCell ref="J29:K29"/>
    <mergeCell ref="L29:M29"/>
    <mergeCell ref="N29:O29"/>
    <mergeCell ref="P29:T29"/>
    <mergeCell ref="A28:E28"/>
    <mergeCell ref="F28:G28"/>
    <mergeCell ref="H28:I28"/>
    <mergeCell ref="J28:K28"/>
    <mergeCell ref="L28:M28"/>
    <mergeCell ref="N28:O28"/>
    <mergeCell ref="N27:O27"/>
    <mergeCell ref="P27:T27"/>
    <mergeCell ref="J25:K25"/>
    <mergeCell ref="L25:M25"/>
    <mergeCell ref="N25:O25"/>
    <mergeCell ref="A26:E26"/>
    <mergeCell ref="F26:G26"/>
    <mergeCell ref="H26:I26"/>
    <mergeCell ref="J26:K26"/>
    <mergeCell ref="L26:M26"/>
    <mergeCell ref="N26:O26"/>
    <mergeCell ref="A23:E25"/>
    <mergeCell ref="F23:G24"/>
    <mergeCell ref="H23:O23"/>
    <mergeCell ref="P23:T25"/>
    <mergeCell ref="H24:I24"/>
    <mergeCell ref="J24:K24"/>
    <mergeCell ref="L24:M24"/>
    <mergeCell ref="P26:T26"/>
    <mergeCell ref="A27:E27"/>
    <mergeCell ref="F27:G27"/>
    <mergeCell ref="H27:I27"/>
    <mergeCell ref="J27:K27"/>
    <mergeCell ref="L27:M27"/>
    <mergeCell ref="H18:J18"/>
    <mergeCell ref="K18:T18"/>
    <mergeCell ref="N24:O24"/>
    <mergeCell ref="F25:G25"/>
    <mergeCell ref="H25:I25"/>
    <mergeCell ref="B19:F19"/>
    <mergeCell ref="H19:T19"/>
    <mergeCell ref="B20:F20"/>
    <mergeCell ref="H20:T20"/>
    <mergeCell ref="B21:F21"/>
    <mergeCell ref="H21:M21"/>
    <mergeCell ref="O21:P21"/>
    <mergeCell ref="B15:F15"/>
    <mergeCell ref="H15:T15"/>
    <mergeCell ref="B112:T112"/>
    <mergeCell ref="C113:T114"/>
    <mergeCell ref="A1:T2"/>
    <mergeCell ref="B4:T4"/>
    <mergeCell ref="B6:T6"/>
    <mergeCell ref="B9:F9"/>
    <mergeCell ref="H9:P9"/>
    <mergeCell ref="Q9:T9"/>
    <mergeCell ref="B10:F10"/>
    <mergeCell ref="H10:T10"/>
    <mergeCell ref="B11:F13"/>
    <mergeCell ref="H11:J11"/>
    <mergeCell ref="K11:T11"/>
    <mergeCell ref="H12:J12"/>
    <mergeCell ref="K12:T12"/>
    <mergeCell ref="H13:J13"/>
    <mergeCell ref="K13:T13"/>
    <mergeCell ref="B16:F18"/>
    <mergeCell ref="H16:J16"/>
    <mergeCell ref="K16:T16"/>
    <mergeCell ref="H17:J17"/>
    <mergeCell ref="K17:T17"/>
  </mergeCells>
  <phoneticPr fontId="17"/>
  <dataValidations count="1">
    <dataValidation imeMode="fullAlpha" allowBlank="1" showInputMessage="1" showErrorMessage="1" sqref="H35 K102:T102" xr:uid="{00000000-0002-0000-1B00-000000000000}"/>
  </dataValidations>
  <printOptions horizontalCentered="1"/>
  <pageMargins left="0.70866141732283472" right="0.70866141732283472" top="0.55118110236220474" bottom="0.55118110236220474" header="0.31496062992125984" footer="0.31496062992125984"/>
  <pageSetup paperSize="9" scale="95" fitToHeight="0" orientation="portrait" r:id="rId1"/>
  <headerFooter>
    <oddFooter>&amp;L【通所介護】BMC&amp;C&amp;P</oddFooter>
  </headerFooter>
  <rowBreaks count="3" manualBreakCount="3">
    <brk id="37" max="19" man="1"/>
    <brk id="78" max="19" man="1"/>
    <brk id="125"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tabColor rgb="FF92D050"/>
    <pageSetUpPr fitToPage="1"/>
  </sheetPr>
  <dimension ref="A1:AO338"/>
  <sheetViews>
    <sheetView workbookViewId="0"/>
  </sheetViews>
  <sheetFormatPr defaultColWidth="9" defaultRowHeight="13.5"/>
  <cols>
    <col min="1" max="1" width="4.625" style="133" customWidth="1"/>
    <col min="2" max="3" width="4.625" style="134" customWidth="1"/>
    <col min="4" max="20" width="4.625" style="133" customWidth="1"/>
    <col min="21" max="21" width="9" style="133" customWidth="1"/>
    <col min="22" max="16384" width="9" style="133"/>
  </cols>
  <sheetData>
    <row r="1" spans="1:23" ht="13.35" customHeight="1">
      <c r="T1" s="153"/>
    </row>
    <row r="2" spans="1:23" ht="15" customHeight="1">
      <c r="A2" s="2615" t="str">
        <f>【マスター】!C7&amp;【マスター】!E7</f>
        <v>デイサービスさつきの湯</v>
      </c>
      <c r="B2" s="2615"/>
      <c r="C2" s="2615"/>
      <c r="D2" s="2615"/>
      <c r="E2" s="2615"/>
      <c r="F2" s="2615"/>
      <c r="G2" s="2615"/>
      <c r="H2" s="2615"/>
      <c r="I2" s="2615"/>
      <c r="J2" s="2615"/>
      <c r="K2" s="2615"/>
      <c r="L2" s="2615"/>
      <c r="M2" s="2615"/>
      <c r="N2" s="2615"/>
      <c r="O2" s="2615"/>
      <c r="P2" s="2615"/>
      <c r="Q2" s="2615"/>
      <c r="R2" s="2615"/>
      <c r="S2" s="2615"/>
      <c r="T2" s="2615"/>
    </row>
    <row r="3" spans="1:23" ht="15" customHeight="1" thickBot="1">
      <c r="A3" s="2616"/>
      <c r="B3" s="2616"/>
      <c r="C3" s="2616"/>
      <c r="D3" s="2616"/>
      <c r="E3" s="2616"/>
      <c r="F3" s="2616"/>
      <c r="G3" s="2616"/>
      <c r="H3" s="2616"/>
      <c r="I3" s="2616"/>
      <c r="J3" s="2616"/>
      <c r="K3" s="2616"/>
      <c r="L3" s="2616"/>
      <c r="M3" s="2616"/>
      <c r="N3" s="2616"/>
      <c r="O3" s="2616"/>
      <c r="P3" s="2616"/>
      <c r="Q3" s="2616"/>
      <c r="R3" s="2616"/>
      <c r="S3" s="2616"/>
      <c r="T3" s="2616"/>
    </row>
    <row r="4" spans="1:23" ht="15" customHeight="1">
      <c r="A4" s="2617" t="s">
        <v>1472</v>
      </c>
      <c r="B4" s="2617"/>
      <c r="C4" s="2617"/>
      <c r="D4" s="2617"/>
      <c r="E4" s="2617"/>
      <c r="F4" s="2617"/>
      <c r="G4" s="2617"/>
      <c r="H4" s="2617"/>
      <c r="I4" s="2617"/>
      <c r="J4" s="2617"/>
      <c r="K4" s="2617"/>
      <c r="L4" s="2617"/>
      <c r="M4" s="2617"/>
      <c r="N4" s="2617"/>
      <c r="O4" s="2617"/>
      <c r="P4" s="2617"/>
      <c r="Q4" s="2617"/>
      <c r="R4" s="2617"/>
      <c r="S4" s="2617"/>
      <c r="T4" s="2617"/>
      <c r="V4" s="480"/>
      <c r="W4" s="118"/>
    </row>
    <row r="5" spans="1:23" ht="15" customHeight="1">
      <c r="A5" s="2615"/>
      <c r="B5" s="2615"/>
      <c r="C5" s="2615"/>
      <c r="D5" s="2615"/>
      <c r="E5" s="2615"/>
      <c r="F5" s="2615"/>
      <c r="G5" s="2615"/>
      <c r="H5" s="2615"/>
      <c r="I5" s="2615"/>
      <c r="J5" s="2615"/>
      <c r="K5" s="2615"/>
      <c r="L5" s="2615"/>
      <c r="M5" s="2615"/>
      <c r="N5" s="2615"/>
      <c r="O5" s="2615"/>
      <c r="P5" s="2615"/>
      <c r="Q5" s="2615"/>
      <c r="R5" s="2615"/>
      <c r="S5" s="2615"/>
      <c r="T5" s="2615"/>
      <c r="W5" s="118"/>
    </row>
    <row r="6" spans="1:23" ht="15" customHeight="1">
      <c r="A6" s="154"/>
      <c r="B6" s="154"/>
      <c r="C6" s="154"/>
      <c r="D6" s="154"/>
      <c r="E6" s="154"/>
      <c r="F6" s="154"/>
      <c r="G6" s="154"/>
      <c r="H6" s="154"/>
      <c r="I6" s="154"/>
      <c r="J6" s="154"/>
      <c r="K6" s="154"/>
      <c r="L6" s="154"/>
      <c r="M6" s="154"/>
      <c r="N6" s="154"/>
      <c r="O6" s="154"/>
      <c r="P6" s="154"/>
      <c r="Q6" s="154"/>
      <c r="R6" s="154"/>
      <c r="S6" s="154"/>
      <c r="T6" s="154"/>
    </row>
    <row r="7" spans="1:23" s="94" customFormat="1" ht="15" customHeight="1">
      <c r="A7" s="94" t="s">
        <v>1439</v>
      </c>
      <c r="B7" s="135"/>
      <c r="C7" s="135"/>
    </row>
    <row r="8" spans="1:23" s="94" customFormat="1" ht="15" customHeight="1">
      <c r="A8" s="94" t="s">
        <v>567</v>
      </c>
      <c r="B8" s="135"/>
      <c r="C8" s="2618" t="str">
        <f>"　"&amp;【マスター】!C21&amp;"が開設する"&amp;【マスター】!C7&amp;【マスター】!E7&amp;"(以下「事業所」という。）が行う指定通所介護の事業（以下「事業」という。）の適正な運営を確保するために人員及び管理運営に関する事項を定め、事業所毎に置くべき従業者（以下「通所介護従業者」という。）が、要介護状態にある高齢者に対し、適正な指定通所介護を提供することを目的とする。"</f>
        <v>　株式会社ケアサポートが開設するデイサービスさつきの湯(以下「事業所」という。）が行う指定通所介護の事業（以下「事業」という。）の適正な運営を確保するために人員及び管理運営に関する事項を定め、事業所毎に置くべき従業者（以下「通所介護従業者」という。）が、要介護状態にある高齢者に対し、適正な指定通所介護を提供することを目的とする。</v>
      </c>
      <c r="D8" s="2618"/>
      <c r="E8" s="2618"/>
      <c r="F8" s="2618"/>
      <c r="G8" s="2618"/>
      <c r="H8" s="2618"/>
      <c r="I8" s="2618"/>
      <c r="J8" s="2618"/>
      <c r="K8" s="2618"/>
      <c r="L8" s="2618"/>
      <c r="M8" s="2618"/>
      <c r="N8" s="2618"/>
      <c r="O8" s="2618"/>
      <c r="P8" s="2618"/>
      <c r="Q8" s="2618"/>
      <c r="R8" s="2618"/>
      <c r="S8" s="2618"/>
      <c r="T8" s="2618"/>
    </row>
    <row r="9" spans="1:23" s="94" customFormat="1" ht="15" customHeight="1">
      <c r="B9" s="135"/>
      <c r="C9" s="2618"/>
      <c r="D9" s="2618"/>
      <c r="E9" s="2618"/>
      <c r="F9" s="2618"/>
      <c r="G9" s="2618"/>
      <c r="H9" s="2618"/>
      <c r="I9" s="2618"/>
      <c r="J9" s="2618"/>
      <c r="K9" s="2618"/>
      <c r="L9" s="2618"/>
      <c r="M9" s="2618"/>
      <c r="N9" s="2618"/>
      <c r="O9" s="2618"/>
      <c r="P9" s="2618"/>
      <c r="Q9" s="2618"/>
      <c r="R9" s="2618"/>
      <c r="S9" s="2618"/>
      <c r="T9" s="2618"/>
    </row>
    <row r="10" spans="1:23" s="94" customFormat="1" ht="15" customHeight="1">
      <c r="B10" s="135"/>
      <c r="C10" s="2618"/>
      <c r="D10" s="2618"/>
      <c r="E10" s="2618"/>
      <c r="F10" s="2618"/>
      <c r="G10" s="2618"/>
      <c r="H10" s="2618"/>
      <c r="I10" s="2618"/>
      <c r="J10" s="2618"/>
      <c r="K10" s="2618"/>
      <c r="L10" s="2618"/>
      <c r="M10" s="2618"/>
      <c r="N10" s="2618"/>
      <c r="O10" s="2618"/>
      <c r="P10" s="2618"/>
      <c r="Q10" s="2618"/>
      <c r="R10" s="2618"/>
      <c r="S10" s="2618"/>
      <c r="T10" s="2618"/>
    </row>
    <row r="11" spans="1:23" s="94" customFormat="1" ht="15" customHeight="1">
      <c r="B11" s="135"/>
      <c r="C11" s="2618"/>
      <c r="D11" s="2618"/>
      <c r="E11" s="2618"/>
      <c r="F11" s="2618"/>
      <c r="G11" s="2618"/>
      <c r="H11" s="2618"/>
      <c r="I11" s="2618"/>
      <c r="J11" s="2618"/>
      <c r="K11" s="2618"/>
      <c r="L11" s="2618"/>
      <c r="M11" s="2618"/>
      <c r="N11" s="2618"/>
      <c r="O11" s="2618"/>
      <c r="P11" s="2618"/>
      <c r="Q11" s="2618"/>
      <c r="R11" s="2618"/>
      <c r="S11" s="2618"/>
      <c r="T11" s="2618"/>
    </row>
    <row r="12" spans="1:23" s="94" customFormat="1" ht="15" customHeight="1">
      <c r="B12" s="135"/>
      <c r="C12" s="2618"/>
      <c r="D12" s="2618"/>
      <c r="E12" s="2618"/>
      <c r="F12" s="2618"/>
      <c r="G12" s="2618"/>
      <c r="H12" s="2618"/>
      <c r="I12" s="2618"/>
      <c r="J12" s="2618"/>
      <c r="K12" s="2618"/>
      <c r="L12" s="2618"/>
      <c r="M12" s="2618"/>
      <c r="N12" s="2618"/>
      <c r="O12" s="2618"/>
      <c r="P12" s="2618"/>
      <c r="Q12" s="2618"/>
      <c r="R12" s="2618"/>
      <c r="S12" s="2618"/>
      <c r="T12" s="2618"/>
    </row>
    <row r="13" spans="1:23" s="94" customFormat="1" ht="15" customHeight="1">
      <c r="B13" s="135"/>
      <c r="C13" s="135"/>
    </row>
    <row r="14" spans="1:23" s="94" customFormat="1" ht="15" customHeight="1">
      <c r="A14" s="94" t="s">
        <v>1440</v>
      </c>
      <c r="B14" s="135"/>
      <c r="C14" s="135"/>
    </row>
    <row r="15" spans="1:23" s="94" customFormat="1" ht="15" customHeight="1">
      <c r="A15" s="94" t="s">
        <v>574</v>
      </c>
      <c r="B15" s="135"/>
      <c r="C15" s="2618" t="s">
        <v>1473</v>
      </c>
      <c r="D15" s="2618"/>
      <c r="E15" s="2618"/>
      <c r="F15" s="2618"/>
      <c r="G15" s="2618"/>
      <c r="H15" s="2618"/>
      <c r="I15" s="2618"/>
      <c r="J15" s="2618"/>
      <c r="K15" s="2618"/>
      <c r="L15" s="2618"/>
      <c r="M15" s="2618"/>
      <c r="N15" s="2618"/>
      <c r="O15" s="2618"/>
      <c r="P15" s="2618"/>
      <c r="Q15" s="2618"/>
      <c r="R15" s="2618"/>
      <c r="S15" s="2618"/>
      <c r="T15" s="2618"/>
    </row>
    <row r="16" spans="1:23" s="94" customFormat="1" ht="15" customHeight="1">
      <c r="B16" s="135"/>
      <c r="C16" s="2618"/>
      <c r="D16" s="2618"/>
      <c r="E16" s="2618"/>
      <c r="F16" s="2618"/>
      <c r="G16" s="2618"/>
      <c r="H16" s="2618"/>
      <c r="I16" s="2618"/>
      <c r="J16" s="2618"/>
      <c r="K16" s="2618"/>
      <c r="L16" s="2618"/>
      <c r="M16" s="2618"/>
      <c r="N16" s="2618"/>
      <c r="O16" s="2618"/>
      <c r="P16" s="2618"/>
      <c r="Q16" s="2618"/>
      <c r="R16" s="2618"/>
      <c r="S16" s="2618"/>
      <c r="T16" s="2618"/>
    </row>
    <row r="17" spans="2:24" s="94" customFormat="1" ht="15" customHeight="1">
      <c r="B17" s="135"/>
      <c r="C17" s="2618"/>
      <c r="D17" s="2618"/>
      <c r="E17" s="2618"/>
      <c r="F17" s="2618"/>
      <c r="G17" s="2618"/>
      <c r="H17" s="2618"/>
      <c r="I17" s="2618"/>
      <c r="J17" s="2618"/>
      <c r="K17" s="2618"/>
      <c r="L17" s="2618"/>
      <c r="M17" s="2618"/>
      <c r="N17" s="2618"/>
      <c r="O17" s="2618"/>
      <c r="P17" s="2618"/>
      <c r="Q17" s="2618"/>
      <c r="R17" s="2618"/>
      <c r="S17" s="2618"/>
      <c r="T17" s="2618"/>
    </row>
    <row r="18" spans="2:24" s="94" customFormat="1" ht="15" customHeight="1">
      <c r="B18" s="135"/>
      <c r="C18" s="2618"/>
      <c r="D18" s="2618"/>
      <c r="E18" s="2618"/>
      <c r="F18" s="2618"/>
      <c r="G18" s="2618"/>
      <c r="H18" s="2618"/>
      <c r="I18" s="2618"/>
      <c r="J18" s="2618"/>
      <c r="K18" s="2618"/>
      <c r="L18" s="2618"/>
      <c r="M18" s="2618"/>
      <c r="N18" s="2618"/>
      <c r="O18" s="2618"/>
      <c r="P18" s="2618"/>
      <c r="Q18" s="2618"/>
      <c r="R18" s="2618"/>
      <c r="S18" s="2618"/>
      <c r="T18" s="2618"/>
    </row>
    <row r="19" spans="2:24" s="94" customFormat="1" ht="15" customHeight="1">
      <c r="B19" s="135"/>
      <c r="C19" s="2618"/>
      <c r="D19" s="2618"/>
      <c r="E19" s="2618"/>
      <c r="F19" s="2618"/>
      <c r="G19" s="2618"/>
      <c r="H19" s="2618"/>
      <c r="I19" s="2618"/>
      <c r="J19" s="2618"/>
      <c r="K19" s="2618"/>
      <c r="L19" s="2618"/>
      <c r="M19" s="2618"/>
      <c r="N19" s="2618"/>
      <c r="O19" s="2618"/>
      <c r="P19" s="2618"/>
      <c r="Q19" s="2618"/>
      <c r="R19" s="2618"/>
      <c r="S19" s="2618"/>
      <c r="T19" s="2618"/>
    </row>
    <row r="20" spans="2:24" s="94" customFormat="1" ht="15" customHeight="1">
      <c r="B20" s="135" t="s">
        <v>570</v>
      </c>
      <c r="C20" s="2618" t="s">
        <v>1474</v>
      </c>
      <c r="D20" s="2618"/>
      <c r="E20" s="2618"/>
      <c r="F20" s="2618"/>
      <c r="G20" s="2618"/>
      <c r="H20" s="2618"/>
      <c r="I20" s="2618"/>
      <c r="J20" s="2618"/>
      <c r="K20" s="2618"/>
      <c r="L20" s="2618"/>
      <c r="M20" s="2618"/>
      <c r="N20" s="2618"/>
      <c r="O20" s="2618"/>
      <c r="P20" s="2618"/>
      <c r="Q20" s="2618"/>
      <c r="R20" s="2618"/>
      <c r="S20" s="2618"/>
      <c r="T20" s="2618"/>
    </row>
    <row r="21" spans="2:24" s="94" customFormat="1" ht="15" customHeight="1">
      <c r="B21" s="135" t="s">
        <v>595</v>
      </c>
      <c r="C21" s="2618" t="s">
        <v>1475</v>
      </c>
      <c r="D21" s="2618"/>
      <c r="E21" s="2618"/>
      <c r="F21" s="2618"/>
      <c r="G21" s="2618"/>
      <c r="H21" s="2618"/>
      <c r="I21" s="2618"/>
      <c r="J21" s="2618"/>
      <c r="K21" s="2618"/>
      <c r="L21" s="2618"/>
      <c r="M21" s="2618"/>
      <c r="N21" s="2618"/>
      <c r="O21" s="2618"/>
      <c r="P21" s="2618"/>
      <c r="Q21" s="2618"/>
      <c r="R21" s="2618"/>
      <c r="S21" s="2618"/>
      <c r="T21" s="2618"/>
    </row>
    <row r="22" spans="2:24" s="94" customFormat="1" ht="15" customHeight="1">
      <c r="B22" s="135"/>
      <c r="C22" s="2618"/>
      <c r="D22" s="2618"/>
      <c r="E22" s="2618"/>
      <c r="F22" s="2618"/>
      <c r="G22" s="2618"/>
      <c r="H22" s="2618"/>
      <c r="I22" s="2618"/>
      <c r="J22" s="2618"/>
      <c r="K22" s="2618"/>
      <c r="L22" s="2618"/>
      <c r="M22" s="2618"/>
      <c r="N22" s="2618"/>
      <c r="O22" s="2618"/>
      <c r="P22" s="2618"/>
      <c r="Q22" s="2618"/>
      <c r="R22" s="2618"/>
      <c r="S22" s="2618"/>
      <c r="T22" s="2618"/>
    </row>
    <row r="23" spans="2:24" s="94" customFormat="1" ht="15" customHeight="1">
      <c r="B23" s="135" t="s">
        <v>597</v>
      </c>
      <c r="C23" s="2618" t="s">
        <v>1476</v>
      </c>
      <c r="D23" s="2618"/>
      <c r="E23" s="2618"/>
      <c r="F23" s="2618"/>
      <c r="G23" s="2618"/>
      <c r="H23" s="2618"/>
      <c r="I23" s="2618"/>
      <c r="J23" s="2618"/>
      <c r="K23" s="2618"/>
      <c r="L23" s="2618"/>
      <c r="M23" s="2618"/>
      <c r="N23" s="2618"/>
      <c r="O23" s="2618"/>
      <c r="P23" s="2618"/>
      <c r="Q23" s="2618"/>
      <c r="R23" s="2618"/>
      <c r="S23" s="2618"/>
      <c r="T23" s="2618"/>
      <c r="X23" s="128"/>
    </row>
    <row r="24" spans="2:24" s="94" customFormat="1" ht="15" customHeight="1">
      <c r="B24" s="135"/>
      <c r="C24" s="2618"/>
      <c r="D24" s="2618"/>
      <c r="E24" s="2618"/>
      <c r="F24" s="2618"/>
      <c r="G24" s="2618"/>
      <c r="H24" s="2618"/>
      <c r="I24" s="2618"/>
      <c r="J24" s="2618"/>
      <c r="K24" s="2618"/>
      <c r="L24" s="2618"/>
      <c r="M24" s="2618"/>
      <c r="N24" s="2618"/>
      <c r="O24" s="2618"/>
      <c r="P24" s="2618"/>
      <c r="Q24" s="2618"/>
      <c r="R24" s="2618"/>
      <c r="S24" s="2618"/>
      <c r="T24" s="2618"/>
    </row>
    <row r="25" spans="2:24" s="94" customFormat="1" ht="15" customHeight="1">
      <c r="B25" s="135"/>
      <c r="C25" s="2618"/>
      <c r="D25" s="2618"/>
      <c r="E25" s="2618"/>
      <c r="F25" s="2618"/>
      <c r="G25" s="2618"/>
      <c r="H25" s="2618"/>
      <c r="I25" s="2618"/>
      <c r="J25" s="2618"/>
      <c r="K25" s="2618"/>
      <c r="L25" s="2618"/>
      <c r="M25" s="2618"/>
      <c r="N25" s="2618"/>
      <c r="O25" s="2618"/>
      <c r="P25" s="2618"/>
      <c r="Q25" s="2618"/>
      <c r="R25" s="2618"/>
      <c r="S25" s="2618"/>
      <c r="T25" s="2618"/>
    </row>
    <row r="26" spans="2:24" s="94" customFormat="1" ht="15" customHeight="1">
      <c r="B26" s="135" t="s">
        <v>603</v>
      </c>
      <c r="C26" s="2618" t="s">
        <v>1477</v>
      </c>
      <c r="D26" s="2618"/>
      <c r="E26" s="2618"/>
      <c r="F26" s="2618"/>
      <c r="G26" s="2618"/>
      <c r="H26" s="2618"/>
      <c r="I26" s="2618"/>
      <c r="J26" s="2618"/>
      <c r="K26" s="2618"/>
      <c r="L26" s="2618"/>
      <c r="M26" s="2618"/>
      <c r="N26" s="2618"/>
      <c r="O26" s="2618"/>
      <c r="P26" s="2618"/>
      <c r="Q26" s="2618"/>
      <c r="R26" s="2618"/>
      <c r="S26" s="2618"/>
      <c r="T26" s="2618"/>
    </row>
    <row r="27" spans="2:24" s="94" customFormat="1" ht="15" customHeight="1">
      <c r="B27" s="135"/>
      <c r="C27" s="2618"/>
      <c r="D27" s="2618"/>
      <c r="E27" s="2618"/>
      <c r="F27" s="2618"/>
      <c r="G27" s="2618"/>
      <c r="H27" s="2618"/>
      <c r="I27" s="2618"/>
      <c r="J27" s="2618"/>
      <c r="K27" s="2618"/>
      <c r="L27" s="2618"/>
      <c r="M27" s="2618"/>
      <c r="N27" s="2618"/>
      <c r="O27" s="2618"/>
      <c r="P27" s="2618"/>
      <c r="Q27" s="2618"/>
      <c r="R27" s="2618"/>
      <c r="S27" s="2618"/>
      <c r="T27" s="2618"/>
    </row>
    <row r="28" spans="2:24" s="94" customFormat="1" ht="15" customHeight="1">
      <c r="B28" s="135"/>
      <c r="C28" s="2618"/>
      <c r="D28" s="2618"/>
      <c r="E28" s="2618"/>
      <c r="F28" s="2618"/>
      <c r="G28" s="2618"/>
      <c r="H28" s="2618"/>
      <c r="I28" s="2618"/>
      <c r="J28" s="2618"/>
      <c r="K28" s="2618"/>
      <c r="L28" s="2618"/>
      <c r="M28" s="2618"/>
      <c r="N28" s="2618"/>
      <c r="O28" s="2618"/>
      <c r="P28" s="2618"/>
      <c r="Q28" s="2618"/>
      <c r="R28" s="2618"/>
      <c r="S28" s="2618"/>
      <c r="T28" s="2618"/>
    </row>
    <row r="29" spans="2:24" s="94" customFormat="1" ht="15" customHeight="1">
      <c r="B29" s="135"/>
      <c r="C29" s="2618"/>
      <c r="D29" s="2618"/>
      <c r="E29" s="2618"/>
      <c r="F29" s="2618"/>
      <c r="G29" s="2618"/>
      <c r="H29" s="2618"/>
      <c r="I29" s="2618"/>
      <c r="J29" s="2618"/>
      <c r="K29" s="2618"/>
      <c r="L29" s="2618"/>
      <c r="M29" s="2618"/>
      <c r="N29" s="2618"/>
      <c r="O29" s="2618"/>
      <c r="P29" s="2618"/>
      <c r="Q29" s="2618"/>
      <c r="R29" s="2618"/>
      <c r="S29" s="2618"/>
      <c r="T29" s="2618"/>
    </row>
    <row r="30" spans="2:24" s="94" customFormat="1" ht="15" customHeight="1">
      <c r="B30" s="135" t="s">
        <v>606</v>
      </c>
      <c r="C30" s="2618" t="str">
        <f>DBCS("　前５項の他、"&amp;【マスター】!C18&amp;"に定める内容を遵守し、事業を実施するものとする。")</f>
        <v>　前５項の他、指定居宅サービスの事業の人員、設備及び運営に関する基準等を定める条例（平成２４年１２月２５日）に定める内容を遵守し、事業を実施するものとする。</v>
      </c>
      <c r="D30" s="2618"/>
      <c r="E30" s="2618"/>
      <c r="F30" s="2618"/>
      <c r="G30" s="2618"/>
      <c r="H30" s="2618"/>
      <c r="I30" s="2618"/>
      <c r="J30" s="2618"/>
      <c r="K30" s="2618"/>
      <c r="L30" s="2618"/>
      <c r="M30" s="2618"/>
      <c r="N30" s="2618"/>
      <c r="O30" s="2618"/>
      <c r="P30" s="2618"/>
      <c r="Q30" s="2618"/>
      <c r="R30" s="2618"/>
      <c r="S30" s="2618"/>
      <c r="T30" s="2618"/>
    </row>
    <row r="31" spans="2:24" s="94" customFormat="1" ht="15" customHeight="1">
      <c r="B31" s="135"/>
      <c r="C31" s="2618"/>
      <c r="D31" s="2618"/>
      <c r="E31" s="2618"/>
      <c r="F31" s="2618"/>
      <c r="G31" s="2618"/>
      <c r="H31" s="2618"/>
      <c r="I31" s="2618"/>
      <c r="J31" s="2618"/>
      <c r="K31" s="2618"/>
      <c r="L31" s="2618"/>
      <c r="M31" s="2618"/>
      <c r="N31" s="2618"/>
      <c r="O31" s="2618"/>
      <c r="P31" s="2618"/>
      <c r="Q31" s="2618"/>
      <c r="R31" s="2618"/>
      <c r="S31" s="2618"/>
      <c r="T31" s="2618"/>
    </row>
    <row r="32" spans="2:24" s="94" customFormat="1" ht="15" customHeight="1">
      <c r="B32" s="135"/>
      <c r="C32" s="590"/>
      <c r="D32" s="589"/>
      <c r="E32" s="589"/>
      <c r="F32" s="589"/>
      <c r="G32" s="589"/>
      <c r="H32" s="589"/>
      <c r="I32" s="589"/>
      <c r="J32" s="589"/>
      <c r="K32" s="589"/>
      <c r="L32" s="589"/>
      <c r="M32" s="589"/>
      <c r="N32" s="589"/>
      <c r="O32" s="589"/>
      <c r="P32" s="589"/>
      <c r="Q32" s="589"/>
      <c r="R32" s="589"/>
      <c r="S32" s="589"/>
      <c r="T32" s="589"/>
    </row>
    <row r="33" spans="1:20" s="94" customFormat="1" ht="15" customHeight="1">
      <c r="A33" s="94" t="s">
        <v>1478</v>
      </c>
      <c r="B33" s="135"/>
      <c r="C33" s="135"/>
    </row>
    <row r="34" spans="1:20" s="94" customFormat="1" ht="15" customHeight="1">
      <c r="A34" s="94" t="s">
        <v>586</v>
      </c>
      <c r="B34" s="135"/>
      <c r="C34" s="2618" t="s">
        <v>1479</v>
      </c>
      <c r="D34" s="2618"/>
      <c r="E34" s="2618"/>
      <c r="F34" s="2618"/>
      <c r="G34" s="2618"/>
      <c r="H34" s="2618"/>
      <c r="I34" s="2618"/>
      <c r="J34" s="2618"/>
      <c r="K34" s="2618"/>
      <c r="L34" s="2618"/>
      <c r="M34" s="2618"/>
      <c r="N34" s="2618"/>
      <c r="O34" s="2618"/>
      <c r="P34" s="2618"/>
      <c r="Q34" s="2618"/>
      <c r="R34" s="2618"/>
      <c r="S34" s="2618"/>
      <c r="T34" s="2618"/>
    </row>
    <row r="35" spans="1:20" s="94" customFormat="1" ht="15" customHeight="1">
      <c r="B35" s="2613" t="s">
        <v>599</v>
      </c>
      <c r="C35" s="2613"/>
      <c r="D35" s="2614" t="s">
        <v>1480</v>
      </c>
      <c r="E35" s="2614"/>
      <c r="F35" s="2614" t="str">
        <f>【マスター】!C7&amp;【マスター】!E7</f>
        <v>デイサービスさつきの湯</v>
      </c>
      <c r="G35" s="2614"/>
      <c r="H35" s="2614"/>
      <c r="I35" s="2614"/>
      <c r="J35" s="2614"/>
      <c r="K35" s="2614"/>
      <c r="L35" s="2614"/>
      <c r="M35" s="2614"/>
      <c r="N35" s="2614"/>
      <c r="O35" s="2614"/>
      <c r="P35" s="2614"/>
      <c r="Q35" s="2614"/>
      <c r="R35" s="2614"/>
      <c r="S35" s="2614"/>
      <c r="T35" s="2614"/>
    </row>
    <row r="36" spans="1:20" s="94" customFormat="1" ht="15" customHeight="1">
      <c r="B36" s="2619" t="s">
        <v>601</v>
      </c>
      <c r="C36" s="2619"/>
      <c r="D36" s="2614" t="s">
        <v>1481</v>
      </c>
      <c r="E36" s="2614"/>
      <c r="F36" s="2614" t="str">
        <f>DBCS(【マスター】!F8)</f>
        <v>愛知県豊川市八幡町本郷１４番地１</v>
      </c>
      <c r="G36" s="2614"/>
      <c r="H36" s="2614"/>
      <c r="I36" s="2614"/>
      <c r="J36" s="2614"/>
      <c r="K36" s="2614"/>
      <c r="L36" s="2614"/>
      <c r="M36" s="2614"/>
      <c r="N36" s="2614"/>
      <c r="O36" s="2614"/>
      <c r="P36" s="2614"/>
      <c r="Q36" s="2614"/>
      <c r="R36" s="2614"/>
      <c r="S36" s="2614"/>
      <c r="T36" s="2614"/>
    </row>
    <row r="37" spans="1:20" s="94" customFormat="1" ht="15" customHeight="1">
      <c r="B37" s="135"/>
      <c r="C37" s="135"/>
    </row>
    <row r="38" spans="1:20" s="94" customFormat="1" ht="15" customHeight="1">
      <c r="A38" s="94" t="s">
        <v>1482</v>
      </c>
      <c r="B38" s="135"/>
      <c r="C38" s="135"/>
    </row>
    <row r="39" spans="1:20" s="94" customFormat="1" ht="15" customHeight="1">
      <c r="A39" s="94" t="s">
        <v>589</v>
      </c>
      <c r="B39" s="135"/>
      <c r="C39" s="2618" t="s">
        <v>1483</v>
      </c>
      <c r="D39" s="2618"/>
      <c r="E39" s="2618"/>
      <c r="F39" s="2618"/>
      <c r="G39" s="2618"/>
      <c r="H39" s="2618"/>
      <c r="I39" s="2618"/>
      <c r="J39" s="2618"/>
      <c r="K39" s="2618"/>
      <c r="L39" s="2618"/>
      <c r="M39" s="2618"/>
      <c r="N39" s="2618"/>
      <c r="O39" s="2618"/>
      <c r="P39" s="2618"/>
      <c r="Q39" s="2618"/>
      <c r="R39" s="2618"/>
      <c r="S39" s="2618"/>
      <c r="T39" s="2618"/>
    </row>
    <row r="40" spans="1:20" s="94" customFormat="1" ht="15" customHeight="1">
      <c r="B40" s="2613" t="s">
        <v>599</v>
      </c>
      <c r="C40" s="2613"/>
      <c r="D40" s="94" t="s">
        <v>160</v>
      </c>
      <c r="E40" s="155"/>
      <c r="H40" s="94" t="str">
        <f>IF(【マスター】!C36="","常勤１名","常勤１名（"&amp;【マスター】!C36&amp;"と兼務）")</f>
        <v>常勤１名（介護職員と兼務）</v>
      </c>
    </row>
    <row r="41" spans="1:20" s="94" customFormat="1" ht="15" customHeight="1">
      <c r="B41" s="587"/>
      <c r="C41" s="587"/>
      <c r="D41" s="2618" t="s">
        <v>1484</v>
      </c>
      <c r="E41" s="2618"/>
      <c r="F41" s="2618"/>
      <c r="G41" s="2618"/>
      <c r="H41" s="2618"/>
      <c r="I41" s="2618"/>
      <c r="J41" s="2618"/>
      <c r="K41" s="2618"/>
      <c r="L41" s="2618"/>
      <c r="M41" s="2618"/>
      <c r="N41" s="2618"/>
      <c r="O41" s="2618"/>
      <c r="P41" s="2618"/>
      <c r="Q41" s="2618"/>
      <c r="R41" s="2618"/>
      <c r="S41" s="2618"/>
      <c r="T41" s="2618"/>
    </row>
    <row r="42" spans="1:20" s="94" customFormat="1" ht="15" customHeight="1">
      <c r="B42" s="587"/>
      <c r="C42" s="587"/>
      <c r="D42" s="2618"/>
      <c r="E42" s="2618"/>
      <c r="F42" s="2618"/>
      <c r="G42" s="2618"/>
      <c r="H42" s="2618"/>
      <c r="I42" s="2618"/>
      <c r="J42" s="2618"/>
      <c r="K42" s="2618"/>
      <c r="L42" s="2618"/>
      <c r="M42" s="2618"/>
      <c r="N42" s="2618"/>
      <c r="O42" s="2618"/>
      <c r="P42" s="2618"/>
      <c r="Q42" s="2618"/>
      <c r="R42" s="2618"/>
      <c r="S42" s="2618"/>
      <c r="T42" s="2618"/>
    </row>
    <row r="43" spans="1:20" s="94" customFormat="1" ht="15" customHeight="1">
      <c r="B43" s="587"/>
      <c r="C43" s="587"/>
      <c r="D43" s="2618"/>
      <c r="E43" s="2618"/>
      <c r="F43" s="2618"/>
      <c r="G43" s="2618"/>
      <c r="H43" s="2618"/>
      <c r="I43" s="2618"/>
      <c r="J43" s="2618"/>
      <c r="K43" s="2618"/>
      <c r="L43" s="2618"/>
      <c r="M43" s="2618"/>
      <c r="N43" s="2618"/>
      <c r="O43" s="2618"/>
      <c r="P43" s="2618"/>
      <c r="Q43" s="2618"/>
      <c r="R43" s="2618"/>
      <c r="S43" s="2618"/>
      <c r="T43" s="2618"/>
    </row>
    <row r="44" spans="1:20" s="94" customFormat="1" ht="15" customHeight="1">
      <c r="B44" s="2619" t="s">
        <v>601</v>
      </c>
      <c r="C44" s="2619"/>
      <c r="D44" s="94" t="s">
        <v>1485</v>
      </c>
      <c r="H44" s="94" t="s">
        <v>1486</v>
      </c>
    </row>
    <row r="45" spans="1:20" s="94" customFormat="1" ht="15" customHeight="1">
      <c r="B45" s="161"/>
      <c r="C45" s="161"/>
      <c r="D45" s="2618" t="s">
        <v>1487</v>
      </c>
      <c r="E45" s="2618"/>
      <c r="F45" s="2618"/>
      <c r="G45" s="2618"/>
      <c r="H45" s="2618"/>
      <c r="I45" s="2618"/>
      <c r="J45" s="2618"/>
      <c r="K45" s="2618"/>
      <c r="L45" s="2618"/>
      <c r="M45" s="2618"/>
      <c r="N45" s="2618"/>
      <c r="O45" s="2618"/>
      <c r="P45" s="2618"/>
      <c r="Q45" s="2618"/>
      <c r="R45" s="2618"/>
      <c r="S45" s="2618"/>
      <c r="T45" s="2618"/>
    </row>
    <row r="46" spans="1:20" s="94" customFormat="1" ht="15" customHeight="1">
      <c r="B46" s="161"/>
      <c r="C46" s="161"/>
      <c r="D46" s="2618"/>
      <c r="E46" s="2618"/>
      <c r="F46" s="2618"/>
      <c r="G46" s="2618"/>
      <c r="H46" s="2618"/>
      <c r="I46" s="2618"/>
      <c r="J46" s="2618"/>
      <c r="K46" s="2618"/>
      <c r="L46" s="2618"/>
      <c r="M46" s="2618"/>
      <c r="N46" s="2618"/>
      <c r="O46" s="2618"/>
      <c r="P46" s="2618"/>
      <c r="Q46" s="2618"/>
      <c r="R46" s="2618"/>
      <c r="S46" s="2618"/>
      <c r="T46" s="2618"/>
    </row>
    <row r="47" spans="1:20" s="94" customFormat="1" ht="15" customHeight="1">
      <c r="B47" s="161"/>
      <c r="C47" s="161"/>
      <c r="D47" s="2618"/>
      <c r="E47" s="2618"/>
      <c r="F47" s="2618"/>
      <c r="G47" s="2618"/>
      <c r="H47" s="2618"/>
      <c r="I47" s="2618"/>
      <c r="J47" s="2618"/>
      <c r="K47" s="2618"/>
      <c r="L47" s="2618"/>
      <c r="M47" s="2618"/>
      <c r="N47" s="2618"/>
      <c r="O47" s="2618"/>
      <c r="P47" s="2618"/>
      <c r="Q47" s="2618"/>
      <c r="R47" s="2618"/>
      <c r="S47" s="2618"/>
      <c r="T47" s="2618"/>
    </row>
    <row r="48" spans="1:20" s="94" customFormat="1" ht="15" customHeight="1">
      <c r="B48" s="161"/>
      <c r="C48" s="161"/>
      <c r="D48" s="2618"/>
      <c r="E48" s="2618"/>
      <c r="F48" s="2618"/>
      <c r="G48" s="2618"/>
      <c r="H48" s="2618"/>
      <c r="I48" s="2618"/>
      <c r="J48" s="2618"/>
      <c r="K48" s="2618"/>
      <c r="L48" s="2618"/>
      <c r="M48" s="2618"/>
      <c r="N48" s="2618"/>
      <c r="O48" s="2618"/>
      <c r="P48" s="2618"/>
      <c r="Q48" s="2618"/>
      <c r="R48" s="2618"/>
      <c r="S48" s="2618"/>
      <c r="T48" s="2618"/>
    </row>
    <row r="49" spans="1:23" s="94" customFormat="1" ht="15" customHeight="1">
      <c r="B49" s="2619" t="s">
        <v>635</v>
      </c>
      <c r="C49" s="2619"/>
      <c r="D49" s="94" t="s">
        <v>1488</v>
      </c>
      <c r="H49" s="94" t="s">
        <v>1489</v>
      </c>
    </row>
    <row r="50" spans="1:23" s="94" customFormat="1" ht="15" customHeight="1">
      <c r="B50" s="161"/>
      <c r="C50" s="161"/>
      <c r="D50" s="2618" t="s">
        <v>1490</v>
      </c>
      <c r="E50" s="2618"/>
      <c r="F50" s="2618"/>
      <c r="G50" s="2618"/>
      <c r="H50" s="2618"/>
      <c r="I50" s="2618"/>
      <c r="J50" s="2618"/>
      <c r="K50" s="2618"/>
      <c r="L50" s="2618"/>
      <c r="M50" s="2618"/>
      <c r="N50" s="2618"/>
      <c r="O50" s="2618"/>
      <c r="P50" s="2618"/>
      <c r="Q50" s="2618"/>
      <c r="R50" s="2618"/>
      <c r="S50" s="2618"/>
      <c r="T50" s="2618"/>
    </row>
    <row r="51" spans="1:23" s="94" customFormat="1" ht="15" customHeight="1">
      <c r="B51" s="161"/>
      <c r="C51" s="161"/>
      <c r="D51" s="2618"/>
      <c r="E51" s="2618"/>
      <c r="F51" s="2618"/>
      <c r="G51" s="2618"/>
      <c r="H51" s="2618"/>
      <c r="I51" s="2618"/>
      <c r="J51" s="2618"/>
      <c r="K51" s="2618"/>
      <c r="L51" s="2618"/>
      <c r="M51" s="2618"/>
      <c r="N51" s="2618"/>
      <c r="O51" s="2618"/>
      <c r="P51" s="2618"/>
      <c r="Q51" s="2618"/>
      <c r="R51" s="2618"/>
      <c r="S51" s="2618"/>
      <c r="T51" s="2618"/>
    </row>
    <row r="52" spans="1:23" s="94" customFormat="1" ht="15" customHeight="1">
      <c r="B52" s="2619" t="s">
        <v>655</v>
      </c>
      <c r="C52" s="2619"/>
      <c r="D52" s="94" t="s">
        <v>1491</v>
      </c>
      <c r="H52" s="94" t="s">
        <v>1492</v>
      </c>
    </row>
    <row r="53" spans="1:23" s="94" customFormat="1" ht="15" customHeight="1">
      <c r="B53" s="161"/>
      <c r="C53" s="161"/>
      <c r="D53" s="2618" t="s">
        <v>1493</v>
      </c>
      <c r="E53" s="2618"/>
      <c r="F53" s="2618"/>
      <c r="G53" s="2618"/>
      <c r="H53" s="2618"/>
      <c r="I53" s="2618"/>
      <c r="J53" s="2618"/>
      <c r="K53" s="2618"/>
      <c r="L53" s="2618"/>
      <c r="M53" s="2618"/>
      <c r="N53" s="2618"/>
      <c r="O53" s="2618"/>
      <c r="P53" s="2618"/>
      <c r="Q53" s="2618"/>
      <c r="R53" s="2618"/>
      <c r="S53" s="2618"/>
      <c r="T53" s="2618"/>
    </row>
    <row r="54" spans="1:23" s="94" customFormat="1" ht="15" customHeight="1">
      <c r="B54" s="161"/>
      <c r="C54" s="161"/>
      <c r="D54" s="2618"/>
      <c r="E54" s="2618"/>
      <c r="F54" s="2618"/>
      <c r="G54" s="2618"/>
      <c r="H54" s="2618"/>
      <c r="I54" s="2618"/>
      <c r="J54" s="2618"/>
      <c r="K54" s="2618"/>
      <c r="L54" s="2618"/>
      <c r="M54" s="2618"/>
      <c r="N54" s="2618"/>
      <c r="O54" s="2618"/>
      <c r="P54" s="2618"/>
      <c r="Q54" s="2618"/>
      <c r="R54" s="2618"/>
      <c r="S54" s="2618"/>
      <c r="T54" s="2618"/>
    </row>
    <row r="55" spans="1:23" s="94" customFormat="1" ht="15" customHeight="1">
      <c r="B55" s="2619" t="s">
        <v>1494</v>
      </c>
      <c r="C55" s="2619"/>
      <c r="D55" s="94" t="s">
        <v>157</v>
      </c>
      <c r="H55" s="94" t="s">
        <v>1492</v>
      </c>
    </row>
    <row r="56" spans="1:23" s="94" customFormat="1" ht="15" customHeight="1">
      <c r="B56" s="161"/>
      <c r="C56" s="161"/>
      <c r="D56" s="2618" t="s">
        <v>1495</v>
      </c>
      <c r="E56" s="2618"/>
      <c r="F56" s="2618"/>
      <c r="G56" s="2618"/>
      <c r="H56" s="2618"/>
      <c r="I56" s="2618"/>
      <c r="J56" s="2618"/>
      <c r="K56" s="2618"/>
      <c r="L56" s="2618"/>
      <c r="M56" s="2618"/>
      <c r="N56" s="2618"/>
      <c r="O56" s="2618"/>
      <c r="P56" s="2618"/>
      <c r="Q56" s="2618"/>
      <c r="R56" s="2618"/>
      <c r="S56" s="2618"/>
      <c r="T56" s="2618"/>
    </row>
    <row r="57" spans="1:23" s="94" customFormat="1" ht="9" customHeight="1">
      <c r="B57" s="161"/>
      <c r="C57" s="161"/>
      <c r="D57" s="2618"/>
      <c r="E57" s="2618"/>
      <c r="F57" s="2618"/>
      <c r="G57" s="2618"/>
      <c r="H57" s="2618"/>
      <c r="I57" s="2618"/>
      <c r="J57" s="2618"/>
      <c r="K57" s="2618"/>
      <c r="L57" s="2618"/>
      <c r="M57" s="2618"/>
      <c r="N57" s="2618"/>
      <c r="O57" s="2618"/>
      <c r="P57" s="2618"/>
      <c r="Q57" s="2618"/>
      <c r="R57" s="2618"/>
      <c r="S57" s="2618"/>
      <c r="T57" s="2618"/>
    </row>
    <row r="58" spans="1:23" s="94" customFormat="1" ht="15" customHeight="1">
      <c r="B58" s="135"/>
      <c r="C58" s="135"/>
    </row>
    <row r="59" spans="1:23" s="94" customFormat="1" ht="15" customHeight="1">
      <c r="A59" s="94" t="s">
        <v>1496</v>
      </c>
      <c r="B59" s="135"/>
      <c r="C59" s="135"/>
    </row>
    <row r="60" spans="1:23" s="94" customFormat="1" ht="15" customHeight="1">
      <c r="A60" s="94" t="s">
        <v>610</v>
      </c>
      <c r="B60" s="135"/>
      <c r="C60" s="135" t="s">
        <v>1497</v>
      </c>
    </row>
    <row r="61" spans="1:23" s="94" customFormat="1" ht="15" customHeight="1">
      <c r="B61" s="2613" t="s">
        <v>599</v>
      </c>
      <c r="C61" s="2613"/>
      <c r="D61" s="94" t="s">
        <v>1498</v>
      </c>
      <c r="J61" s="176" t="str">
        <f>【マスター】!K15</f>
        <v>月曜日～土曜日</v>
      </c>
    </row>
    <row r="62" spans="1:23" s="94" customFormat="1" ht="15" customHeight="1">
      <c r="B62" s="2619" t="s">
        <v>601</v>
      </c>
      <c r="C62" s="2619"/>
      <c r="D62" s="94" t="s">
        <v>1499</v>
      </c>
      <c r="J62" s="94" t="str">
        <f>DBCS("　"&amp;【マスター】!C12&amp;【マスター】!D12&amp;【マスター】!E12)</f>
        <v>　８：３０～１７：４０</v>
      </c>
    </row>
    <row r="63" spans="1:23" s="94" customFormat="1" ht="15" customHeight="1">
      <c r="B63" s="2619" t="s">
        <v>635</v>
      </c>
      <c r="C63" s="2619"/>
      <c r="D63" s="94" t="s">
        <v>1500</v>
      </c>
      <c r="J63" s="94" t="str">
        <f>DBCS("　"&amp;【マスター】!I12&amp;【マスター】!J12&amp;【マスター】!K12)</f>
        <v>　９：３０～１６：４０</v>
      </c>
    </row>
    <row r="64" spans="1:23" s="94" customFormat="1" ht="15" customHeight="1">
      <c r="B64" s="2620" t="str">
        <f>IF(【マスター】!C71="有","　（４）","")</f>
        <v>　（４）</v>
      </c>
      <c r="C64" s="2620"/>
      <c r="D64" s="94" t="str">
        <f>IF(【マスター】!C71="有","介護保険適用の延長加算","")</f>
        <v>介護保険適用の延長加算</v>
      </c>
      <c r="J64" s="2621" t="str">
        <f>IF(【マスター】!C71="有",DBCS(""&amp;【マスター】!C13&amp;U64&amp;【マスター】!E13&amp;W64),"")</f>
        <v>７：００～９：３０及び１６：４０～２１：００のうち、最長５時間まで対応</v>
      </c>
      <c r="K64" s="2621"/>
      <c r="L64" s="2621"/>
      <c r="M64" s="2621"/>
      <c r="N64" s="2621"/>
      <c r="O64" s="2621"/>
      <c r="P64" s="2621"/>
      <c r="Q64" s="2621"/>
      <c r="R64" s="2621"/>
      <c r="S64" s="2621"/>
      <c r="T64" s="2621"/>
      <c r="U64" s="94" t="str">
        <f>"～"&amp;【マスター】!I12&amp;"及び"&amp;【マスター】!K12&amp;"～"</f>
        <v>～9:30及び16:40～</v>
      </c>
      <c r="W64" s="94" t="s">
        <v>1501</v>
      </c>
    </row>
    <row r="65" spans="1:20" s="94" customFormat="1" ht="15" customHeight="1">
      <c r="B65" s="161"/>
      <c r="C65" s="161"/>
      <c r="D65" s="94" t="str">
        <f>IF(【マスター】!C71="有","対応可能時間帯","")</f>
        <v>対応可能時間帯</v>
      </c>
      <c r="J65" s="94" t="str">
        <f>IF(【マスター】!C71="有","　うち１時間は自費延長サービス（１００円）","")</f>
        <v>　うち１時間は自費延長サービス（１００円）</v>
      </c>
    </row>
    <row r="66" spans="1:20" s="94" customFormat="1" ht="15" customHeight="1">
      <c r="B66" s="135"/>
      <c r="C66" s="135"/>
    </row>
    <row r="67" spans="1:20" s="94" customFormat="1" ht="15" customHeight="1">
      <c r="A67" s="94" t="s">
        <v>1502</v>
      </c>
      <c r="B67" s="135"/>
      <c r="C67" s="135"/>
    </row>
    <row r="68" spans="1:20" s="94" customFormat="1" ht="15" customHeight="1">
      <c r="A68" s="94" t="s">
        <v>618</v>
      </c>
      <c r="B68" s="135"/>
      <c r="C68" s="94" t="s">
        <v>1503</v>
      </c>
    </row>
    <row r="69" spans="1:20" s="94" customFormat="1" ht="15" customHeight="1">
      <c r="B69" s="135"/>
      <c r="D69" s="94" t="s">
        <v>1504</v>
      </c>
      <c r="H69" s="94" t="str">
        <f>DBCS(【マスター】!C17&amp;【マスター】!D17)</f>
        <v>２０名</v>
      </c>
    </row>
    <row r="70" spans="1:20" s="94" customFormat="1" ht="15" customHeight="1">
      <c r="B70" s="135"/>
    </row>
    <row r="71" spans="1:20" s="94" customFormat="1" ht="15" customHeight="1">
      <c r="A71" s="94" t="s">
        <v>1505</v>
      </c>
      <c r="B71" s="135"/>
      <c r="C71" s="135"/>
    </row>
    <row r="72" spans="1:20" s="94" customFormat="1" ht="15" customHeight="1">
      <c r="A72" s="94" t="s">
        <v>623</v>
      </c>
      <c r="B72" s="135"/>
      <c r="C72" s="2618" t="s">
        <v>1506</v>
      </c>
      <c r="D72" s="2618"/>
      <c r="E72" s="2618"/>
      <c r="F72" s="2618"/>
      <c r="G72" s="2618"/>
      <c r="H72" s="2618"/>
      <c r="I72" s="2618"/>
      <c r="J72" s="2618"/>
      <c r="K72" s="2618"/>
      <c r="L72" s="2618"/>
      <c r="M72" s="2618"/>
      <c r="N72" s="2618"/>
      <c r="O72" s="2618"/>
      <c r="P72" s="2618"/>
      <c r="Q72" s="2618"/>
      <c r="R72" s="2618"/>
      <c r="S72" s="2618"/>
      <c r="T72" s="2618"/>
    </row>
    <row r="73" spans="1:20" s="94" customFormat="1" ht="15" customHeight="1">
      <c r="B73" s="135"/>
      <c r="C73" s="2618"/>
      <c r="D73" s="2618"/>
      <c r="E73" s="2618"/>
      <c r="F73" s="2618"/>
      <c r="G73" s="2618"/>
      <c r="H73" s="2618"/>
      <c r="I73" s="2618"/>
      <c r="J73" s="2618"/>
      <c r="K73" s="2618"/>
      <c r="L73" s="2618"/>
      <c r="M73" s="2618"/>
      <c r="N73" s="2618"/>
      <c r="O73" s="2618"/>
      <c r="P73" s="2618"/>
      <c r="Q73" s="2618"/>
      <c r="R73" s="2618"/>
      <c r="S73" s="2618"/>
      <c r="T73" s="2618"/>
    </row>
    <row r="74" spans="1:20" s="94" customFormat="1" ht="15" customHeight="1">
      <c r="B74" s="135"/>
      <c r="C74" s="2618"/>
      <c r="D74" s="2618"/>
      <c r="E74" s="2618"/>
      <c r="F74" s="2618"/>
      <c r="G74" s="2618"/>
      <c r="H74" s="2618"/>
      <c r="I74" s="2618"/>
      <c r="J74" s="2618"/>
      <c r="K74" s="2618"/>
      <c r="L74" s="2618"/>
      <c r="M74" s="2618"/>
      <c r="N74" s="2618"/>
      <c r="O74" s="2618"/>
      <c r="P74" s="2618"/>
      <c r="Q74" s="2618"/>
      <c r="R74" s="2618"/>
      <c r="S74" s="2618"/>
      <c r="T74" s="2618"/>
    </row>
    <row r="75" spans="1:20" s="94" customFormat="1" ht="15" customHeight="1">
      <c r="B75" s="2613" t="s">
        <v>599</v>
      </c>
      <c r="C75" s="2613"/>
      <c r="D75" s="588" t="s">
        <v>1507</v>
      </c>
      <c r="E75" s="589"/>
      <c r="F75" s="589"/>
      <c r="G75" s="589"/>
      <c r="H75" s="589"/>
      <c r="I75" s="589"/>
      <c r="J75" s="589"/>
      <c r="K75" s="589"/>
      <c r="L75" s="589"/>
      <c r="M75" s="589"/>
      <c r="N75" s="589"/>
      <c r="O75" s="589"/>
      <c r="P75" s="589"/>
      <c r="Q75" s="589"/>
      <c r="R75" s="589"/>
      <c r="S75" s="589"/>
      <c r="T75" s="589"/>
    </row>
    <row r="76" spans="1:20" s="94" customFormat="1" ht="15" customHeight="1">
      <c r="B76" s="135"/>
      <c r="C76" s="588"/>
      <c r="D76" s="588" t="s">
        <v>1508</v>
      </c>
      <c r="E76" s="588"/>
      <c r="F76" s="588"/>
      <c r="G76" s="588"/>
      <c r="H76" s="588"/>
      <c r="I76" s="588"/>
      <c r="J76" s="588"/>
      <c r="K76" s="588"/>
      <c r="L76" s="588"/>
      <c r="M76" s="588"/>
      <c r="N76" s="588"/>
      <c r="O76" s="588"/>
      <c r="P76" s="588"/>
      <c r="Q76" s="588"/>
      <c r="R76" s="588"/>
      <c r="S76" s="588"/>
      <c r="T76" s="588"/>
    </row>
    <row r="77" spans="1:20" s="94" customFormat="1" ht="15" customHeight="1">
      <c r="B77" s="135"/>
      <c r="C77" s="588"/>
      <c r="D77" s="588" t="s">
        <v>1509</v>
      </c>
      <c r="E77" s="588"/>
      <c r="F77" s="588"/>
      <c r="G77" s="588"/>
      <c r="H77" s="588"/>
      <c r="I77" s="588"/>
      <c r="J77" s="588"/>
      <c r="K77" s="588"/>
      <c r="L77" s="588"/>
      <c r="M77" s="588"/>
      <c r="N77" s="588"/>
      <c r="O77" s="588"/>
      <c r="P77" s="588"/>
      <c r="Q77" s="588"/>
      <c r="R77" s="588"/>
      <c r="S77" s="588"/>
      <c r="T77" s="588"/>
    </row>
    <row r="78" spans="1:20" s="94" customFormat="1" ht="15" customHeight="1">
      <c r="B78" s="2619" t="s">
        <v>601</v>
      </c>
      <c r="C78" s="2619"/>
      <c r="D78" s="588" t="s">
        <v>1510</v>
      </c>
      <c r="E78" s="588"/>
      <c r="F78" s="588"/>
      <c r="G78" s="588"/>
      <c r="H78" s="588"/>
      <c r="I78" s="588"/>
      <c r="J78" s="588"/>
      <c r="K78" s="588"/>
      <c r="L78" s="588"/>
      <c r="M78" s="588"/>
      <c r="N78" s="588"/>
      <c r="O78" s="588"/>
      <c r="P78" s="588"/>
      <c r="Q78" s="588"/>
      <c r="R78" s="588"/>
      <c r="S78" s="588"/>
      <c r="T78" s="588"/>
    </row>
    <row r="79" spans="1:20" s="94" customFormat="1" ht="15" customHeight="1">
      <c r="B79" s="135"/>
      <c r="C79" s="588"/>
      <c r="D79" s="2618" t="s">
        <v>1511</v>
      </c>
      <c r="E79" s="2618"/>
      <c r="F79" s="2618"/>
      <c r="G79" s="2618"/>
      <c r="H79" s="2618"/>
      <c r="I79" s="2618"/>
      <c r="J79" s="2618"/>
      <c r="K79" s="2618"/>
      <c r="L79" s="2618"/>
      <c r="M79" s="2618"/>
      <c r="N79" s="2618"/>
      <c r="O79" s="2618"/>
      <c r="P79" s="2618"/>
      <c r="Q79" s="2618"/>
      <c r="R79" s="2618"/>
      <c r="S79" s="2618"/>
      <c r="T79" s="2618"/>
    </row>
    <row r="80" spans="1:20" s="94" customFormat="1" ht="15" customHeight="1">
      <c r="B80" s="135"/>
      <c r="C80" s="588"/>
      <c r="D80" s="2618"/>
      <c r="E80" s="2618"/>
      <c r="F80" s="2618"/>
      <c r="G80" s="2618"/>
      <c r="H80" s="2618"/>
      <c r="I80" s="2618"/>
      <c r="J80" s="2618"/>
      <c r="K80" s="2618"/>
      <c r="L80" s="2618"/>
      <c r="M80" s="2618"/>
      <c r="N80" s="2618"/>
      <c r="O80" s="2618"/>
      <c r="P80" s="2618"/>
      <c r="Q80" s="2618"/>
      <c r="R80" s="2618"/>
      <c r="S80" s="2618"/>
      <c r="T80" s="2618"/>
    </row>
    <row r="81" spans="2:20" s="94" customFormat="1" ht="15" customHeight="1">
      <c r="B81" s="135"/>
      <c r="C81" s="588"/>
      <c r="D81" s="588" t="s">
        <v>1512</v>
      </c>
      <c r="E81" s="588"/>
      <c r="F81" s="588"/>
      <c r="G81" s="588"/>
      <c r="H81" s="588"/>
      <c r="I81" s="588"/>
      <c r="J81" s="588"/>
      <c r="K81" s="588"/>
      <c r="L81" s="588"/>
      <c r="M81" s="588"/>
      <c r="N81" s="588"/>
      <c r="O81" s="588"/>
      <c r="P81" s="588"/>
      <c r="Q81" s="588"/>
      <c r="R81" s="588"/>
      <c r="S81" s="588"/>
      <c r="T81" s="588"/>
    </row>
    <row r="82" spans="2:20" s="94" customFormat="1" ht="15" customHeight="1">
      <c r="B82" s="2619" t="s">
        <v>635</v>
      </c>
      <c r="C82" s="2619"/>
      <c r="D82" s="588" t="s">
        <v>1513</v>
      </c>
      <c r="E82" s="588"/>
      <c r="F82" s="588"/>
      <c r="G82" s="588"/>
      <c r="H82" s="588"/>
      <c r="I82" s="588"/>
      <c r="J82" s="588"/>
      <c r="K82" s="588"/>
      <c r="L82" s="588"/>
      <c r="M82" s="588"/>
      <c r="N82" s="588"/>
      <c r="O82" s="588"/>
      <c r="P82" s="588"/>
      <c r="Q82" s="588"/>
      <c r="R82" s="588"/>
      <c r="S82" s="588"/>
      <c r="T82" s="588"/>
    </row>
    <row r="83" spans="2:20" s="94" customFormat="1" ht="15" customHeight="1">
      <c r="B83" s="135"/>
      <c r="C83" s="588"/>
      <c r="D83" s="588" t="s">
        <v>1514</v>
      </c>
      <c r="E83" s="588"/>
      <c r="F83" s="588"/>
      <c r="G83" s="588"/>
      <c r="H83" s="588"/>
      <c r="I83" s="588"/>
      <c r="J83" s="588"/>
      <c r="K83" s="588"/>
      <c r="L83" s="588"/>
      <c r="M83" s="588"/>
      <c r="N83" s="588"/>
      <c r="O83" s="588"/>
      <c r="P83" s="588"/>
      <c r="Q83" s="588"/>
      <c r="R83" s="588"/>
      <c r="S83" s="588"/>
      <c r="T83" s="588"/>
    </row>
    <row r="84" spans="2:20" s="94" customFormat="1" ht="15" customHeight="1">
      <c r="B84" s="135"/>
      <c r="C84" s="588"/>
      <c r="D84" s="2618" t="s">
        <v>1515</v>
      </c>
      <c r="E84" s="2618"/>
      <c r="F84" s="2618"/>
      <c r="G84" s="2618"/>
      <c r="H84" s="2618"/>
      <c r="I84" s="2618"/>
      <c r="J84" s="2618"/>
      <c r="K84" s="2618"/>
      <c r="L84" s="2618"/>
      <c r="M84" s="2618"/>
      <c r="N84" s="2618"/>
      <c r="O84" s="2618"/>
      <c r="P84" s="2618"/>
      <c r="Q84" s="2618"/>
      <c r="R84" s="2618"/>
      <c r="S84" s="2618"/>
      <c r="T84" s="2618"/>
    </row>
    <row r="85" spans="2:20" s="94" customFormat="1" ht="15" customHeight="1">
      <c r="B85" s="2619" t="s">
        <v>655</v>
      </c>
      <c r="C85" s="2619"/>
      <c r="D85" s="588" t="s">
        <v>1516</v>
      </c>
      <c r="E85" s="588"/>
      <c r="F85" s="588"/>
      <c r="G85" s="588"/>
      <c r="H85" s="588"/>
      <c r="I85" s="588"/>
      <c r="J85" s="588"/>
      <c r="K85" s="588"/>
      <c r="L85" s="588"/>
      <c r="M85" s="588"/>
      <c r="N85" s="588"/>
      <c r="O85" s="588"/>
      <c r="P85" s="588"/>
      <c r="Q85" s="588"/>
      <c r="R85" s="588"/>
      <c r="S85" s="588"/>
      <c r="T85" s="588"/>
    </row>
    <row r="86" spans="2:20" s="94" customFormat="1" ht="15" customHeight="1">
      <c r="B86" s="161"/>
      <c r="C86" s="161"/>
      <c r="D86" s="2618" t="s">
        <v>1517</v>
      </c>
      <c r="E86" s="2618"/>
      <c r="F86" s="2618"/>
      <c r="G86" s="2618"/>
      <c r="H86" s="2618"/>
      <c r="I86" s="2618"/>
      <c r="J86" s="2618"/>
      <c r="K86" s="2618"/>
      <c r="L86" s="2618"/>
      <c r="M86" s="2618"/>
      <c r="N86" s="2618"/>
      <c r="O86" s="2618"/>
      <c r="P86" s="2618"/>
      <c r="Q86" s="2618"/>
      <c r="R86" s="2618"/>
      <c r="S86" s="2618"/>
      <c r="T86" s="2618"/>
    </row>
    <row r="87" spans="2:20" s="94" customFormat="1" ht="15" customHeight="1">
      <c r="B87" s="161"/>
      <c r="C87" s="161"/>
      <c r="D87" s="2618"/>
      <c r="E87" s="2618"/>
      <c r="F87" s="2618"/>
      <c r="G87" s="2618"/>
      <c r="H87" s="2618"/>
      <c r="I87" s="2618"/>
      <c r="J87" s="2618"/>
      <c r="K87" s="2618"/>
      <c r="L87" s="2618"/>
      <c r="M87" s="2618"/>
      <c r="N87" s="2618"/>
      <c r="O87" s="2618"/>
      <c r="P87" s="2618"/>
      <c r="Q87" s="2618"/>
      <c r="R87" s="2618"/>
      <c r="S87" s="2618"/>
      <c r="T87" s="2618"/>
    </row>
    <row r="88" spans="2:20" s="94" customFormat="1" ht="15" customHeight="1">
      <c r="B88" s="2619" t="s">
        <v>657</v>
      </c>
      <c r="C88" s="2619"/>
      <c r="D88" s="588" t="s">
        <v>1518</v>
      </c>
      <c r="E88" s="588"/>
      <c r="F88" s="588"/>
      <c r="G88" s="588"/>
      <c r="H88" s="588"/>
      <c r="I88" s="588"/>
      <c r="J88" s="588"/>
      <c r="K88" s="588"/>
      <c r="L88" s="588"/>
      <c r="M88" s="588"/>
      <c r="N88" s="588"/>
      <c r="O88" s="588"/>
      <c r="P88" s="588"/>
      <c r="Q88" s="588"/>
      <c r="R88" s="588"/>
      <c r="S88" s="588"/>
      <c r="T88" s="588"/>
    </row>
    <row r="89" spans="2:20" s="94" customFormat="1" ht="15" customHeight="1">
      <c r="B89" s="161"/>
      <c r="C89" s="161"/>
      <c r="D89" s="2618" t="s">
        <v>1519</v>
      </c>
      <c r="E89" s="2618"/>
      <c r="F89" s="2618"/>
      <c r="G89" s="2618"/>
      <c r="H89" s="2618"/>
      <c r="I89" s="2618"/>
      <c r="J89" s="2618"/>
      <c r="K89" s="2618"/>
      <c r="L89" s="2618"/>
      <c r="M89" s="2618"/>
      <c r="N89" s="2618"/>
      <c r="O89" s="2618"/>
      <c r="P89" s="2618"/>
      <c r="Q89" s="2618"/>
      <c r="R89" s="2618"/>
      <c r="S89" s="2618"/>
      <c r="T89" s="2618"/>
    </row>
    <row r="90" spans="2:20" s="94" customFormat="1" ht="15" customHeight="1">
      <c r="B90" s="161"/>
      <c r="C90" s="161"/>
      <c r="D90" s="2618"/>
      <c r="E90" s="2618"/>
      <c r="F90" s="2618"/>
      <c r="G90" s="2618"/>
      <c r="H90" s="2618"/>
      <c r="I90" s="2618"/>
      <c r="J90" s="2618"/>
      <c r="K90" s="2618"/>
      <c r="L90" s="2618"/>
      <c r="M90" s="2618"/>
      <c r="N90" s="2618"/>
      <c r="O90" s="2618"/>
      <c r="P90" s="2618"/>
      <c r="Q90" s="2618"/>
      <c r="R90" s="2618"/>
      <c r="S90" s="2618"/>
      <c r="T90" s="2618"/>
    </row>
    <row r="91" spans="2:20" s="94" customFormat="1" ht="15" customHeight="1">
      <c r="B91" s="161"/>
      <c r="C91" s="161"/>
      <c r="D91" s="2618"/>
      <c r="E91" s="2618"/>
      <c r="F91" s="2618"/>
      <c r="G91" s="2618"/>
      <c r="H91" s="2618"/>
      <c r="I91" s="2618"/>
      <c r="J91" s="2618"/>
      <c r="K91" s="2618"/>
      <c r="L91" s="2618"/>
      <c r="M91" s="2618"/>
      <c r="N91" s="2618"/>
      <c r="O91" s="2618"/>
      <c r="P91" s="2618"/>
      <c r="Q91" s="2618"/>
      <c r="R91" s="2618"/>
      <c r="S91" s="2618"/>
      <c r="T91" s="2618"/>
    </row>
    <row r="92" spans="2:20" s="94" customFormat="1" ht="15" customHeight="1">
      <c r="B92" s="161"/>
      <c r="C92" s="161"/>
      <c r="D92" s="2618" t="s">
        <v>1520</v>
      </c>
      <c r="E92" s="2618"/>
      <c r="F92" s="2618"/>
      <c r="G92" s="2618"/>
      <c r="H92" s="2618"/>
      <c r="I92" s="2618"/>
      <c r="J92" s="2618"/>
      <c r="K92" s="2618"/>
      <c r="L92" s="2618"/>
      <c r="M92" s="2618"/>
      <c r="N92" s="2618"/>
      <c r="O92" s="2618"/>
      <c r="P92" s="2618"/>
      <c r="Q92" s="2618"/>
      <c r="R92" s="2618"/>
      <c r="S92" s="2618"/>
      <c r="T92" s="2618"/>
    </row>
    <row r="93" spans="2:20" s="94" customFormat="1" ht="15" customHeight="1">
      <c r="B93" s="2619" t="s">
        <v>1010</v>
      </c>
      <c r="C93" s="2619"/>
      <c r="D93" s="588" t="s">
        <v>1521</v>
      </c>
      <c r="E93" s="588"/>
      <c r="F93" s="588"/>
      <c r="G93" s="588"/>
      <c r="H93" s="588"/>
      <c r="I93" s="588"/>
      <c r="J93" s="588"/>
      <c r="K93" s="588"/>
      <c r="L93" s="588"/>
      <c r="M93" s="588"/>
      <c r="N93" s="588"/>
      <c r="O93" s="588"/>
      <c r="P93" s="588"/>
      <c r="Q93" s="588"/>
      <c r="R93" s="588"/>
      <c r="S93" s="588"/>
      <c r="T93" s="588"/>
    </row>
    <row r="94" spans="2:20" s="94" customFormat="1" ht="15" customHeight="1">
      <c r="B94" s="161"/>
      <c r="C94" s="161"/>
      <c r="D94" s="2618" t="s">
        <v>1522</v>
      </c>
      <c r="E94" s="2618"/>
      <c r="F94" s="2618"/>
      <c r="G94" s="2618"/>
      <c r="H94" s="2618"/>
      <c r="I94" s="2618"/>
      <c r="J94" s="2618"/>
      <c r="K94" s="2618"/>
      <c r="L94" s="2618"/>
      <c r="M94" s="2618"/>
      <c r="N94" s="2618"/>
      <c r="O94" s="2618"/>
      <c r="P94" s="2618"/>
      <c r="Q94" s="2618"/>
      <c r="R94" s="2618"/>
      <c r="S94" s="2618"/>
      <c r="T94" s="2618"/>
    </row>
    <row r="95" spans="2:20" s="94" customFormat="1" ht="15" customHeight="1">
      <c r="B95" s="161"/>
      <c r="C95" s="161"/>
      <c r="D95" s="2618"/>
      <c r="E95" s="2618"/>
      <c r="F95" s="2618"/>
      <c r="G95" s="2618"/>
      <c r="H95" s="2618"/>
      <c r="I95" s="2618"/>
      <c r="J95" s="2618"/>
      <c r="K95" s="2618"/>
      <c r="L95" s="2618"/>
      <c r="M95" s="2618"/>
      <c r="N95" s="2618"/>
      <c r="O95" s="2618"/>
      <c r="P95" s="2618"/>
      <c r="Q95" s="2618"/>
      <c r="R95" s="2618"/>
      <c r="S95" s="2618"/>
      <c r="T95" s="2618"/>
    </row>
    <row r="96" spans="2:20" s="94" customFormat="1" ht="15" customHeight="1">
      <c r="B96" s="161"/>
      <c r="C96" s="161"/>
      <c r="D96" s="588" t="s">
        <v>1523</v>
      </c>
      <c r="E96" s="588"/>
      <c r="F96" s="588"/>
      <c r="G96" s="588"/>
      <c r="H96" s="588"/>
      <c r="I96" s="588"/>
      <c r="J96" s="588"/>
      <c r="K96" s="588"/>
      <c r="L96" s="588"/>
      <c r="M96" s="588"/>
      <c r="N96" s="588"/>
      <c r="O96" s="588"/>
      <c r="P96" s="588"/>
      <c r="Q96" s="588"/>
      <c r="R96" s="588"/>
      <c r="S96" s="588"/>
      <c r="T96" s="588"/>
    </row>
    <row r="97" spans="1:20" s="94" customFormat="1" ht="15" customHeight="1">
      <c r="B97" s="2619" t="s">
        <v>1012</v>
      </c>
      <c r="C97" s="2619"/>
      <c r="D97" s="588" t="s">
        <v>1524</v>
      </c>
      <c r="E97" s="588"/>
      <c r="F97" s="588"/>
      <c r="G97" s="588"/>
      <c r="H97" s="588"/>
      <c r="I97" s="588"/>
      <c r="J97" s="588"/>
      <c r="K97" s="588"/>
      <c r="L97" s="588"/>
      <c r="M97" s="588"/>
      <c r="N97" s="588"/>
      <c r="O97" s="588"/>
      <c r="P97" s="588"/>
      <c r="Q97" s="588"/>
      <c r="R97" s="588"/>
      <c r="S97" s="588"/>
      <c r="T97" s="588"/>
    </row>
    <row r="98" spans="1:20" s="94" customFormat="1" ht="15" customHeight="1">
      <c r="B98" s="135"/>
      <c r="C98" s="588"/>
      <c r="D98" s="2618" t="s">
        <v>1525</v>
      </c>
      <c r="E98" s="2618"/>
      <c r="F98" s="2618"/>
      <c r="G98" s="2618"/>
      <c r="H98" s="2618"/>
      <c r="I98" s="2618"/>
      <c r="J98" s="2618"/>
      <c r="K98" s="2618"/>
      <c r="L98" s="2618"/>
      <c r="M98" s="2618"/>
      <c r="N98" s="2618"/>
      <c r="O98" s="2618"/>
      <c r="P98" s="2618"/>
      <c r="Q98" s="2618"/>
      <c r="R98" s="2618"/>
      <c r="S98" s="2618"/>
      <c r="T98" s="2618"/>
    </row>
    <row r="99" spans="1:20" s="94" customFormat="1" ht="15" customHeight="1">
      <c r="B99" s="135"/>
      <c r="C99" s="135"/>
    </row>
    <row r="100" spans="1:20" s="94" customFormat="1" ht="15" customHeight="1">
      <c r="A100" s="94" t="s">
        <v>1526</v>
      </c>
      <c r="B100" s="135"/>
      <c r="C100" s="135"/>
    </row>
    <row r="101" spans="1:20" s="94" customFormat="1" ht="15" customHeight="1">
      <c r="A101" s="94" t="s">
        <v>627</v>
      </c>
      <c r="B101" s="135"/>
      <c r="C101" s="2618" t="s">
        <v>1527</v>
      </c>
      <c r="D101" s="2618"/>
      <c r="E101" s="2618"/>
      <c r="F101" s="2618"/>
      <c r="G101" s="2618"/>
      <c r="H101" s="2618"/>
      <c r="I101" s="2618"/>
      <c r="J101" s="2618"/>
      <c r="K101" s="2618"/>
      <c r="L101" s="2618"/>
      <c r="M101" s="2618"/>
      <c r="N101" s="2618"/>
      <c r="O101" s="2618"/>
      <c r="P101" s="2618"/>
      <c r="Q101" s="2618"/>
      <c r="R101" s="2618"/>
      <c r="S101" s="2618"/>
      <c r="T101" s="2618"/>
    </row>
    <row r="102" spans="1:20" s="94" customFormat="1" ht="15" customHeight="1">
      <c r="B102" s="135"/>
      <c r="C102" s="2618"/>
      <c r="D102" s="2618"/>
      <c r="E102" s="2618"/>
      <c r="F102" s="2618"/>
      <c r="G102" s="2618"/>
      <c r="H102" s="2618"/>
      <c r="I102" s="2618"/>
      <c r="J102" s="2618"/>
      <c r="K102" s="2618"/>
      <c r="L102" s="2618"/>
      <c r="M102" s="2618"/>
      <c r="N102" s="2618"/>
      <c r="O102" s="2618"/>
      <c r="P102" s="2618"/>
      <c r="Q102" s="2618"/>
      <c r="R102" s="2618"/>
      <c r="S102" s="2618"/>
      <c r="T102" s="2618"/>
    </row>
    <row r="103" spans="1:20" s="94" customFormat="1" ht="15" customHeight="1">
      <c r="B103" s="135"/>
      <c r="C103" s="2618"/>
      <c r="D103" s="2618"/>
      <c r="E103" s="2618"/>
      <c r="F103" s="2618"/>
      <c r="G103" s="2618"/>
      <c r="H103" s="2618"/>
      <c r="I103" s="2618"/>
      <c r="J103" s="2618"/>
      <c r="K103" s="2618"/>
      <c r="L103" s="2618"/>
      <c r="M103" s="2618"/>
      <c r="N103" s="2618"/>
      <c r="O103" s="2618"/>
      <c r="P103" s="2618"/>
      <c r="Q103" s="2618"/>
      <c r="R103" s="2618"/>
      <c r="S103" s="2618"/>
      <c r="T103" s="2618"/>
    </row>
    <row r="104" spans="1:20" s="94" customFormat="1" ht="15" customHeight="1">
      <c r="B104" s="135" t="s">
        <v>570</v>
      </c>
      <c r="C104" s="2618" t="s">
        <v>1528</v>
      </c>
      <c r="D104" s="2618"/>
      <c r="E104" s="2618"/>
      <c r="F104" s="2618"/>
      <c r="G104" s="2618"/>
      <c r="H104" s="2618"/>
      <c r="I104" s="2618"/>
      <c r="J104" s="2618"/>
      <c r="K104" s="2618"/>
      <c r="L104" s="2618"/>
      <c r="M104" s="2618"/>
      <c r="N104" s="2618"/>
      <c r="O104" s="2618"/>
      <c r="P104" s="2618"/>
      <c r="Q104" s="2618"/>
      <c r="R104" s="2618"/>
      <c r="S104" s="2618"/>
      <c r="T104" s="2618"/>
    </row>
    <row r="105" spans="1:20" s="94" customFormat="1" ht="15" customHeight="1">
      <c r="B105" s="135"/>
      <c r="C105" s="2618"/>
      <c r="D105" s="2618"/>
      <c r="E105" s="2618"/>
      <c r="F105" s="2618"/>
      <c r="G105" s="2618"/>
      <c r="H105" s="2618"/>
      <c r="I105" s="2618"/>
      <c r="J105" s="2618"/>
      <c r="K105" s="2618"/>
      <c r="L105" s="2618"/>
      <c r="M105" s="2618"/>
      <c r="N105" s="2618"/>
      <c r="O105" s="2618"/>
      <c r="P105" s="2618"/>
      <c r="Q105" s="2618"/>
      <c r="R105" s="2618"/>
      <c r="S105" s="2618"/>
      <c r="T105" s="2618"/>
    </row>
    <row r="106" spans="1:20" s="94" customFormat="1" ht="15" customHeight="1">
      <c r="B106" s="135" t="s">
        <v>595</v>
      </c>
      <c r="C106" s="2618" t="s">
        <v>1529</v>
      </c>
      <c r="D106" s="2618"/>
      <c r="E106" s="2618"/>
      <c r="F106" s="2618"/>
      <c r="G106" s="2618"/>
      <c r="H106" s="2618"/>
      <c r="I106" s="2618"/>
      <c r="J106" s="2618"/>
      <c r="K106" s="2618"/>
      <c r="L106" s="2618"/>
      <c r="M106" s="2618"/>
      <c r="N106" s="2618"/>
      <c r="O106" s="2618"/>
      <c r="P106" s="2618"/>
      <c r="Q106" s="2618"/>
      <c r="R106" s="2618"/>
      <c r="S106" s="2618"/>
      <c r="T106" s="2618"/>
    </row>
    <row r="107" spans="1:20" s="94" customFormat="1" ht="15" customHeight="1">
      <c r="B107" s="135"/>
      <c r="C107" s="2618"/>
      <c r="D107" s="2618"/>
      <c r="E107" s="2618"/>
      <c r="F107" s="2618"/>
      <c r="G107" s="2618"/>
      <c r="H107" s="2618"/>
      <c r="I107" s="2618"/>
      <c r="J107" s="2618"/>
      <c r="K107" s="2618"/>
      <c r="L107" s="2618"/>
      <c r="M107" s="2618"/>
      <c r="N107" s="2618"/>
      <c r="O107" s="2618"/>
      <c r="P107" s="2618"/>
      <c r="Q107" s="2618"/>
      <c r="R107" s="2618"/>
      <c r="S107" s="2618"/>
      <c r="T107" s="2618"/>
    </row>
    <row r="108" spans="1:20" s="94" customFormat="1" ht="15" customHeight="1">
      <c r="B108" s="135"/>
      <c r="C108" s="2618"/>
      <c r="D108" s="2618"/>
      <c r="E108" s="2618"/>
      <c r="F108" s="2618"/>
      <c r="G108" s="2618"/>
      <c r="H108" s="2618"/>
      <c r="I108" s="2618"/>
      <c r="J108" s="2618"/>
      <c r="K108" s="2618"/>
      <c r="L108" s="2618"/>
      <c r="M108" s="2618"/>
      <c r="N108" s="2618"/>
      <c r="O108" s="2618"/>
      <c r="P108" s="2618"/>
      <c r="Q108" s="2618"/>
      <c r="R108" s="2618"/>
      <c r="S108" s="2618"/>
      <c r="T108" s="2618"/>
    </row>
    <row r="109" spans="1:20" s="94" customFormat="1" ht="15" customHeight="1">
      <c r="B109" s="135"/>
      <c r="C109" s="135"/>
    </row>
    <row r="110" spans="1:20" s="94" customFormat="1" ht="15" customHeight="1">
      <c r="A110" s="94" t="s">
        <v>1530</v>
      </c>
      <c r="B110" s="135"/>
      <c r="C110" s="135"/>
    </row>
    <row r="111" spans="1:20" s="94" customFormat="1" ht="15" customHeight="1">
      <c r="A111" s="94" t="s">
        <v>631</v>
      </c>
      <c r="B111" s="135"/>
      <c r="C111" s="2622" t="s">
        <v>2024</v>
      </c>
      <c r="D111" s="2622"/>
      <c r="E111" s="2622"/>
      <c r="F111" s="2622"/>
      <c r="G111" s="2622"/>
      <c r="H111" s="2622"/>
      <c r="I111" s="2622"/>
      <c r="J111" s="2622"/>
      <c r="K111" s="2622"/>
      <c r="L111" s="2622"/>
      <c r="M111" s="2622"/>
      <c r="N111" s="2622"/>
      <c r="O111" s="2622"/>
      <c r="P111" s="2622"/>
      <c r="Q111" s="2622"/>
      <c r="R111" s="2622"/>
      <c r="S111" s="2622"/>
      <c r="T111" s="2622"/>
    </row>
    <row r="112" spans="1:20" s="94" customFormat="1" ht="15" customHeight="1">
      <c r="B112" s="135"/>
      <c r="C112" s="2622"/>
      <c r="D112" s="2622"/>
      <c r="E112" s="2622"/>
      <c r="F112" s="2622"/>
      <c r="G112" s="2622"/>
      <c r="H112" s="2622"/>
      <c r="I112" s="2622"/>
      <c r="J112" s="2622"/>
      <c r="K112" s="2622"/>
      <c r="L112" s="2622"/>
      <c r="M112" s="2622"/>
      <c r="N112" s="2622"/>
      <c r="O112" s="2622"/>
      <c r="P112" s="2622"/>
      <c r="Q112" s="2622"/>
      <c r="R112" s="2622"/>
      <c r="S112" s="2622"/>
      <c r="T112" s="2622"/>
    </row>
    <row r="113" spans="1:21" s="94" customFormat="1" ht="15" customHeight="1">
      <c r="B113" s="135"/>
      <c r="C113" s="2622"/>
      <c r="D113" s="2622"/>
      <c r="E113" s="2622"/>
      <c r="F113" s="2622"/>
      <c r="G113" s="2622"/>
      <c r="H113" s="2622"/>
      <c r="I113" s="2622"/>
      <c r="J113" s="2622"/>
      <c r="K113" s="2622"/>
      <c r="L113" s="2622"/>
      <c r="M113" s="2622"/>
      <c r="N113" s="2622"/>
      <c r="O113" s="2622"/>
      <c r="P113" s="2622"/>
      <c r="Q113" s="2622"/>
      <c r="R113" s="2622"/>
      <c r="S113" s="2622"/>
      <c r="T113" s="2622"/>
    </row>
    <row r="114" spans="1:21" s="94" customFormat="1" ht="15" customHeight="1">
      <c r="B114" s="135" t="s">
        <v>570</v>
      </c>
      <c r="C114" s="2618" t="s">
        <v>1531</v>
      </c>
      <c r="D114" s="2618"/>
      <c r="E114" s="2618"/>
      <c r="F114" s="2618"/>
      <c r="G114" s="2618"/>
      <c r="H114" s="2618"/>
      <c r="I114" s="2618"/>
      <c r="J114" s="2618"/>
      <c r="K114" s="2618"/>
      <c r="L114" s="2618"/>
      <c r="M114" s="2618"/>
      <c r="N114" s="2618"/>
      <c r="O114" s="2618"/>
      <c r="P114" s="2618"/>
      <c r="Q114" s="2618"/>
      <c r="R114" s="2618"/>
      <c r="S114" s="2618"/>
      <c r="T114" s="2618"/>
    </row>
    <row r="115" spans="1:21" s="94" customFormat="1" ht="15" customHeight="1">
      <c r="B115" s="135"/>
      <c r="C115" s="2618"/>
      <c r="D115" s="2618"/>
      <c r="E115" s="2618"/>
      <c r="F115" s="2618"/>
      <c r="G115" s="2618"/>
      <c r="H115" s="2618"/>
      <c r="I115" s="2618"/>
      <c r="J115" s="2618"/>
      <c r="K115" s="2618"/>
      <c r="L115" s="2618"/>
      <c r="M115" s="2618"/>
      <c r="N115" s="2618"/>
      <c r="O115" s="2618"/>
      <c r="P115" s="2618"/>
      <c r="Q115" s="2618"/>
      <c r="R115" s="2618"/>
      <c r="S115" s="2618"/>
      <c r="T115" s="2618"/>
    </row>
    <row r="116" spans="1:21" s="94" customFormat="1" ht="15" customHeight="1">
      <c r="B116" s="135" t="s">
        <v>595</v>
      </c>
      <c r="C116" s="2618" t="s">
        <v>1532</v>
      </c>
      <c r="D116" s="2618"/>
      <c r="E116" s="2618"/>
      <c r="F116" s="2618"/>
      <c r="G116" s="2618"/>
      <c r="H116" s="2618"/>
      <c r="I116" s="2618"/>
      <c r="J116" s="2618"/>
      <c r="K116" s="2618"/>
      <c r="L116" s="2618"/>
      <c r="M116" s="2618"/>
      <c r="N116" s="2618"/>
      <c r="O116" s="2618"/>
      <c r="P116" s="2618"/>
      <c r="Q116" s="2618"/>
      <c r="R116" s="2618"/>
      <c r="S116" s="2618"/>
      <c r="T116" s="2618"/>
    </row>
    <row r="117" spans="1:21" s="94" customFormat="1" ht="15" customHeight="1">
      <c r="B117" s="135"/>
      <c r="C117" s="2618"/>
      <c r="D117" s="2618"/>
      <c r="E117" s="2618"/>
      <c r="F117" s="2618"/>
      <c r="G117" s="2618"/>
      <c r="H117" s="2618"/>
      <c r="I117" s="2618"/>
      <c r="J117" s="2618"/>
      <c r="K117" s="2618"/>
      <c r="L117" s="2618"/>
      <c r="M117" s="2618"/>
      <c r="N117" s="2618"/>
      <c r="O117" s="2618"/>
      <c r="P117" s="2618"/>
      <c r="Q117" s="2618"/>
      <c r="R117" s="2618"/>
      <c r="S117" s="2618"/>
      <c r="T117" s="2618"/>
    </row>
    <row r="118" spans="1:21" s="94" customFormat="1" ht="15" customHeight="1">
      <c r="B118" s="135"/>
      <c r="C118" s="135"/>
    </row>
    <row r="119" spans="1:21" s="94" customFormat="1" ht="15" customHeight="1">
      <c r="A119" s="94" t="s">
        <v>1533</v>
      </c>
      <c r="B119" s="135"/>
      <c r="C119" s="135"/>
    </row>
    <row r="120" spans="1:21" s="94" customFormat="1" ht="15" customHeight="1">
      <c r="A120" s="94" t="s">
        <v>639</v>
      </c>
      <c r="B120" s="135"/>
      <c r="C120" s="2618" t="s">
        <v>1534</v>
      </c>
      <c r="D120" s="2618"/>
      <c r="E120" s="2618"/>
      <c r="F120" s="2618"/>
      <c r="G120" s="2618"/>
      <c r="H120" s="2618"/>
      <c r="I120" s="2618"/>
      <c r="J120" s="2618"/>
      <c r="K120" s="2618"/>
      <c r="L120" s="2618"/>
      <c r="M120" s="2618"/>
      <c r="N120" s="2618"/>
      <c r="O120" s="2618"/>
      <c r="P120" s="2618"/>
      <c r="Q120" s="2618"/>
      <c r="R120" s="2618"/>
      <c r="S120" s="2618"/>
      <c r="T120" s="2618"/>
      <c r="U120" s="128"/>
    </row>
    <row r="121" spans="1:21" s="94" customFormat="1" ht="15" customHeight="1">
      <c r="B121" s="135"/>
      <c r="C121" s="2618"/>
      <c r="D121" s="2618"/>
      <c r="E121" s="2618"/>
      <c r="F121" s="2618"/>
      <c r="G121" s="2618"/>
      <c r="H121" s="2618"/>
      <c r="I121" s="2618"/>
      <c r="J121" s="2618"/>
      <c r="K121" s="2618"/>
      <c r="L121" s="2618"/>
      <c r="M121" s="2618"/>
      <c r="N121" s="2618"/>
      <c r="O121" s="2618"/>
      <c r="P121" s="2618"/>
      <c r="Q121" s="2618"/>
      <c r="R121" s="2618"/>
      <c r="S121" s="2618"/>
      <c r="T121" s="2618"/>
    </row>
    <row r="122" spans="1:21" s="94" customFormat="1" ht="15" customHeight="1">
      <c r="B122" s="135"/>
      <c r="C122" s="2618"/>
      <c r="D122" s="2618"/>
      <c r="E122" s="2618"/>
      <c r="F122" s="2618"/>
      <c r="G122" s="2618"/>
      <c r="H122" s="2618"/>
      <c r="I122" s="2618"/>
      <c r="J122" s="2618"/>
      <c r="K122" s="2618"/>
      <c r="L122" s="2618"/>
      <c r="M122" s="2618"/>
      <c r="N122" s="2618"/>
      <c r="O122" s="2618"/>
      <c r="P122" s="2618"/>
      <c r="Q122" s="2618"/>
      <c r="R122" s="2618"/>
      <c r="S122" s="2618"/>
      <c r="T122" s="2618"/>
    </row>
    <row r="123" spans="1:21" s="94" customFormat="1" ht="30" customHeight="1">
      <c r="B123" s="135" t="s">
        <v>570</v>
      </c>
      <c r="C123" s="2618" t="s">
        <v>2001</v>
      </c>
      <c r="D123" s="2618"/>
      <c r="E123" s="2618"/>
      <c r="F123" s="2618"/>
      <c r="G123" s="2618"/>
      <c r="H123" s="2618"/>
      <c r="I123" s="2618"/>
      <c r="J123" s="2618"/>
      <c r="K123" s="2618"/>
      <c r="L123" s="2618"/>
      <c r="M123" s="2618"/>
      <c r="N123" s="2618"/>
      <c r="O123" s="2618"/>
      <c r="P123" s="2618"/>
      <c r="Q123" s="2618"/>
      <c r="R123" s="2618"/>
      <c r="S123" s="2618"/>
      <c r="T123" s="2618"/>
      <c r="U123" s="128"/>
    </row>
    <row r="124" spans="1:21" s="94" customFormat="1" ht="15" customHeight="1">
      <c r="B124" s="135"/>
      <c r="C124" s="135"/>
    </row>
    <row r="125" spans="1:21" s="94" customFormat="1" ht="15" customHeight="1">
      <c r="A125" s="94" t="s">
        <v>1535</v>
      </c>
      <c r="B125" s="135"/>
      <c r="C125" s="135"/>
    </row>
    <row r="126" spans="1:21" s="94" customFormat="1" ht="15" customHeight="1">
      <c r="A126" s="94" t="s">
        <v>643</v>
      </c>
      <c r="B126" s="135"/>
      <c r="C126" s="2618" t="s">
        <v>1536</v>
      </c>
      <c r="D126" s="2618"/>
      <c r="E126" s="2618"/>
      <c r="F126" s="2618"/>
      <c r="G126" s="2618"/>
      <c r="H126" s="2618"/>
      <c r="I126" s="2618"/>
      <c r="J126" s="2618"/>
      <c r="K126" s="2618"/>
      <c r="L126" s="2618"/>
      <c r="M126" s="2618"/>
      <c r="N126" s="2618"/>
      <c r="O126" s="2618"/>
      <c r="P126" s="2618"/>
      <c r="Q126" s="2618"/>
      <c r="R126" s="2618"/>
      <c r="S126" s="2618"/>
      <c r="T126" s="2618"/>
    </row>
    <row r="127" spans="1:21" s="94" customFormat="1" ht="15" customHeight="1">
      <c r="B127" s="135"/>
      <c r="C127" s="2618"/>
      <c r="D127" s="2618"/>
      <c r="E127" s="2618"/>
      <c r="F127" s="2618"/>
      <c r="G127" s="2618"/>
      <c r="H127" s="2618"/>
      <c r="I127" s="2618"/>
      <c r="J127" s="2618"/>
      <c r="K127" s="2618"/>
      <c r="L127" s="2618"/>
      <c r="M127" s="2618"/>
      <c r="N127" s="2618"/>
      <c r="O127" s="2618"/>
      <c r="P127" s="2618"/>
      <c r="Q127" s="2618"/>
      <c r="R127" s="2618"/>
      <c r="S127" s="2618"/>
      <c r="T127" s="2618"/>
    </row>
    <row r="128" spans="1:21" s="94" customFormat="1" ht="15" customHeight="1">
      <c r="B128" s="135"/>
      <c r="C128" s="2618"/>
      <c r="D128" s="2618"/>
      <c r="E128" s="2618"/>
      <c r="F128" s="2618"/>
      <c r="G128" s="2618"/>
      <c r="H128" s="2618"/>
      <c r="I128" s="2618"/>
      <c r="J128" s="2618"/>
      <c r="K128" s="2618"/>
      <c r="L128" s="2618"/>
      <c r="M128" s="2618"/>
      <c r="N128" s="2618"/>
      <c r="O128" s="2618"/>
      <c r="P128" s="2618"/>
      <c r="Q128" s="2618"/>
      <c r="R128" s="2618"/>
      <c r="S128" s="2618"/>
      <c r="T128" s="2618"/>
    </row>
    <row r="129" spans="1:24" s="94" customFormat="1" ht="15" customHeight="1">
      <c r="B129" s="135" t="s">
        <v>570</v>
      </c>
      <c r="C129" s="2618" t="s">
        <v>1537</v>
      </c>
      <c r="D129" s="2618"/>
      <c r="E129" s="2618"/>
      <c r="F129" s="2618"/>
      <c r="G129" s="2618"/>
      <c r="H129" s="2618"/>
      <c r="I129" s="2618"/>
      <c r="J129" s="2618"/>
      <c r="K129" s="2618"/>
      <c r="L129" s="2618"/>
      <c r="M129" s="2618"/>
      <c r="N129" s="2618"/>
      <c r="O129" s="2618"/>
      <c r="P129" s="2618"/>
      <c r="Q129" s="2618"/>
      <c r="R129" s="2618"/>
      <c r="S129" s="2618"/>
      <c r="T129" s="2618"/>
      <c r="V129" s="128"/>
    </row>
    <row r="130" spans="1:24" s="94" customFormat="1" ht="15" customHeight="1">
      <c r="C130" s="2618"/>
      <c r="D130" s="2618"/>
      <c r="E130" s="2618"/>
      <c r="F130" s="2618"/>
      <c r="G130" s="2618"/>
      <c r="H130" s="2618"/>
      <c r="I130" s="2618"/>
      <c r="J130" s="2618"/>
      <c r="K130" s="2618"/>
      <c r="L130" s="2618"/>
      <c r="M130" s="2618"/>
      <c r="N130" s="2618"/>
      <c r="O130" s="2618"/>
      <c r="P130" s="2618"/>
      <c r="Q130" s="2618"/>
      <c r="R130" s="2618"/>
      <c r="S130" s="2618"/>
      <c r="T130" s="2618"/>
    </row>
    <row r="131" spans="1:24" s="94" customFormat="1" ht="15" customHeight="1">
      <c r="C131" s="2618"/>
      <c r="D131" s="2618"/>
      <c r="E131" s="2618"/>
      <c r="F131" s="2618"/>
      <c r="G131" s="2618"/>
      <c r="H131" s="2618"/>
      <c r="I131" s="2618"/>
      <c r="J131" s="2618"/>
      <c r="K131" s="2618"/>
      <c r="L131" s="2618"/>
      <c r="M131" s="2618"/>
      <c r="N131" s="2618"/>
      <c r="O131" s="2618"/>
      <c r="P131" s="2618"/>
      <c r="Q131" s="2618"/>
      <c r="R131" s="2618"/>
      <c r="S131" s="2618"/>
      <c r="T131" s="2618"/>
    </row>
    <row r="132" spans="1:24" s="94" customFormat="1" ht="15" customHeight="1">
      <c r="B132" s="135" t="s">
        <v>1538</v>
      </c>
      <c r="C132" s="588" t="str">
        <f>DBCS("　食事の提供に要する費用については、１食あたり"&amp;【マスター】!J44&amp;"円を徴収する。")</f>
        <v>　食事の提供に要する費用については、１食あたり５７０円を徴収する。</v>
      </c>
      <c r="D132" s="589"/>
      <c r="E132" s="589"/>
      <c r="F132" s="589"/>
      <c r="G132" s="589"/>
      <c r="H132" s="589"/>
      <c r="I132" s="589"/>
      <c r="J132" s="589"/>
      <c r="K132" s="589"/>
      <c r="L132" s="589"/>
      <c r="M132" s="589"/>
      <c r="N132" s="589"/>
      <c r="O132" s="589"/>
      <c r="P132" s="589"/>
      <c r="Q132" s="589"/>
      <c r="R132" s="589"/>
      <c r="S132" s="589"/>
      <c r="T132" s="589"/>
      <c r="U132" s="128"/>
      <c r="V132" s="946" t="s">
        <v>2072</v>
      </c>
    </row>
    <row r="133" spans="1:24" s="94" customFormat="1" ht="15" customHeight="1">
      <c r="B133" s="135"/>
      <c r="C133" s="2618" t="str">
        <f>IF(【マスター】!C71="","",'通所重説 (別表)'!J98)</f>
        <v>　延長加算算定時に、食事サービスを受ける方は、夕食代１食あたり６３０円が必要となります。</v>
      </c>
      <c r="D133" s="2618"/>
      <c r="E133" s="2618"/>
      <c r="F133" s="2618"/>
      <c r="G133" s="2618"/>
      <c r="H133" s="2618"/>
      <c r="I133" s="2618"/>
      <c r="J133" s="2618"/>
      <c r="K133" s="2618"/>
      <c r="L133" s="2618"/>
      <c r="M133" s="2618"/>
      <c r="N133" s="2618"/>
      <c r="O133" s="2618"/>
      <c r="P133" s="2618"/>
      <c r="Q133" s="2618"/>
      <c r="R133" s="2618"/>
      <c r="S133" s="2618"/>
      <c r="T133" s="2618"/>
      <c r="V133" s="946" t="s">
        <v>2072</v>
      </c>
    </row>
    <row r="134" spans="1:24" s="94" customFormat="1" ht="15" customHeight="1">
      <c r="B134" s="135"/>
      <c r="C134" s="2618"/>
      <c r="D134" s="2618"/>
      <c r="E134" s="2618"/>
      <c r="F134" s="2618"/>
      <c r="G134" s="2618"/>
      <c r="H134" s="2618"/>
      <c r="I134" s="2618"/>
      <c r="J134" s="2618"/>
      <c r="K134" s="2618"/>
      <c r="L134" s="2618"/>
      <c r="M134" s="2618"/>
      <c r="N134" s="2618"/>
      <c r="O134" s="2618"/>
      <c r="P134" s="2618"/>
      <c r="Q134" s="2618"/>
      <c r="R134" s="2618"/>
      <c r="S134" s="2618"/>
      <c r="T134" s="2618"/>
    </row>
    <row r="135" spans="1:24" s="94" customFormat="1" ht="15" customHeight="1">
      <c r="B135" s="135"/>
      <c r="C135" s="588"/>
      <c r="D135" s="588"/>
      <c r="E135" s="589"/>
      <c r="F135" s="589"/>
      <c r="G135" s="589"/>
      <c r="H135" s="2623"/>
      <c r="I135" s="2623"/>
      <c r="J135" s="178"/>
      <c r="L135" s="589"/>
      <c r="M135" s="159"/>
      <c r="N135" s="589"/>
      <c r="O135" s="589"/>
      <c r="P135" s="589"/>
      <c r="Q135" s="589"/>
      <c r="R135" s="589"/>
      <c r="S135" s="589"/>
      <c r="T135" s="589"/>
    </row>
    <row r="136" spans="1:24" s="94" customFormat="1" ht="15" customHeight="1">
      <c r="B136" s="135" t="s">
        <v>1539</v>
      </c>
      <c r="C136" s="135" t="s">
        <v>1540</v>
      </c>
      <c r="D136" s="135"/>
      <c r="E136" s="135"/>
      <c r="F136" s="135"/>
      <c r="G136" s="135"/>
      <c r="H136" s="135"/>
      <c r="I136" s="589"/>
      <c r="J136" s="589"/>
      <c r="K136" s="589"/>
      <c r="L136" s="589"/>
      <c r="N136" s="589"/>
      <c r="O136" s="589"/>
      <c r="P136" s="589"/>
      <c r="Q136" s="589"/>
      <c r="R136" s="589"/>
      <c r="S136" s="589"/>
      <c r="T136" s="589"/>
    </row>
    <row r="137" spans="1:24" s="94" customFormat="1" ht="15" customHeight="1">
      <c r="A137" s="160"/>
      <c r="B137" s="135"/>
      <c r="D137" s="135" t="s">
        <v>542</v>
      </c>
      <c r="F137" s="135"/>
      <c r="G137" s="135"/>
      <c r="J137" s="160" t="s">
        <v>1454</v>
      </c>
      <c r="M137" s="949" t="str">
        <f>DBCS(【マスター】!J46)&amp;"円"</f>
        <v>１００円</v>
      </c>
      <c r="N137" s="135"/>
      <c r="O137" s="135"/>
      <c r="P137" s="135"/>
      <c r="Q137" s="135"/>
      <c r="R137" s="135"/>
      <c r="S137" s="135"/>
      <c r="V137" s="946" t="s">
        <v>2072</v>
      </c>
    </row>
    <row r="138" spans="1:24" s="94" customFormat="1" ht="15" customHeight="1">
      <c r="A138" s="160"/>
      <c r="B138" s="135"/>
      <c r="D138" s="135" t="s">
        <v>543</v>
      </c>
      <c r="F138" s="135"/>
      <c r="I138" s="160"/>
      <c r="J138" s="160" t="s">
        <v>1454</v>
      </c>
      <c r="M138" s="949" t="str">
        <f>DBCS(【マスター】!J47)&amp;"円"</f>
        <v>５０円</v>
      </c>
      <c r="V138" s="946" t="s">
        <v>2072</v>
      </c>
    </row>
    <row r="139" spans="1:24" s="94" customFormat="1" ht="15" customHeight="1">
      <c r="B139" s="135" t="s">
        <v>603</v>
      </c>
      <c r="C139" s="2618" t="str">
        <f>DBCS("　通所介護サービス提供時間（"&amp;V139&amp;"～"&amp;W139&amp;"）前後の時間帯にサービスを提供した場合は１時間当たり"&amp;X139&amp;"円を徴収する。")</f>
        <v>　通所介護サービス提供時間（９：３０～１６：４０）前後の時間帯にサービスを提供した場合は１時間当たり１００円を徴収する。</v>
      </c>
      <c r="D139" s="2618"/>
      <c r="E139" s="2618"/>
      <c r="F139" s="2618"/>
      <c r="G139" s="2618"/>
      <c r="H139" s="2618"/>
      <c r="I139" s="2618"/>
      <c r="J139" s="2618"/>
      <c r="K139" s="2618"/>
      <c r="L139" s="2618"/>
      <c r="M139" s="2618"/>
      <c r="N139" s="2618"/>
      <c r="O139" s="2618"/>
      <c r="P139" s="2618"/>
      <c r="Q139" s="2618"/>
      <c r="R139" s="2618"/>
      <c r="S139" s="2618"/>
      <c r="T139" s="2618"/>
      <c r="V139" s="128" t="str">
        <f>DBCS(【マスター】!I12)</f>
        <v>９：３０</v>
      </c>
      <c r="W139" s="94" t="str">
        <f>DBCS(【マスター】!K12)</f>
        <v>１６：４０</v>
      </c>
      <c r="X139" s="94">
        <f>【マスター】!J46</f>
        <v>100</v>
      </c>
    </row>
    <row r="140" spans="1:24" s="94" customFormat="1" ht="15" customHeight="1">
      <c r="B140" s="135"/>
      <c r="C140" s="2618"/>
      <c r="D140" s="2618"/>
      <c r="E140" s="2618"/>
      <c r="F140" s="2618"/>
      <c r="G140" s="2618"/>
      <c r="H140" s="2618"/>
      <c r="I140" s="2618"/>
      <c r="J140" s="2618"/>
      <c r="K140" s="2618"/>
      <c r="L140" s="2618"/>
      <c r="M140" s="2618"/>
      <c r="N140" s="2618"/>
      <c r="O140" s="2618"/>
      <c r="P140" s="2618"/>
      <c r="Q140" s="2618"/>
      <c r="R140" s="2618"/>
      <c r="S140" s="2618"/>
      <c r="T140" s="2618"/>
      <c r="V140" s="946" t="s">
        <v>2072</v>
      </c>
    </row>
    <row r="141" spans="1:24" s="94" customFormat="1" ht="15" customHeight="1">
      <c r="B141" s="135" t="s">
        <v>606</v>
      </c>
      <c r="C141" s="2618" t="s">
        <v>1541</v>
      </c>
      <c r="D141" s="2618"/>
      <c r="E141" s="2618"/>
      <c r="F141" s="2618"/>
      <c r="G141" s="2618"/>
      <c r="H141" s="2618"/>
      <c r="I141" s="2618"/>
      <c r="J141" s="2618"/>
      <c r="K141" s="2618"/>
      <c r="L141" s="2618"/>
      <c r="M141" s="2618"/>
      <c r="N141" s="2618"/>
      <c r="O141" s="2618"/>
      <c r="P141" s="2618"/>
      <c r="Q141" s="2618"/>
      <c r="R141" s="2618"/>
      <c r="S141" s="2618"/>
      <c r="T141" s="2618"/>
    </row>
    <row r="142" spans="1:24" s="94" customFormat="1" ht="15" customHeight="1">
      <c r="B142" s="135"/>
      <c r="C142" s="2618"/>
      <c r="D142" s="2618"/>
      <c r="E142" s="2618"/>
      <c r="F142" s="2618"/>
      <c r="G142" s="2618"/>
      <c r="H142" s="2618"/>
      <c r="I142" s="2618"/>
      <c r="J142" s="2618"/>
      <c r="K142" s="2618"/>
      <c r="L142" s="2618"/>
      <c r="M142" s="2618"/>
      <c r="N142" s="2618"/>
      <c r="O142" s="2618"/>
      <c r="P142" s="2618"/>
      <c r="Q142" s="2618"/>
      <c r="R142" s="2618"/>
      <c r="S142" s="2618"/>
      <c r="T142" s="2618"/>
    </row>
    <row r="143" spans="1:24" s="94" customFormat="1" ht="15" customHeight="1">
      <c r="B143" s="135"/>
      <c r="C143" s="2618"/>
      <c r="D143" s="2618"/>
      <c r="E143" s="2618"/>
      <c r="F143" s="2618"/>
      <c r="G143" s="2618"/>
      <c r="H143" s="2618"/>
      <c r="I143" s="2618"/>
      <c r="J143" s="2618"/>
      <c r="K143" s="2618"/>
      <c r="L143" s="2618"/>
      <c r="M143" s="2618"/>
      <c r="N143" s="2618"/>
      <c r="O143" s="2618"/>
      <c r="P143" s="2618"/>
      <c r="Q143" s="2618"/>
      <c r="R143" s="2618"/>
      <c r="S143" s="2618"/>
      <c r="T143" s="2618"/>
    </row>
    <row r="144" spans="1:24" s="94" customFormat="1" ht="15" customHeight="1">
      <c r="B144" s="135" t="s">
        <v>663</v>
      </c>
      <c r="C144" s="2618" t="s">
        <v>1542</v>
      </c>
      <c r="D144" s="2618"/>
      <c r="E144" s="2618"/>
      <c r="F144" s="2618"/>
      <c r="G144" s="2618"/>
      <c r="H144" s="2618"/>
      <c r="I144" s="2618"/>
      <c r="J144" s="2618"/>
      <c r="K144" s="2618"/>
      <c r="L144" s="2618"/>
      <c r="M144" s="2618"/>
      <c r="N144" s="2618"/>
      <c r="O144" s="2618"/>
      <c r="P144" s="2618"/>
      <c r="Q144" s="2618"/>
      <c r="R144" s="2618"/>
      <c r="S144" s="2618"/>
      <c r="T144" s="2618"/>
    </row>
    <row r="145" spans="1:20" s="94" customFormat="1" ht="15" customHeight="1">
      <c r="B145" s="135"/>
      <c r="C145" s="2618"/>
      <c r="D145" s="2618"/>
      <c r="E145" s="2618"/>
      <c r="F145" s="2618"/>
      <c r="G145" s="2618"/>
      <c r="H145" s="2618"/>
      <c r="I145" s="2618"/>
      <c r="J145" s="2618"/>
      <c r="K145" s="2618"/>
      <c r="L145" s="2618"/>
      <c r="M145" s="2618"/>
      <c r="N145" s="2618"/>
      <c r="O145" s="2618"/>
      <c r="P145" s="2618"/>
      <c r="Q145" s="2618"/>
      <c r="R145" s="2618"/>
      <c r="S145" s="2618"/>
      <c r="T145" s="2618"/>
    </row>
    <row r="146" spans="1:20" s="94" customFormat="1" ht="15" customHeight="1">
      <c r="B146" s="135" t="s">
        <v>665</v>
      </c>
      <c r="C146" s="2618" t="s">
        <v>1543</v>
      </c>
      <c r="D146" s="2618"/>
      <c r="E146" s="2618"/>
      <c r="F146" s="2618"/>
      <c r="G146" s="2618"/>
      <c r="H146" s="2618"/>
      <c r="I146" s="2618"/>
      <c r="J146" s="2618"/>
      <c r="K146" s="2618"/>
      <c r="L146" s="2618"/>
      <c r="M146" s="2618"/>
      <c r="N146" s="2618"/>
      <c r="O146" s="2618"/>
      <c r="P146" s="2618"/>
      <c r="Q146" s="2618"/>
      <c r="R146" s="2618"/>
      <c r="S146" s="2618"/>
      <c r="T146" s="2618"/>
    </row>
    <row r="147" spans="1:20" s="94" customFormat="1" ht="15" customHeight="1">
      <c r="B147" s="135"/>
      <c r="C147" s="2618"/>
      <c r="D147" s="2618"/>
      <c r="E147" s="2618"/>
      <c r="F147" s="2618"/>
      <c r="G147" s="2618"/>
      <c r="H147" s="2618"/>
      <c r="I147" s="2618"/>
      <c r="J147" s="2618"/>
      <c r="K147" s="2618"/>
      <c r="L147" s="2618"/>
      <c r="M147" s="2618"/>
      <c r="N147" s="2618"/>
      <c r="O147" s="2618"/>
      <c r="P147" s="2618"/>
      <c r="Q147" s="2618"/>
      <c r="R147" s="2618"/>
      <c r="S147" s="2618"/>
      <c r="T147" s="2618"/>
    </row>
    <row r="148" spans="1:20" s="94" customFormat="1" ht="15" customHeight="1">
      <c r="B148" s="135" t="s">
        <v>667</v>
      </c>
      <c r="C148" s="2618" t="s">
        <v>1544</v>
      </c>
      <c r="D148" s="2618"/>
      <c r="E148" s="2618"/>
      <c r="F148" s="2618"/>
      <c r="G148" s="2618"/>
      <c r="H148" s="2618"/>
      <c r="I148" s="2618"/>
      <c r="J148" s="2618"/>
      <c r="K148" s="2618"/>
      <c r="L148" s="2618"/>
      <c r="M148" s="2618"/>
      <c r="N148" s="2618"/>
      <c r="O148" s="2618"/>
      <c r="P148" s="2618"/>
      <c r="Q148" s="2618"/>
      <c r="R148" s="2618"/>
      <c r="S148" s="2618"/>
      <c r="T148" s="2618"/>
    </row>
    <row r="149" spans="1:20" s="94" customFormat="1" ht="15" customHeight="1">
      <c r="B149" s="135"/>
      <c r="C149" s="2618"/>
      <c r="D149" s="2618"/>
      <c r="E149" s="2618"/>
      <c r="F149" s="2618"/>
      <c r="G149" s="2618"/>
      <c r="H149" s="2618"/>
      <c r="I149" s="2618"/>
      <c r="J149" s="2618"/>
      <c r="K149" s="2618"/>
      <c r="L149" s="2618"/>
      <c r="M149" s="2618"/>
      <c r="N149" s="2618"/>
      <c r="O149" s="2618"/>
      <c r="P149" s="2618"/>
      <c r="Q149" s="2618"/>
      <c r="R149" s="2618"/>
      <c r="S149" s="2618"/>
      <c r="T149" s="2618"/>
    </row>
    <row r="150" spans="1:20" s="94" customFormat="1" ht="15" customHeight="1">
      <c r="B150" s="135" t="s">
        <v>1545</v>
      </c>
      <c r="C150" s="2618" t="s">
        <v>1546</v>
      </c>
      <c r="D150" s="2618"/>
      <c r="E150" s="2618"/>
      <c r="F150" s="2618"/>
      <c r="G150" s="2618"/>
      <c r="H150" s="2618"/>
      <c r="I150" s="2618"/>
      <c r="J150" s="2618"/>
      <c r="K150" s="2618"/>
      <c r="L150" s="2618"/>
      <c r="M150" s="2618"/>
      <c r="N150" s="2618"/>
      <c r="O150" s="2618"/>
      <c r="P150" s="2618"/>
      <c r="Q150" s="2618"/>
      <c r="R150" s="2618"/>
      <c r="S150" s="2618"/>
      <c r="T150" s="2618"/>
    </row>
    <row r="151" spans="1:20" s="94" customFormat="1" ht="15" customHeight="1">
      <c r="B151" s="135"/>
      <c r="C151" s="2618"/>
      <c r="D151" s="2618"/>
      <c r="E151" s="2618"/>
      <c r="F151" s="2618"/>
      <c r="G151" s="2618"/>
      <c r="H151" s="2618"/>
      <c r="I151" s="2618"/>
      <c r="J151" s="2618"/>
      <c r="K151" s="2618"/>
      <c r="L151" s="2618"/>
      <c r="M151" s="2618"/>
      <c r="N151" s="2618"/>
      <c r="O151" s="2618"/>
      <c r="P151" s="2618"/>
      <c r="Q151" s="2618"/>
      <c r="R151" s="2618"/>
      <c r="S151" s="2618"/>
      <c r="T151" s="2618"/>
    </row>
    <row r="152" spans="1:20" s="94" customFormat="1" ht="15" customHeight="1">
      <c r="B152" s="135"/>
      <c r="C152" s="2618"/>
      <c r="D152" s="2618"/>
      <c r="E152" s="2618"/>
      <c r="F152" s="2618"/>
      <c r="G152" s="2618"/>
      <c r="H152" s="2618"/>
      <c r="I152" s="2618"/>
      <c r="J152" s="2618"/>
      <c r="K152" s="2618"/>
      <c r="L152" s="2618"/>
      <c r="M152" s="2618"/>
      <c r="N152" s="2618"/>
      <c r="O152" s="2618"/>
      <c r="P152" s="2618"/>
      <c r="Q152" s="2618"/>
      <c r="R152" s="2618"/>
      <c r="S152" s="2618"/>
      <c r="T152" s="2618"/>
    </row>
    <row r="153" spans="1:20" s="94" customFormat="1" ht="15" customHeight="1">
      <c r="B153" s="135" t="s">
        <v>1547</v>
      </c>
      <c r="C153" s="2618" t="s">
        <v>1548</v>
      </c>
      <c r="D153" s="2618"/>
      <c r="E153" s="2618"/>
      <c r="F153" s="2618"/>
      <c r="G153" s="2618"/>
      <c r="H153" s="2618"/>
      <c r="I153" s="2618"/>
      <c r="J153" s="2618"/>
      <c r="K153" s="2618"/>
      <c r="L153" s="2618"/>
      <c r="M153" s="2618"/>
      <c r="N153" s="2618"/>
      <c r="O153" s="2618"/>
      <c r="P153" s="2618"/>
      <c r="Q153" s="2618"/>
      <c r="R153" s="2618"/>
      <c r="S153" s="2618"/>
      <c r="T153" s="2618"/>
    </row>
    <row r="154" spans="1:20" s="94" customFormat="1" ht="15" customHeight="1">
      <c r="B154" s="135"/>
      <c r="C154" s="2618"/>
      <c r="D154" s="2618"/>
      <c r="E154" s="2618"/>
      <c r="F154" s="2618"/>
      <c r="G154" s="2618"/>
      <c r="H154" s="2618"/>
      <c r="I154" s="2618"/>
      <c r="J154" s="2618"/>
      <c r="K154" s="2618"/>
      <c r="L154" s="2618"/>
      <c r="M154" s="2618"/>
      <c r="N154" s="2618"/>
      <c r="O154" s="2618"/>
      <c r="P154" s="2618"/>
      <c r="Q154" s="2618"/>
      <c r="R154" s="2618"/>
      <c r="S154" s="2618"/>
      <c r="T154" s="2618"/>
    </row>
    <row r="155" spans="1:20" s="94" customFormat="1" ht="15" customHeight="1">
      <c r="B155" s="135"/>
      <c r="C155" s="135"/>
    </row>
    <row r="156" spans="1:20" s="94" customFormat="1" ht="15" customHeight="1">
      <c r="A156" s="94" t="s">
        <v>1549</v>
      </c>
      <c r="B156" s="135"/>
      <c r="C156" s="135"/>
    </row>
    <row r="157" spans="1:20" s="94" customFormat="1" ht="15" customHeight="1">
      <c r="A157" s="94" t="s">
        <v>646</v>
      </c>
      <c r="B157" s="135"/>
      <c r="C157" s="2618" t="s">
        <v>1550</v>
      </c>
      <c r="D157" s="2618"/>
      <c r="E157" s="2618"/>
      <c r="F157" s="2618"/>
      <c r="G157" s="2618"/>
      <c r="H157" s="2618"/>
      <c r="I157" s="2618"/>
      <c r="J157" s="2618"/>
      <c r="K157" s="2618"/>
      <c r="L157" s="2618"/>
      <c r="M157" s="2618"/>
      <c r="N157" s="2618"/>
      <c r="O157" s="2618"/>
      <c r="P157" s="2618"/>
      <c r="Q157" s="2618"/>
      <c r="R157" s="2618"/>
      <c r="S157" s="2618"/>
      <c r="T157" s="2618"/>
    </row>
    <row r="158" spans="1:20" s="94" customFormat="1" ht="15" customHeight="1">
      <c r="B158" s="135"/>
      <c r="C158" s="177" t="s">
        <v>1551</v>
      </c>
      <c r="D158" s="2624" t="str">
        <f>""&amp;【マスター】!C16&amp;IF(【マスター】!E16=0," ","・")&amp;【マスター】!E16&amp;""&amp;IF(【マスター】!G16=0," ","・")&amp;【マスター】!G16&amp;""&amp;IF(【マスター】!I16=0," ","・")&amp;【マスター】!I16&amp;""&amp;IF(【マスター】!K16=0," ","・")&amp;【マスター】!K16&amp;""</f>
        <v xml:space="preserve">豊川市・豊橋市   </v>
      </c>
      <c r="E158" s="2624"/>
      <c r="F158" s="2624"/>
      <c r="G158" s="2624"/>
      <c r="H158" s="2624"/>
      <c r="I158" s="2624"/>
      <c r="J158" s="2624"/>
      <c r="K158" s="2624"/>
      <c r="L158" s="2624"/>
      <c r="M158" s="2624"/>
      <c r="N158" s="2624"/>
      <c r="O158" s="2624"/>
      <c r="P158" s="2624"/>
      <c r="Q158" s="2624"/>
      <c r="R158" s="2624"/>
      <c r="S158" s="2624"/>
      <c r="T158" s="589" t="s">
        <v>501</v>
      </c>
    </row>
    <row r="159" spans="1:20" s="94" customFormat="1" ht="15" customHeight="1">
      <c r="B159" s="135"/>
      <c r="C159" s="135"/>
    </row>
    <row r="160" spans="1:20" s="94" customFormat="1" ht="15" customHeight="1">
      <c r="A160" s="94" t="s">
        <v>1552</v>
      </c>
      <c r="B160" s="135"/>
      <c r="C160" s="135"/>
    </row>
    <row r="161" spans="1:24" s="94" customFormat="1" ht="15" customHeight="1">
      <c r="A161" s="94" t="s">
        <v>671</v>
      </c>
      <c r="B161" s="135"/>
      <c r="C161" s="2622" t="s">
        <v>2025</v>
      </c>
      <c r="D161" s="2622"/>
      <c r="E161" s="2622"/>
      <c r="F161" s="2622"/>
      <c r="G161" s="2622"/>
      <c r="H161" s="2622"/>
      <c r="I161" s="2622"/>
      <c r="J161" s="2622"/>
      <c r="K161" s="2622"/>
      <c r="L161" s="2622"/>
      <c r="M161" s="2622"/>
      <c r="N161" s="2622"/>
      <c r="O161" s="2622"/>
      <c r="P161" s="2622"/>
      <c r="Q161" s="2622"/>
      <c r="R161" s="2622"/>
      <c r="S161" s="2622"/>
      <c r="T161" s="2622"/>
    </row>
    <row r="162" spans="1:24" s="94" customFormat="1" ht="15" customHeight="1">
      <c r="B162" s="135"/>
      <c r="C162" s="2622"/>
      <c r="D162" s="2622"/>
      <c r="E162" s="2622"/>
      <c r="F162" s="2622"/>
      <c r="G162" s="2622"/>
      <c r="H162" s="2622"/>
      <c r="I162" s="2622"/>
      <c r="J162" s="2622"/>
      <c r="K162" s="2622"/>
      <c r="L162" s="2622"/>
      <c r="M162" s="2622"/>
      <c r="N162" s="2622"/>
      <c r="O162" s="2622"/>
      <c r="P162" s="2622"/>
      <c r="Q162" s="2622"/>
      <c r="R162" s="2622"/>
      <c r="S162" s="2622"/>
      <c r="T162" s="2622"/>
    </row>
    <row r="163" spans="1:24" s="94" customFormat="1" ht="15" customHeight="1">
      <c r="B163" s="135"/>
      <c r="C163" s="135"/>
    </row>
    <row r="164" spans="1:24" s="94" customFormat="1" ht="15" customHeight="1">
      <c r="A164" s="94" t="s">
        <v>642</v>
      </c>
      <c r="B164" s="135"/>
      <c r="C164" s="135"/>
      <c r="X164" s="128"/>
    </row>
    <row r="165" spans="1:24" s="94" customFormat="1" ht="15" customHeight="1">
      <c r="A165" s="94" t="s">
        <v>677</v>
      </c>
      <c r="B165" s="135"/>
      <c r="C165" s="2622" t="s">
        <v>1553</v>
      </c>
      <c r="D165" s="2622"/>
      <c r="E165" s="2622"/>
      <c r="F165" s="2622"/>
      <c r="G165" s="2622"/>
      <c r="H165" s="2622"/>
      <c r="I165" s="2622"/>
      <c r="J165" s="2622"/>
      <c r="K165" s="2622"/>
      <c r="L165" s="2622"/>
      <c r="M165" s="2622"/>
      <c r="N165" s="2622"/>
      <c r="O165" s="2622"/>
      <c r="P165" s="2622"/>
      <c r="Q165" s="2622"/>
      <c r="R165" s="2622"/>
      <c r="S165" s="2622"/>
      <c r="T165" s="2622"/>
    </row>
    <row r="166" spans="1:24" s="94" customFormat="1" ht="15" customHeight="1">
      <c r="B166" s="135"/>
      <c r="C166" s="2622"/>
      <c r="D166" s="2622"/>
      <c r="E166" s="2622"/>
      <c r="F166" s="2622"/>
      <c r="G166" s="2622"/>
      <c r="H166" s="2622"/>
      <c r="I166" s="2622"/>
      <c r="J166" s="2622"/>
      <c r="K166" s="2622"/>
      <c r="L166" s="2622"/>
      <c r="M166" s="2622"/>
      <c r="N166" s="2622"/>
      <c r="O166" s="2622"/>
      <c r="P166" s="2622"/>
      <c r="Q166" s="2622"/>
      <c r="R166" s="2622"/>
      <c r="S166" s="2622"/>
      <c r="T166" s="2622"/>
    </row>
    <row r="167" spans="1:24" s="94" customFormat="1" ht="15" customHeight="1">
      <c r="B167" s="135"/>
      <c r="C167" s="2622"/>
      <c r="D167" s="2622"/>
      <c r="E167" s="2622"/>
      <c r="F167" s="2622"/>
      <c r="G167" s="2622"/>
      <c r="H167" s="2622"/>
      <c r="I167" s="2622"/>
      <c r="J167" s="2622"/>
      <c r="K167" s="2622"/>
      <c r="L167" s="2622"/>
      <c r="M167" s="2622"/>
      <c r="N167" s="2622"/>
      <c r="O167" s="2622"/>
      <c r="P167" s="2622"/>
      <c r="Q167" s="2622"/>
      <c r="R167" s="2622"/>
      <c r="S167" s="2622"/>
      <c r="T167" s="2622"/>
    </row>
    <row r="168" spans="1:24" s="94" customFormat="1" ht="15" customHeight="1">
      <c r="B168" s="135"/>
      <c r="C168" s="2622"/>
      <c r="D168" s="2622"/>
      <c r="E168" s="2622"/>
      <c r="F168" s="2622"/>
      <c r="G168" s="2622"/>
      <c r="H168" s="2622"/>
      <c r="I168" s="2622"/>
      <c r="J168" s="2622"/>
      <c r="K168" s="2622"/>
      <c r="L168" s="2622"/>
      <c r="M168" s="2622"/>
      <c r="N168" s="2622"/>
      <c r="O168" s="2622"/>
      <c r="P168" s="2622"/>
      <c r="Q168" s="2622"/>
      <c r="R168" s="2622"/>
      <c r="S168" s="2622"/>
      <c r="T168" s="2622"/>
    </row>
    <row r="169" spans="1:24" s="94" customFormat="1" ht="15" customHeight="1">
      <c r="B169" s="135" t="s">
        <v>570</v>
      </c>
      <c r="C169" s="2622" t="s">
        <v>1554</v>
      </c>
      <c r="D169" s="2622"/>
      <c r="E169" s="2622"/>
      <c r="F169" s="2622"/>
      <c r="G169" s="2622"/>
      <c r="H169" s="2622"/>
      <c r="I169" s="2622"/>
      <c r="J169" s="2622"/>
      <c r="K169" s="2622"/>
      <c r="L169" s="2622"/>
      <c r="M169" s="2622"/>
      <c r="N169" s="2622"/>
      <c r="O169" s="2622"/>
      <c r="P169" s="2622"/>
      <c r="Q169" s="2622"/>
      <c r="R169" s="2622"/>
      <c r="S169" s="2622"/>
      <c r="T169" s="2622"/>
    </row>
    <row r="170" spans="1:24" s="94" customFormat="1" ht="15" customHeight="1">
      <c r="C170" s="2622"/>
      <c r="D170" s="2622"/>
      <c r="E170" s="2622"/>
      <c r="F170" s="2622"/>
      <c r="G170" s="2622"/>
      <c r="H170" s="2622"/>
      <c r="I170" s="2622"/>
      <c r="J170" s="2622"/>
      <c r="K170" s="2622"/>
      <c r="L170" s="2622"/>
      <c r="M170" s="2622"/>
      <c r="N170" s="2622"/>
      <c r="O170" s="2622"/>
      <c r="P170" s="2622"/>
      <c r="Q170" s="2622"/>
      <c r="R170" s="2622"/>
      <c r="S170" s="2622"/>
      <c r="T170" s="2622"/>
    </row>
    <row r="171" spans="1:24" s="94" customFormat="1" ht="13.5" customHeight="1">
      <c r="B171" s="135" t="s">
        <v>1538</v>
      </c>
      <c r="C171" s="2622" t="s">
        <v>1555</v>
      </c>
      <c r="D171" s="2622"/>
      <c r="E171" s="2622"/>
      <c r="F171" s="2622"/>
      <c r="G171" s="2622"/>
      <c r="H171" s="2622"/>
      <c r="I171" s="2622"/>
      <c r="J171" s="2622"/>
      <c r="K171" s="2622"/>
      <c r="L171" s="2622"/>
      <c r="M171" s="2622"/>
      <c r="N171" s="2622"/>
      <c r="O171" s="2622"/>
      <c r="P171" s="2622"/>
      <c r="Q171" s="2622"/>
      <c r="R171" s="2622"/>
      <c r="S171" s="2622"/>
      <c r="T171" s="2622"/>
    </row>
    <row r="172" spans="1:24" s="94" customFormat="1" ht="13.5" customHeight="1">
      <c r="B172" s="135"/>
      <c r="C172" s="2622"/>
      <c r="D172" s="2622"/>
      <c r="E172" s="2622"/>
      <c r="F172" s="2622"/>
      <c r="G172" s="2622"/>
      <c r="H172" s="2622"/>
      <c r="I172" s="2622"/>
      <c r="J172" s="2622"/>
      <c r="K172" s="2622"/>
      <c r="L172" s="2622"/>
      <c r="M172" s="2622"/>
      <c r="N172" s="2622"/>
      <c r="O172" s="2622"/>
      <c r="P172" s="2622"/>
      <c r="Q172" s="2622"/>
      <c r="R172" s="2622"/>
      <c r="S172" s="2622"/>
      <c r="T172" s="2622"/>
    </row>
    <row r="173" spans="1:24" s="94" customFormat="1" ht="5.25" customHeight="1">
      <c r="B173" s="135"/>
      <c r="C173" s="2622"/>
      <c r="D173" s="2622"/>
      <c r="E173" s="2622"/>
      <c r="F173" s="2622"/>
      <c r="G173" s="2622"/>
      <c r="H173" s="2622"/>
      <c r="I173" s="2622"/>
      <c r="J173" s="2622"/>
      <c r="K173" s="2622"/>
      <c r="L173" s="2622"/>
      <c r="M173" s="2622"/>
      <c r="N173" s="2622"/>
      <c r="O173" s="2622"/>
      <c r="P173" s="2622"/>
      <c r="Q173" s="2622"/>
      <c r="R173" s="2622"/>
      <c r="S173" s="2622"/>
      <c r="T173" s="2622"/>
    </row>
    <row r="174" spans="1:24" s="94" customFormat="1" ht="15" customHeight="1">
      <c r="B174" s="135" t="s">
        <v>597</v>
      </c>
      <c r="C174" s="2622" t="s">
        <v>1556</v>
      </c>
      <c r="D174" s="2622"/>
      <c r="E174" s="2622"/>
      <c r="F174" s="2622"/>
      <c r="G174" s="2622"/>
      <c r="H174" s="2622"/>
      <c r="I174" s="2622"/>
      <c r="J174" s="2622"/>
      <c r="K174" s="2622"/>
      <c r="L174" s="2622"/>
      <c r="M174" s="2622"/>
      <c r="N174" s="2622"/>
      <c r="O174" s="2622"/>
      <c r="P174" s="2622"/>
      <c r="Q174" s="2622"/>
      <c r="R174" s="2622"/>
      <c r="S174" s="2622"/>
      <c r="T174" s="2622"/>
    </row>
    <row r="175" spans="1:24" s="94" customFormat="1" ht="15" customHeight="1">
      <c r="C175" s="2622"/>
      <c r="D175" s="2622"/>
      <c r="E175" s="2622"/>
      <c r="F175" s="2622"/>
      <c r="G175" s="2622"/>
      <c r="H175" s="2622"/>
      <c r="I175" s="2622"/>
      <c r="J175" s="2622"/>
      <c r="K175" s="2622"/>
      <c r="L175" s="2622"/>
      <c r="M175" s="2622"/>
      <c r="N175" s="2622"/>
      <c r="O175" s="2622"/>
      <c r="P175" s="2622"/>
      <c r="Q175" s="2622"/>
      <c r="R175" s="2622"/>
      <c r="S175" s="2622"/>
      <c r="T175" s="2622"/>
    </row>
    <row r="176" spans="1:24" s="94" customFormat="1" ht="15" customHeight="1">
      <c r="B176" s="135" t="s">
        <v>603</v>
      </c>
      <c r="C176" s="2622" t="s">
        <v>1557</v>
      </c>
      <c r="D176" s="2622"/>
      <c r="E176" s="2622"/>
      <c r="F176" s="2622"/>
      <c r="G176" s="2622"/>
      <c r="H176" s="2622"/>
      <c r="I176" s="2622"/>
      <c r="J176" s="2622"/>
      <c r="K176" s="2622"/>
      <c r="L176" s="2622"/>
      <c r="M176" s="2622"/>
      <c r="N176" s="2622"/>
      <c r="O176" s="2622"/>
      <c r="P176" s="2622"/>
      <c r="Q176" s="2622"/>
      <c r="R176" s="2622"/>
      <c r="S176" s="2622"/>
      <c r="T176" s="2622"/>
    </row>
    <row r="177" spans="1:20" s="94" customFormat="1" ht="15" customHeight="1">
      <c r="B177" s="135"/>
      <c r="C177" s="590"/>
      <c r="D177" s="590"/>
      <c r="E177" s="590"/>
      <c r="F177" s="590"/>
      <c r="G177" s="590"/>
      <c r="H177" s="590"/>
      <c r="I177" s="590"/>
      <c r="J177" s="590"/>
      <c r="K177" s="590"/>
      <c r="L177" s="590"/>
      <c r="M177" s="590"/>
      <c r="N177" s="590"/>
      <c r="O177" s="590"/>
      <c r="P177" s="590"/>
      <c r="Q177" s="590"/>
      <c r="R177" s="590"/>
      <c r="S177" s="590"/>
      <c r="T177" s="590"/>
    </row>
    <row r="178" spans="1:20" s="94" customFormat="1" ht="15" customHeight="1">
      <c r="A178" s="94" t="s">
        <v>1558</v>
      </c>
      <c r="B178" s="135"/>
      <c r="C178" s="590"/>
      <c r="D178" s="590"/>
      <c r="E178" s="590"/>
      <c r="F178" s="590"/>
      <c r="G178" s="590"/>
      <c r="H178" s="590"/>
      <c r="I178" s="590"/>
      <c r="J178" s="590"/>
      <c r="K178" s="590"/>
      <c r="L178" s="590"/>
      <c r="M178" s="590"/>
      <c r="N178" s="590"/>
      <c r="O178" s="590"/>
      <c r="P178" s="590"/>
      <c r="Q178" s="590"/>
      <c r="R178" s="590"/>
      <c r="S178" s="590"/>
      <c r="T178" s="590"/>
    </row>
    <row r="179" spans="1:20" s="94" customFormat="1" ht="15" customHeight="1">
      <c r="A179" s="94" t="s">
        <v>685</v>
      </c>
      <c r="B179" s="135"/>
      <c r="C179" s="2622" t="s">
        <v>1559</v>
      </c>
      <c r="D179" s="2622"/>
      <c r="E179" s="2622"/>
      <c r="F179" s="2622"/>
      <c r="G179" s="2622"/>
      <c r="H179" s="2622"/>
      <c r="I179" s="2622"/>
      <c r="J179" s="2622"/>
      <c r="K179" s="2622"/>
      <c r="L179" s="2622"/>
      <c r="M179" s="2622"/>
      <c r="N179" s="2622"/>
      <c r="O179" s="2622"/>
      <c r="P179" s="2622"/>
      <c r="Q179" s="2622"/>
      <c r="R179" s="2622"/>
      <c r="S179" s="2622"/>
      <c r="T179" s="2622"/>
    </row>
    <row r="180" spans="1:20" s="94" customFormat="1" ht="15" customHeight="1">
      <c r="B180" s="135"/>
      <c r="C180" s="2622"/>
      <c r="D180" s="2622"/>
      <c r="E180" s="2622"/>
      <c r="F180" s="2622"/>
      <c r="G180" s="2622"/>
      <c r="H180" s="2622"/>
      <c r="I180" s="2622"/>
      <c r="J180" s="2622"/>
      <c r="K180" s="2622"/>
      <c r="L180" s="2622"/>
      <c r="M180" s="2622"/>
      <c r="N180" s="2622"/>
      <c r="O180" s="2622"/>
      <c r="P180" s="2622"/>
      <c r="Q180" s="2622"/>
      <c r="R180" s="2622"/>
      <c r="S180" s="2622"/>
      <c r="T180" s="2622"/>
    </row>
    <row r="181" spans="1:20" s="94" customFormat="1" ht="15" customHeight="1">
      <c r="B181" s="135"/>
      <c r="C181" s="590"/>
      <c r="D181" s="163" t="s">
        <v>1560</v>
      </c>
      <c r="E181" s="163"/>
      <c r="F181" s="163"/>
      <c r="H181" s="590"/>
      <c r="I181" s="165" t="s">
        <v>1561</v>
      </c>
      <c r="J181" s="590"/>
      <c r="K181" s="590"/>
      <c r="L181" s="590"/>
      <c r="M181" s="590"/>
      <c r="N181" s="590"/>
      <c r="O181" s="590"/>
      <c r="P181" s="590"/>
      <c r="Q181" s="590"/>
      <c r="R181" s="590"/>
      <c r="S181" s="590"/>
      <c r="T181" s="590"/>
    </row>
    <row r="182" spans="1:20" s="94" customFormat="1" ht="15" customHeight="1">
      <c r="B182" s="135"/>
      <c r="C182" s="590"/>
      <c r="D182" s="163" t="s">
        <v>1562</v>
      </c>
      <c r="E182" s="163"/>
      <c r="F182" s="163"/>
      <c r="H182" s="590"/>
      <c r="I182" s="165" t="s">
        <v>1563</v>
      </c>
      <c r="J182" s="590"/>
      <c r="K182" s="590"/>
      <c r="L182" s="590"/>
      <c r="M182" s="590"/>
      <c r="N182" s="590"/>
      <c r="O182" s="590"/>
      <c r="P182" s="590"/>
      <c r="Q182" s="590"/>
      <c r="R182" s="590"/>
      <c r="S182" s="590"/>
      <c r="T182" s="590"/>
    </row>
    <row r="183" spans="1:20" s="94" customFormat="1" ht="15" customHeight="1">
      <c r="B183" s="135"/>
      <c r="C183" s="590"/>
      <c r="D183" s="163" t="s">
        <v>1564</v>
      </c>
      <c r="E183" s="163"/>
      <c r="F183" s="163"/>
      <c r="H183" s="590"/>
      <c r="I183" s="165" t="s">
        <v>1565</v>
      </c>
      <c r="J183" s="590"/>
      <c r="K183" s="590"/>
      <c r="L183" s="590"/>
      <c r="M183" s="590"/>
      <c r="N183" s="590"/>
      <c r="O183" s="590"/>
      <c r="P183" s="590"/>
      <c r="Q183" s="590"/>
      <c r="R183" s="590"/>
      <c r="S183" s="590"/>
      <c r="T183" s="590"/>
    </row>
    <row r="184" spans="1:20" s="94" customFormat="1" ht="15" customHeight="1">
      <c r="B184" s="135"/>
      <c r="C184" s="590"/>
      <c r="D184" s="163" t="s">
        <v>1566</v>
      </c>
      <c r="E184" s="163"/>
      <c r="F184" s="163"/>
      <c r="H184" s="590"/>
      <c r="I184" s="165" t="s">
        <v>1563</v>
      </c>
      <c r="J184" s="590"/>
      <c r="K184" s="590"/>
      <c r="L184" s="590"/>
      <c r="M184" s="590"/>
      <c r="N184" s="590"/>
      <c r="O184" s="590"/>
      <c r="P184" s="590"/>
      <c r="Q184" s="590"/>
      <c r="R184" s="590"/>
      <c r="S184" s="590"/>
      <c r="T184" s="590"/>
    </row>
    <row r="185" spans="1:20" s="94" customFormat="1" ht="15" customHeight="1">
      <c r="B185" s="135"/>
      <c r="C185" s="590"/>
      <c r="D185" s="163" t="s">
        <v>1567</v>
      </c>
      <c r="E185" s="163"/>
      <c r="F185" s="163"/>
      <c r="H185" s="590"/>
      <c r="I185" s="165" t="s">
        <v>1565</v>
      </c>
      <c r="J185" s="590"/>
      <c r="K185" s="590"/>
      <c r="L185" s="590"/>
      <c r="M185" s="590"/>
      <c r="N185" s="590"/>
      <c r="O185" s="590"/>
      <c r="P185" s="590"/>
      <c r="Q185" s="590"/>
      <c r="R185" s="590"/>
      <c r="S185" s="590"/>
      <c r="T185" s="590"/>
    </row>
    <row r="186" spans="1:20" s="94" customFormat="1" ht="15" customHeight="1">
      <c r="B186" s="135"/>
      <c r="C186" s="135"/>
    </row>
    <row r="187" spans="1:20" s="94" customFormat="1" ht="15" customHeight="1">
      <c r="A187" s="94" t="s">
        <v>1568</v>
      </c>
      <c r="B187" s="135"/>
      <c r="C187" s="135"/>
    </row>
    <row r="188" spans="1:20" s="94" customFormat="1" ht="15" customHeight="1">
      <c r="A188" s="94" t="s">
        <v>688</v>
      </c>
      <c r="B188" s="135"/>
      <c r="C188" s="2622" t="s">
        <v>2026</v>
      </c>
      <c r="D188" s="2622"/>
      <c r="E188" s="2622"/>
      <c r="F188" s="2622"/>
      <c r="G188" s="2622"/>
      <c r="H188" s="2622"/>
      <c r="I188" s="2622"/>
      <c r="J188" s="2622"/>
      <c r="K188" s="2622"/>
      <c r="L188" s="2622"/>
      <c r="M188" s="2622"/>
      <c r="N188" s="2622"/>
      <c r="O188" s="2622"/>
      <c r="P188" s="2622"/>
      <c r="Q188" s="2622"/>
      <c r="R188" s="2622"/>
      <c r="S188" s="2622"/>
      <c r="T188" s="2622"/>
    </row>
    <row r="189" spans="1:20" s="94" customFormat="1" ht="15" customHeight="1">
      <c r="B189" s="135"/>
      <c r="C189" s="2622"/>
      <c r="D189" s="2622"/>
      <c r="E189" s="2622"/>
      <c r="F189" s="2622"/>
      <c r="G189" s="2622"/>
      <c r="H189" s="2622"/>
      <c r="I189" s="2622"/>
      <c r="J189" s="2622"/>
      <c r="K189" s="2622"/>
      <c r="L189" s="2622"/>
      <c r="M189" s="2622"/>
      <c r="N189" s="2622"/>
      <c r="O189" s="2622"/>
      <c r="P189" s="2622"/>
      <c r="Q189" s="2622"/>
      <c r="R189" s="2622"/>
      <c r="S189" s="2622"/>
      <c r="T189" s="2622"/>
    </row>
    <row r="190" spans="1:20" s="94" customFormat="1" ht="15" customHeight="1">
      <c r="B190" s="135" t="s">
        <v>570</v>
      </c>
      <c r="C190" s="2622" t="s">
        <v>1569</v>
      </c>
      <c r="D190" s="2622"/>
      <c r="E190" s="2622"/>
      <c r="F190" s="2622"/>
      <c r="G190" s="2622"/>
      <c r="H190" s="2622"/>
      <c r="I190" s="2622"/>
      <c r="J190" s="2622"/>
      <c r="K190" s="2622"/>
      <c r="L190" s="2622"/>
      <c r="M190" s="2622"/>
      <c r="N190" s="2622"/>
      <c r="O190" s="2622"/>
      <c r="P190" s="2622"/>
      <c r="Q190" s="2622"/>
      <c r="R190" s="2622"/>
      <c r="S190" s="2622"/>
      <c r="T190" s="2622"/>
    </row>
    <row r="191" spans="1:20" s="94" customFormat="1" ht="15" customHeight="1">
      <c r="B191" s="135"/>
      <c r="C191" s="2622"/>
      <c r="D191" s="2622"/>
      <c r="E191" s="2622"/>
      <c r="F191" s="2622"/>
      <c r="G191" s="2622"/>
      <c r="H191" s="2622"/>
      <c r="I191" s="2622"/>
      <c r="J191" s="2622"/>
      <c r="K191" s="2622"/>
      <c r="L191" s="2622"/>
      <c r="M191" s="2622"/>
      <c r="N191" s="2622"/>
      <c r="O191" s="2622"/>
      <c r="P191" s="2622"/>
      <c r="Q191" s="2622"/>
      <c r="R191" s="2622"/>
      <c r="S191" s="2622"/>
      <c r="T191" s="2622"/>
    </row>
    <row r="192" spans="1:20" s="94" customFormat="1" ht="15" customHeight="1">
      <c r="B192" s="135" t="s">
        <v>1538</v>
      </c>
      <c r="C192" s="2622" t="s">
        <v>1570</v>
      </c>
      <c r="D192" s="2622"/>
      <c r="E192" s="2622"/>
      <c r="F192" s="2622"/>
      <c r="G192" s="2622"/>
      <c r="H192" s="2622"/>
      <c r="I192" s="2622"/>
      <c r="J192" s="2622"/>
      <c r="K192" s="2622"/>
      <c r="L192" s="2622"/>
      <c r="M192" s="2622"/>
      <c r="N192" s="2622"/>
      <c r="O192" s="2622"/>
      <c r="P192" s="2622"/>
      <c r="Q192" s="2622"/>
      <c r="R192" s="2622"/>
      <c r="S192" s="2622"/>
      <c r="T192" s="2622"/>
    </row>
    <row r="193" spans="1:20" s="94" customFormat="1" ht="15" customHeight="1">
      <c r="B193" s="135"/>
      <c r="C193" s="2622"/>
      <c r="D193" s="2622"/>
      <c r="E193" s="2622"/>
      <c r="F193" s="2622"/>
      <c r="G193" s="2622"/>
      <c r="H193" s="2622"/>
      <c r="I193" s="2622"/>
      <c r="J193" s="2622"/>
      <c r="K193" s="2622"/>
      <c r="L193" s="2622"/>
      <c r="M193" s="2622"/>
      <c r="N193" s="2622"/>
      <c r="O193" s="2622"/>
      <c r="P193" s="2622"/>
      <c r="Q193" s="2622"/>
      <c r="R193" s="2622"/>
      <c r="S193" s="2622"/>
      <c r="T193" s="2622"/>
    </row>
    <row r="194" spans="1:20" s="94" customFormat="1" ht="15" customHeight="1">
      <c r="B194" s="135"/>
      <c r="C194" s="135"/>
    </row>
    <row r="195" spans="1:20" s="94" customFormat="1" ht="15" customHeight="1">
      <c r="A195" s="94" t="s">
        <v>1571</v>
      </c>
      <c r="B195" s="135"/>
      <c r="C195" s="135"/>
    </row>
    <row r="196" spans="1:20" s="94" customFormat="1" ht="15" customHeight="1">
      <c r="A196" s="94" t="s">
        <v>692</v>
      </c>
      <c r="B196" s="135"/>
      <c r="C196" s="2622" t="s">
        <v>1572</v>
      </c>
      <c r="D196" s="2622"/>
      <c r="E196" s="2622"/>
      <c r="F196" s="2622"/>
      <c r="G196" s="2622"/>
      <c r="H196" s="2622"/>
      <c r="I196" s="2622"/>
      <c r="J196" s="2622"/>
      <c r="K196" s="2622"/>
      <c r="L196" s="2622"/>
      <c r="M196" s="2622"/>
      <c r="N196" s="2622"/>
      <c r="O196" s="2622"/>
      <c r="P196" s="2622"/>
      <c r="Q196" s="2622"/>
      <c r="R196" s="2622"/>
      <c r="S196" s="2622"/>
      <c r="T196" s="2622"/>
    </row>
    <row r="197" spans="1:20" s="94" customFormat="1" ht="15" customHeight="1">
      <c r="B197" s="135"/>
      <c r="C197" s="2622"/>
      <c r="D197" s="2622"/>
      <c r="E197" s="2622"/>
      <c r="F197" s="2622"/>
      <c r="G197" s="2622"/>
      <c r="H197" s="2622"/>
      <c r="I197" s="2622"/>
      <c r="J197" s="2622"/>
      <c r="K197" s="2622"/>
      <c r="L197" s="2622"/>
      <c r="M197" s="2622"/>
      <c r="N197" s="2622"/>
      <c r="O197" s="2622"/>
      <c r="P197" s="2622"/>
      <c r="Q197" s="2622"/>
      <c r="R197" s="2622"/>
      <c r="S197" s="2622"/>
      <c r="T197" s="2622"/>
    </row>
    <row r="198" spans="1:20" s="94" customFormat="1" ht="15" customHeight="1">
      <c r="B198" s="135" t="s">
        <v>570</v>
      </c>
      <c r="C198" s="2622" t="s">
        <v>1573</v>
      </c>
      <c r="D198" s="2622"/>
      <c r="E198" s="2622"/>
      <c r="F198" s="2622"/>
      <c r="G198" s="2622"/>
      <c r="H198" s="2622"/>
      <c r="I198" s="2622"/>
      <c r="J198" s="2622"/>
      <c r="K198" s="2622"/>
      <c r="L198" s="2622"/>
      <c r="M198" s="2622"/>
      <c r="N198" s="2622"/>
      <c r="O198" s="2622"/>
      <c r="P198" s="2622"/>
      <c r="Q198" s="2622"/>
      <c r="R198" s="2622"/>
      <c r="S198" s="2622"/>
      <c r="T198" s="2622"/>
    </row>
    <row r="199" spans="1:20" s="94" customFormat="1" ht="15" customHeight="1">
      <c r="B199" s="135"/>
      <c r="C199" s="2622"/>
      <c r="D199" s="2622"/>
      <c r="E199" s="2622"/>
      <c r="F199" s="2622"/>
      <c r="G199" s="2622"/>
      <c r="H199" s="2622"/>
      <c r="I199" s="2622"/>
      <c r="J199" s="2622"/>
      <c r="K199" s="2622"/>
      <c r="L199" s="2622"/>
      <c r="M199" s="2622"/>
      <c r="N199" s="2622"/>
      <c r="O199" s="2622"/>
      <c r="P199" s="2622"/>
      <c r="Q199" s="2622"/>
      <c r="R199" s="2622"/>
      <c r="S199" s="2622"/>
      <c r="T199" s="2622"/>
    </row>
    <row r="200" spans="1:20" s="94" customFormat="1" ht="15" customHeight="1">
      <c r="B200" s="135"/>
      <c r="C200" s="2622"/>
      <c r="D200" s="2622"/>
      <c r="E200" s="2622"/>
      <c r="F200" s="2622"/>
      <c r="G200" s="2622"/>
      <c r="H200" s="2622"/>
      <c r="I200" s="2622"/>
      <c r="J200" s="2622"/>
      <c r="K200" s="2622"/>
      <c r="L200" s="2622"/>
      <c r="M200" s="2622"/>
      <c r="N200" s="2622"/>
      <c r="O200" s="2622"/>
      <c r="P200" s="2622"/>
      <c r="Q200" s="2622"/>
      <c r="R200" s="2622"/>
      <c r="S200" s="2622"/>
      <c r="T200" s="2622"/>
    </row>
    <row r="201" spans="1:20" s="94" customFormat="1" ht="15" customHeight="1">
      <c r="B201" s="135"/>
      <c r="C201" s="135"/>
    </row>
    <row r="202" spans="1:20" s="94" customFormat="1" ht="15" customHeight="1">
      <c r="A202" s="94" t="s">
        <v>1574</v>
      </c>
      <c r="B202" s="135"/>
      <c r="C202" s="135"/>
    </row>
    <row r="203" spans="1:20" s="94" customFormat="1" ht="15" customHeight="1">
      <c r="A203" s="94" t="s">
        <v>706</v>
      </c>
      <c r="B203" s="135"/>
      <c r="C203" s="2622" t="s">
        <v>1575</v>
      </c>
      <c r="D203" s="2622"/>
      <c r="E203" s="2622"/>
      <c r="F203" s="2622"/>
      <c r="G203" s="2622"/>
      <c r="H203" s="2622"/>
      <c r="I203" s="2622"/>
      <c r="J203" s="2622"/>
      <c r="K203" s="2622"/>
      <c r="L203" s="2622"/>
      <c r="M203" s="2622"/>
      <c r="N203" s="2622"/>
      <c r="O203" s="2622"/>
      <c r="P203" s="2622"/>
      <c r="Q203" s="2622"/>
      <c r="R203" s="2622"/>
      <c r="S203" s="2622"/>
      <c r="T203" s="2622"/>
    </row>
    <row r="204" spans="1:20" s="94" customFormat="1" ht="15" customHeight="1">
      <c r="B204" s="135"/>
      <c r="C204" s="2622"/>
      <c r="D204" s="2622"/>
      <c r="E204" s="2622"/>
      <c r="F204" s="2622"/>
      <c r="G204" s="2622"/>
      <c r="H204" s="2622"/>
      <c r="I204" s="2622"/>
      <c r="J204" s="2622"/>
      <c r="K204" s="2622"/>
      <c r="L204" s="2622"/>
      <c r="M204" s="2622"/>
      <c r="N204" s="2622"/>
      <c r="O204" s="2622"/>
      <c r="P204" s="2622"/>
      <c r="Q204" s="2622"/>
      <c r="R204" s="2622"/>
      <c r="S204" s="2622"/>
      <c r="T204" s="2622"/>
    </row>
    <row r="205" spans="1:20" s="94" customFormat="1" ht="15" customHeight="1">
      <c r="B205" s="135"/>
      <c r="C205" s="2622"/>
      <c r="D205" s="2622"/>
      <c r="E205" s="2622"/>
      <c r="F205" s="2622"/>
      <c r="G205" s="2622"/>
      <c r="H205" s="2622"/>
      <c r="I205" s="2622"/>
      <c r="J205" s="2622"/>
      <c r="K205" s="2622"/>
      <c r="L205" s="2622"/>
      <c r="M205" s="2622"/>
      <c r="N205" s="2622"/>
      <c r="O205" s="2622"/>
      <c r="P205" s="2622"/>
      <c r="Q205" s="2622"/>
      <c r="R205" s="2622"/>
      <c r="S205" s="2622"/>
      <c r="T205" s="2622"/>
    </row>
    <row r="206" spans="1:20" s="94" customFormat="1" ht="15" customHeight="1">
      <c r="B206" s="135" t="s">
        <v>570</v>
      </c>
      <c r="C206" s="2622" t="s">
        <v>1576</v>
      </c>
      <c r="D206" s="2622"/>
      <c r="E206" s="2622"/>
      <c r="F206" s="2622"/>
      <c r="G206" s="2622"/>
      <c r="H206" s="2622"/>
      <c r="I206" s="2622"/>
      <c r="J206" s="2622"/>
      <c r="K206" s="2622"/>
      <c r="L206" s="2622"/>
      <c r="M206" s="2622"/>
      <c r="N206" s="2622"/>
      <c r="O206" s="2622"/>
      <c r="P206" s="2622"/>
      <c r="Q206" s="2622"/>
      <c r="R206" s="2622"/>
      <c r="S206" s="2622"/>
      <c r="T206" s="2622"/>
    </row>
    <row r="207" spans="1:20" s="94" customFormat="1" ht="15" customHeight="1">
      <c r="B207" s="135" t="s">
        <v>595</v>
      </c>
      <c r="C207" s="2622" t="s">
        <v>1577</v>
      </c>
      <c r="D207" s="2622"/>
      <c r="E207" s="2622"/>
      <c r="F207" s="2622"/>
      <c r="G207" s="2622"/>
      <c r="H207" s="2622"/>
      <c r="I207" s="2622"/>
      <c r="J207" s="2622"/>
      <c r="K207" s="2622"/>
      <c r="L207" s="2622"/>
      <c r="M207" s="2622"/>
      <c r="N207" s="2622"/>
      <c r="O207" s="2622"/>
      <c r="P207" s="2622"/>
      <c r="Q207" s="2622"/>
      <c r="R207" s="2622"/>
      <c r="S207" s="2622"/>
      <c r="T207" s="2622"/>
    </row>
    <row r="208" spans="1:20" s="94" customFormat="1" ht="15" customHeight="1">
      <c r="B208" s="135"/>
      <c r="C208" s="2622"/>
      <c r="D208" s="2622"/>
      <c r="E208" s="2622"/>
      <c r="F208" s="2622"/>
      <c r="G208" s="2622"/>
      <c r="H208" s="2622"/>
      <c r="I208" s="2622"/>
      <c r="J208" s="2622"/>
      <c r="K208" s="2622"/>
      <c r="L208" s="2622"/>
      <c r="M208" s="2622"/>
      <c r="N208" s="2622"/>
      <c r="O208" s="2622"/>
      <c r="P208" s="2622"/>
      <c r="Q208" s="2622"/>
      <c r="R208" s="2622"/>
      <c r="S208" s="2622"/>
      <c r="T208" s="2622"/>
    </row>
    <row r="209" spans="1:22" s="94" customFormat="1" ht="15" customHeight="1">
      <c r="B209" s="135"/>
      <c r="C209" s="2622"/>
      <c r="D209" s="2622"/>
      <c r="E209" s="2622"/>
      <c r="F209" s="2622"/>
      <c r="G209" s="2622"/>
      <c r="H209" s="2622"/>
      <c r="I209" s="2622"/>
      <c r="J209" s="2622"/>
      <c r="K209" s="2622"/>
      <c r="L209" s="2622"/>
      <c r="M209" s="2622"/>
      <c r="N209" s="2622"/>
      <c r="O209" s="2622"/>
      <c r="P209" s="2622"/>
      <c r="Q209" s="2622"/>
      <c r="R209" s="2622"/>
      <c r="S209" s="2622"/>
      <c r="T209" s="2622"/>
    </row>
    <row r="210" spans="1:22" s="94" customFormat="1" ht="15" customHeight="1">
      <c r="B210" s="135" t="s">
        <v>597</v>
      </c>
      <c r="C210" s="2622" t="s">
        <v>1578</v>
      </c>
      <c r="D210" s="2622"/>
      <c r="E210" s="2622"/>
      <c r="F210" s="2622"/>
      <c r="G210" s="2622"/>
      <c r="H210" s="2622"/>
      <c r="I210" s="2622"/>
      <c r="J210" s="2622"/>
      <c r="K210" s="2622"/>
      <c r="L210" s="2622"/>
      <c r="M210" s="2622"/>
      <c r="N210" s="2622"/>
      <c r="O210" s="2622"/>
      <c r="P210" s="2622"/>
      <c r="Q210" s="2622"/>
      <c r="R210" s="2622"/>
      <c r="S210" s="2622"/>
      <c r="T210" s="2622"/>
    </row>
    <row r="211" spans="1:22" s="94" customFormat="1" ht="15" customHeight="1">
      <c r="B211" s="135"/>
      <c r="C211" s="2622"/>
      <c r="D211" s="2622"/>
      <c r="E211" s="2622"/>
      <c r="F211" s="2622"/>
      <c r="G211" s="2622"/>
      <c r="H211" s="2622"/>
      <c r="I211" s="2622"/>
      <c r="J211" s="2622"/>
      <c r="K211" s="2622"/>
      <c r="L211" s="2622"/>
      <c r="M211" s="2622"/>
      <c r="N211" s="2622"/>
      <c r="O211" s="2622"/>
      <c r="P211" s="2622"/>
      <c r="Q211" s="2622"/>
      <c r="R211" s="2622"/>
      <c r="S211" s="2622"/>
      <c r="T211" s="2622"/>
    </row>
    <row r="212" spans="1:22" s="94" customFormat="1" ht="15" customHeight="1">
      <c r="B212" s="135"/>
      <c r="C212" s="2622"/>
      <c r="D212" s="2622"/>
      <c r="E212" s="2622"/>
      <c r="F212" s="2622"/>
      <c r="G212" s="2622"/>
      <c r="H212" s="2622"/>
      <c r="I212" s="2622"/>
      <c r="J212" s="2622"/>
      <c r="K212" s="2622"/>
      <c r="L212" s="2622"/>
      <c r="M212" s="2622"/>
      <c r="N212" s="2622"/>
      <c r="O212" s="2622"/>
      <c r="P212" s="2622"/>
      <c r="Q212" s="2622"/>
      <c r="R212" s="2622"/>
      <c r="S212" s="2622"/>
      <c r="T212" s="2622"/>
    </row>
    <row r="213" spans="1:22" s="94" customFormat="1" ht="15" customHeight="1">
      <c r="B213" s="135"/>
      <c r="C213" s="135"/>
    </row>
    <row r="214" spans="1:22" s="94" customFormat="1" ht="15" customHeight="1">
      <c r="A214" s="94" t="s">
        <v>1579</v>
      </c>
      <c r="B214" s="135"/>
      <c r="C214" s="135"/>
    </row>
    <row r="215" spans="1:22" s="94" customFormat="1" ht="15" customHeight="1">
      <c r="A215" s="94" t="s">
        <v>716</v>
      </c>
      <c r="B215" s="135"/>
      <c r="C215" s="2622" t="s">
        <v>1580</v>
      </c>
      <c r="D215" s="2622"/>
      <c r="E215" s="2622"/>
      <c r="F215" s="2622"/>
      <c r="G215" s="2622"/>
      <c r="H215" s="2622"/>
      <c r="I215" s="2622"/>
      <c r="J215" s="2622"/>
      <c r="K215" s="2622"/>
      <c r="L215" s="2622"/>
      <c r="M215" s="2622"/>
      <c r="N215" s="2622"/>
      <c r="O215" s="2622"/>
      <c r="P215" s="2622"/>
      <c r="Q215" s="2622"/>
      <c r="R215" s="2622"/>
      <c r="S215" s="2622"/>
      <c r="T215" s="2622"/>
      <c r="V215" s="128"/>
    </row>
    <row r="216" spans="1:22" s="94" customFormat="1" ht="15" customHeight="1">
      <c r="B216" s="135"/>
      <c r="C216" s="2622"/>
      <c r="D216" s="2622"/>
      <c r="E216" s="2622"/>
      <c r="F216" s="2622"/>
      <c r="G216" s="2622"/>
      <c r="H216" s="2622"/>
      <c r="I216" s="2622"/>
      <c r="J216" s="2622"/>
      <c r="K216" s="2622"/>
      <c r="L216" s="2622"/>
      <c r="M216" s="2622"/>
      <c r="N216" s="2622"/>
      <c r="O216" s="2622"/>
      <c r="P216" s="2622"/>
      <c r="Q216" s="2622"/>
      <c r="R216" s="2622"/>
      <c r="S216" s="2622"/>
      <c r="T216" s="2622"/>
    </row>
    <row r="217" spans="1:22" s="94" customFormat="1" ht="15" customHeight="1">
      <c r="B217" s="135"/>
      <c r="C217" s="2622"/>
      <c r="D217" s="2622"/>
      <c r="E217" s="2622"/>
      <c r="F217" s="2622"/>
      <c r="G217" s="2622"/>
      <c r="H217" s="2622"/>
      <c r="I217" s="2622"/>
      <c r="J217" s="2622"/>
      <c r="K217" s="2622"/>
      <c r="L217" s="2622"/>
      <c r="M217" s="2622"/>
      <c r="N217" s="2622"/>
      <c r="O217" s="2622"/>
      <c r="P217" s="2622"/>
      <c r="Q217" s="2622"/>
      <c r="R217" s="2622"/>
      <c r="S217" s="2622"/>
      <c r="T217" s="2622"/>
    </row>
    <row r="218" spans="1:22" s="94" customFormat="1" ht="15" customHeight="1">
      <c r="B218" s="135" t="s">
        <v>570</v>
      </c>
      <c r="C218" s="2622" t="s">
        <v>1581</v>
      </c>
      <c r="D218" s="2622"/>
      <c r="E218" s="2622"/>
      <c r="F218" s="2622"/>
      <c r="G218" s="2622"/>
      <c r="H218" s="2622"/>
      <c r="I218" s="2622"/>
      <c r="J218" s="2622"/>
      <c r="K218" s="2622"/>
      <c r="L218" s="2622"/>
      <c r="M218" s="2622"/>
      <c r="N218" s="2622"/>
      <c r="O218" s="2622"/>
      <c r="P218" s="2622"/>
      <c r="Q218" s="2622"/>
      <c r="R218" s="2622"/>
      <c r="S218" s="2622"/>
      <c r="T218" s="2622"/>
    </row>
    <row r="219" spans="1:22" s="94" customFormat="1" ht="15" customHeight="1">
      <c r="B219" s="135"/>
      <c r="C219" s="2622"/>
      <c r="D219" s="2622"/>
      <c r="E219" s="2622"/>
      <c r="F219" s="2622"/>
      <c r="G219" s="2622"/>
      <c r="H219" s="2622"/>
      <c r="I219" s="2622"/>
      <c r="J219" s="2622"/>
      <c r="K219" s="2622"/>
      <c r="L219" s="2622"/>
      <c r="M219" s="2622"/>
      <c r="N219" s="2622"/>
      <c r="O219" s="2622"/>
      <c r="P219" s="2622"/>
      <c r="Q219" s="2622"/>
      <c r="R219" s="2622"/>
      <c r="S219" s="2622"/>
      <c r="T219" s="2622"/>
    </row>
    <row r="220" spans="1:22" s="94" customFormat="1" ht="15" customHeight="1">
      <c r="B220" s="135"/>
      <c r="C220" s="2622"/>
      <c r="D220" s="2622"/>
      <c r="E220" s="2622"/>
      <c r="F220" s="2622"/>
      <c r="G220" s="2622"/>
      <c r="H220" s="2622"/>
      <c r="I220" s="2622"/>
      <c r="J220" s="2622"/>
      <c r="K220" s="2622"/>
      <c r="L220" s="2622"/>
      <c r="M220" s="2622"/>
      <c r="N220" s="2622"/>
      <c r="O220" s="2622"/>
      <c r="P220" s="2622"/>
      <c r="Q220" s="2622"/>
      <c r="R220" s="2622"/>
      <c r="S220" s="2622"/>
      <c r="T220" s="2622"/>
    </row>
    <row r="221" spans="1:22" s="94" customFormat="1" ht="15" customHeight="1">
      <c r="B221" s="135"/>
      <c r="C221" s="135"/>
    </row>
    <row r="222" spans="1:22" s="94" customFormat="1" ht="15" customHeight="1">
      <c r="A222" s="94" t="s">
        <v>1582</v>
      </c>
      <c r="B222" s="135"/>
      <c r="C222" s="135"/>
    </row>
    <row r="223" spans="1:22" s="94" customFormat="1" ht="15" customHeight="1">
      <c r="A223" s="94" t="s">
        <v>720</v>
      </c>
      <c r="B223" s="135"/>
      <c r="C223" s="2622" t="s">
        <v>1583</v>
      </c>
      <c r="D223" s="2622"/>
      <c r="E223" s="2622"/>
      <c r="F223" s="2622"/>
      <c r="G223" s="2622"/>
      <c r="H223" s="2622"/>
      <c r="I223" s="2622"/>
      <c r="J223" s="2622"/>
      <c r="K223" s="2622"/>
      <c r="L223" s="2622"/>
      <c r="M223" s="2622"/>
      <c r="N223" s="2622"/>
      <c r="O223" s="2622"/>
      <c r="P223" s="2622"/>
      <c r="Q223" s="2622"/>
      <c r="R223" s="2622"/>
      <c r="S223" s="2622"/>
      <c r="T223" s="2622"/>
    </row>
    <row r="224" spans="1:22" s="94" customFormat="1" ht="15" customHeight="1">
      <c r="B224" s="2613" t="s">
        <v>599</v>
      </c>
      <c r="C224" s="2613"/>
      <c r="D224" s="94" t="s">
        <v>1584</v>
      </c>
    </row>
    <row r="225" spans="1:25" s="94" customFormat="1" ht="15" customHeight="1">
      <c r="B225" s="2619" t="s">
        <v>601</v>
      </c>
      <c r="C225" s="2619"/>
      <c r="D225" s="94" t="s">
        <v>1585</v>
      </c>
    </row>
    <row r="226" spans="1:25" s="94" customFormat="1" ht="15" customHeight="1">
      <c r="B226" s="2619" t="s">
        <v>635</v>
      </c>
      <c r="C226" s="2619"/>
      <c r="D226" s="94" t="s">
        <v>1586</v>
      </c>
    </row>
    <row r="227" spans="1:25" s="94" customFormat="1" ht="15" customHeight="1">
      <c r="B227" s="135" t="s">
        <v>570</v>
      </c>
      <c r="C227" s="2622" t="s">
        <v>1587</v>
      </c>
      <c r="D227" s="2622"/>
      <c r="E227" s="2622"/>
      <c r="F227" s="2622"/>
      <c r="G227" s="2622"/>
      <c r="H227" s="2622"/>
      <c r="I227" s="2622"/>
      <c r="J227" s="2622"/>
      <c r="K227" s="2622"/>
      <c r="L227" s="2622"/>
      <c r="M227" s="2622"/>
      <c r="N227" s="2622"/>
      <c r="O227" s="2622"/>
      <c r="P227" s="2622"/>
      <c r="Q227" s="2622"/>
      <c r="R227" s="2622"/>
      <c r="S227" s="2622"/>
      <c r="T227" s="2622"/>
    </row>
    <row r="228" spans="1:25" s="94" customFormat="1" ht="15" customHeight="1">
      <c r="B228" s="135"/>
      <c r="C228" s="2622"/>
      <c r="D228" s="2622"/>
      <c r="E228" s="2622"/>
      <c r="F228" s="2622"/>
      <c r="G228" s="2622"/>
      <c r="H228" s="2622"/>
      <c r="I228" s="2622"/>
      <c r="J228" s="2622"/>
      <c r="K228" s="2622"/>
      <c r="L228" s="2622"/>
      <c r="M228" s="2622"/>
      <c r="N228" s="2622"/>
      <c r="O228" s="2622"/>
      <c r="P228" s="2622"/>
      <c r="Q228" s="2622"/>
      <c r="R228" s="2622"/>
      <c r="S228" s="2622"/>
      <c r="T228" s="2622"/>
    </row>
    <row r="229" spans="1:25" s="94" customFormat="1" ht="15" customHeight="1">
      <c r="B229" s="135"/>
      <c r="C229" s="2622"/>
      <c r="D229" s="2622"/>
      <c r="E229" s="2622"/>
      <c r="F229" s="2622"/>
      <c r="G229" s="2622"/>
      <c r="H229" s="2622"/>
      <c r="I229" s="2622"/>
      <c r="J229" s="2622"/>
      <c r="K229" s="2622"/>
      <c r="L229" s="2622"/>
      <c r="M229" s="2622"/>
      <c r="N229" s="2622"/>
      <c r="O229" s="2622"/>
      <c r="P229" s="2622"/>
      <c r="Q229" s="2622"/>
      <c r="R229" s="2622"/>
      <c r="S229" s="2622"/>
      <c r="T229" s="2622"/>
    </row>
    <row r="230" spans="1:25" s="94" customFormat="1" ht="15" customHeight="1">
      <c r="B230" s="135"/>
      <c r="C230" s="135"/>
    </row>
    <row r="231" spans="1:25" s="94" customFormat="1" ht="15" customHeight="1">
      <c r="A231" s="94" t="s">
        <v>1588</v>
      </c>
      <c r="B231" s="135"/>
      <c r="C231" s="135"/>
    </row>
    <row r="232" spans="1:25" s="94" customFormat="1" ht="15" customHeight="1">
      <c r="A232" s="94" t="s">
        <v>725</v>
      </c>
      <c r="B232" s="135"/>
      <c r="C232" s="2622" t="s">
        <v>1589</v>
      </c>
      <c r="D232" s="2622"/>
      <c r="E232" s="2622"/>
      <c r="F232" s="2622"/>
      <c r="G232" s="2622"/>
      <c r="H232" s="2622"/>
      <c r="I232" s="2622"/>
      <c r="J232" s="2622"/>
      <c r="K232" s="2622"/>
      <c r="L232" s="2622"/>
      <c r="M232" s="2622"/>
      <c r="N232" s="2622"/>
      <c r="O232" s="2622"/>
      <c r="P232" s="2622"/>
      <c r="Q232" s="2622"/>
      <c r="R232" s="2622"/>
      <c r="S232" s="2622"/>
      <c r="T232" s="2622"/>
      <c r="U232" s="128"/>
    </row>
    <row r="233" spans="1:25" s="94" customFormat="1" ht="15" customHeight="1">
      <c r="B233" s="135"/>
      <c r="C233" s="2622"/>
      <c r="D233" s="2622"/>
      <c r="E233" s="2622"/>
      <c r="F233" s="2622"/>
      <c r="G233" s="2622"/>
      <c r="H233" s="2622"/>
      <c r="I233" s="2622"/>
      <c r="J233" s="2622"/>
      <c r="K233" s="2622"/>
      <c r="L233" s="2622"/>
      <c r="M233" s="2622"/>
      <c r="N233" s="2622"/>
      <c r="O233" s="2622"/>
      <c r="P233" s="2622"/>
      <c r="Q233" s="2622"/>
      <c r="R233" s="2622"/>
      <c r="S233" s="2622"/>
      <c r="T233" s="2622"/>
    </row>
    <row r="234" spans="1:25" s="94" customFormat="1" ht="15" customHeight="1">
      <c r="B234" s="135"/>
      <c r="C234" s="2622"/>
      <c r="D234" s="2622"/>
      <c r="E234" s="2622"/>
      <c r="F234" s="2622"/>
      <c r="G234" s="2622"/>
      <c r="H234" s="2622"/>
      <c r="I234" s="2622"/>
      <c r="J234" s="2622"/>
      <c r="K234" s="2622"/>
      <c r="L234" s="2622"/>
      <c r="M234" s="2622"/>
      <c r="N234" s="2622"/>
      <c r="O234" s="2622"/>
      <c r="P234" s="2622"/>
      <c r="Q234" s="2622"/>
      <c r="R234" s="2622"/>
      <c r="S234" s="2622"/>
      <c r="T234" s="2622"/>
    </row>
    <row r="235" spans="1:25" s="94" customFormat="1" ht="15" customHeight="1">
      <c r="B235" s="135" t="s">
        <v>570</v>
      </c>
      <c r="C235" s="2622" t="s">
        <v>1590</v>
      </c>
      <c r="D235" s="2622"/>
      <c r="E235" s="2622"/>
      <c r="F235" s="2622"/>
      <c r="G235" s="2622"/>
      <c r="H235" s="2622"/>
      <c r="I235" s="2622"/>
      <c r="J235" s="2622"/>
      <c r="K235" s="2622"/>
      <c r="L235" s="2622"/>
      <c r="M235" s="2622"/>
      <c r="N235" s="2622"/>
      <c r="O235" s="2622"/>
      <c r="P235" s="2622"/>
      <c r="Q235" s="2622"/>
      <c r="R235" s="2622"/>
      <c r="S235" s="2622"/>
      <c r="T235" s="2622"/>
    </row>
    <row r="236" spans="1:25" s="94" customFormat="1" ht="15" customHeight="1">
      <c r="B236" s="135"/>
      <c r="C236" s="2622"/>
      <c r="D236" s="2622"/>
      <c r="E236" s="2622"/>
      <c r="F236" s="2622"/>
      <c r="G236" s="2622"/>
      <c r="H236" s="2622"/>
      <c r="I236" s="2622"/>
      <c r="J236" s="2622"/>
      <c r="K236" s="2622"/>
      <c r="L236" s="2622"/>
      <c r="M236" s="2622"/>
      <c r="N236" s="2622"/>
      <c r="O236" s="2622"/>
      <c r="P236" s="2622"/>
      <c r="Q236" s="2622"/>
      <c r="R236" s="2622"/>
      <c r="S236" s="2622"/>
      <c r="T236" s="2622"/>
    </row>
    <row r="237" spans="1:25" s="94" customFormat="1" ht="15" customHeight="1">
      <c r="B237" s="135"/>
      <c r="C237" s="2622"/>
      <c r="D237" s="2622"/>
      <c r="E237" s="2622"/>
      <c r="F237" s="2622"/>
      <c r="G237" s="2622"/>
      <c r="H237" s="2622"/>
      <c r="I237" s="2622"/>
      <c r="J237" s="2622"/>
      <c r="K237" s="2622"/>
      <c r="L237" s="2622"/>
      <c r="M237" s="2622"/>
      <c r="N237" s="2622"/>
      <c r="O237" s="2622"/>
      <c r="P237" s="2622"/>
      <c r="Q237" s="2622"/>
      <c r="R237" s="2622"/>
      <c r="S237" s="2622"/>
      <c r="T237" s="2622"/>
    </row>
    <row r="238" spans="1:25" s="94" customFormat="1" ht="15" customHeight="1">
      <c r="B238" s="135"/>
      <c r="C238" s="2622"/>
      <c r="D238" s="2622"/>
      <c r="E238" s="2622"/>
      <c r="F238" s="2622"/>
      <c r="G238" s="2622"/>
      <c r="H238" s="2622"/>
      <c r="I238" s="2622"/>
      <c r="J238" s="2622"/>
      <c r="K238" s="2622"/>
      <c r="L238" s="2622"/>
      <c r="M238" s="2622"/>
      <c r="N238" s="2622"/>
      <c r="O238" s="2622"/>
      <c r="P238" s="2622"/>
      <c r="Q238" s="2622"/>
      <c r="R238" s="2622"/>
      <c r="S238" s="2622"/>
      <c r="T238" s="2622"/>
    </row>
    <row r="239" spans="1:25" s="94" customFormat="1" ht="15" customHeight="1">
      <c r="B239" s="135"/>
      <c r="C239" s="135"/>
    </row>
    <row r="240" spans="1:25" s="94" customFormat="1" ht="15" customHeight="1">
      <c r="A240" s="135" t="s">
        <v>1880</v>
      </c>
      <c r="B240" s="470"/>
      <c r="C240" s="470"/>
      <c r="D240" s="470"/>
      <c r="E240" s="470"/>
      <c r="F240" s="850"/>
      <c r="G240" s="850"/>
      <c r="H240" s="850"/>
      <c r="I240" s="850"/>
      <c r="J240" s="850"/>
      <c r="K240" s="850"/>
      <c r="L240" s="850"/>
      <c r="M240" s="850"/>
      <c r="N240" s="850"/>
      <c r="O240" s="850"/>
      <c r="P240" s="850"/>
      <c r="Q240" s="850"/>
      <c r="R240" s="850"/>
      <c r="S240" s="850"/>
      <c r="T240" s="130"/>
      <c r="U240" s="128" t="s">
        <v>1840</v>
      </c>
      <c r="W240" s="128"/>
      <c r="X240" s="589"/>
      <c r="Y240" s="589"/>
    </row>
    <row r="241" spans="1:41" s="94" customFormat="1" ht="15" customHeight="1">
      <c r="A241" s="94" t="s">
        <v>728</v>
      </c>
      <c r="B241" s="135"/>
      <c r="C241" s="2625" t="s">
        <v>1995</v>
      </c>
      <c r="D241" s="2625"/>
      <c r="E241" s="2625"/>
      <c r="F241" s="2625"/>
      <c r="G241" s="2625"/>
      <c r="H241" s="2625"/>
      <c r="I241" s="2625"/>
      <c r="J241" s="2625"/>
      <c r="K241" s="2625"/>
      <c r="L241" s="2625"/>
      <c r="M241" s="2625"/>
      <c r="N241" s="2625"/>
      <c r="O241" s="2625"/>
      <c r="P241" s="2625"/>
      <c r="Q241" s="2625"/>
      <c r="R241" s="2625"/>
      <c r="S241" s="2625"/>
      <c r="T241" s="2625"/>
      <c r="V241" s="128"/>
      <c r="W241" s="155"/>
      <c r="X241" s="155"/>
      <c r="Y241" s="155"/>
      <c r="Z241" s="155"/>
      <c r="AA241" s="155"/>
      <c r="AB241" s="155"/>
      <c r="AC241" s="155"/>
      <c r="AD241" s="155"/>
      <c r="AE241" s="155"/>
      <c r="AF241" s="155"/>
      <c r="AG241" s="155"/>
      <c r="AH241" s="155"/>
      <c r="AI241" s="155"/>
      <c r="AJ241" s="155"/>
      <c r="AK241" s="155"/>
      <c r="AL241" s="155"/>
      <c r="AM241" s="155"/>
      <c r="AN241" s="155"/>
    </row>
    <row r="242" spans="1:41" s="94" customFormat="1" ht="15" customHeight="1">
      <c r="C242" s="2625"/>
      <c r="D242" s="2625"/>
      <c r="E242" s="2625"/>
      <c r="F242" s="2625"/>
      <c r="G242" s="2625"/>
      <c r="H242" s="2625"/>
      <c r="I242" s="2625"/>
      <c r="J242" s="2625"/>
      <c r="K242" s="2625"/>
      <c r="L242" s="2625"/>
      <c r="M242" s="2625"/>
      <c r="N242" s="2625"/>
      <c r="O242" s="2625"/>
      <c r="P242" s="2625"/>
      <c r="Q242" s="2625"/>
      <c r="R242" s="2625"/>
      <c r="S242" s="2625"/>
      <c r="T242" s="2625"/>
      <c r="W242" s="128"/>
    </row>
    <row r="243" spans="1:41" s="94" customFormat="1" ht="15" customHeight="1">
      <c r="A243" s="851"/>
      <c r="B243" s="852"/>
      <c r="C243" s="2625" t="s">
        <v>1996</v>
      </c>
      <c r="D243" s="2625"/>
      <c r="E243" s="2625"/>
      <c r="F243" s="2625"/>
      <c r="G243" s="2625"/>
      <c r="H243" s="2625"/>
      <c r="I243" s="2625"/>
      <c r="J243" s="2625"/>
      <c r="K243" s="2625"/>
      <c r="L243" s="2625"/>
      <c r="M243" s="2625"/>
      <c r="N243" s="2625"/>
      <c r="O243" s="2625"/>
      <c r="P243" s="2625"/>
      <c r="Q243" s="2625"/>
      <c r="R243" s="2625"/>
      <c r="S243" s="2625"/>
      <c r="T243" s="2625"/>
      <c r="V243" s="128"/>
      <c r="W243" s="155"/>
      <c r="X243" s="155"/>
      <c r="Y243" s="155"/>
      <c r="Z243" s="155"/>
      <c r="AA243" s="155"/>
      <c r="AB243" s="155"/>
      <c r="AC243" s="155"/>
      <c r="AD243" s="155"/>
      <c r="AE243" s="155"/>
      <c r="AF243" s="155"/>
      <c r="AG243" s="155"/>
      <c r="AH243" s="155"/>
      <c r="AI243" s="155"/>
      <c r="AJ243" s="155"/>
      <c r="AK243" s="155"/>
      <c r="AL243" s="155"/>
      <c r="AM243" s="155"/>
      <c r="AN243" s="155"/>
      <c r="AO243" s="155"/>
    </row>
    <row r="244" spans="1:41" s="94" customFormat="1" ht="15" customHeight="1">
      <c r="A244" s="851"/>
      <c r="B244" s="852"/>
      <c r="C244" s="2625"/>
      <c r="D244" s="2625"/>
      <c r="E244" s="2625"/>
      <c r="F244" s="2625"/>
      <c r="G244" s="2625"/>
      <c r="H244" s="2625"/>
      <c r="I244" s="2625"/>
      <c r="J244" s="2625"/>
      <c r="K244" s="2625"/>
      <c r="L244" s="2625"/>
      <c r="M244" s="2625"/>
      <c r="N244" s="2625"/>
      <c r="O244" s="2625"/>
      <c r="P244" s="2625"/>
      <c r="Q244" s="2625"/>
      <c r="R244" s="2625"/>
      <c r="S244" s="2625"/>
      <c r="T244" s="2625"/>
      <c r="V244" s="128"/>
      <c r="W244" s="155"/>
      <c r="X244" s="155"/>
      <c r="Y244" s="155"/>
      <c r="Z244" s="155"/>
      <c r="AA244" s="155"/>
      <c r="AB244" s="155"/>
      <c r="AC244" s="155"/>
      <c r="AD244" s="155"/>
      <c r="AE244" s="155"/>
      <c r="AF244" s="155"/>
      <c r="AG244" s="155"/>
      <c r="AH244" s="155"/>
      <c r="AI244" s="155"/>
      <c r="AJ244" s="155"/>
      <c r="AK244" s="155"/>
      <c r="AL244" s="155"/>
      <c r="AM244" s="155"/>
      <c r="AN244" s="155"/>
      <c r="AO244" s="155"/>
    </row>
    <row r="245" spans="1:41" s="94" customFormat="1" ht="15" customHeight="1">
      <c r="A245" s="851"/>
      <c r="C245" s="861" t="s">
        <v>1896</v>
      </c>
      <c r="D245" s="861"/>
      <c r="E245" s="861"/>
      <c r="F245" s="861"/>
      <c r="G245" s="861"/>
      <c r="H245" s="861"/>
      <c r="I245" s="861"/>
      <c r="J245" s="861"/>
      <c r="K245" s="861"/>
      <c r="L245" s="861"/>
      <c r="M245" s="861"/>
      <c r="N245" s="861"/>
      <c r="O245" s="861"/>
      <c r="P245" s="861"/>
      <c r="Q245" s="861"/>
      <c r="R245" s="861"/>
      <c r="S245" s="861"/>
      <c r="T245" s="860"/>
      <c r="V245" s="128"/>
      <c r="W245" s="155"/>
      <c r="X245" s="155"/>
      <c r="Y245" s="155"/>
      <c r="Z245" s="155"/>
      <c r="AA245" s="155"/>
      <c r="AB245" s="155"/>
      <c r="AC245" s="155"/>
      <c r="AD245" s="155"/>
      <c r="AE245" s="155"/>
      <c r="AF245" s="155"/>
      <c r="AG245" s="155"/>
      <c r="AH245" s="155"/>
      <c r="AI245" s="155"/>
      <c r="AJ245" s="155"/>
      <c r="AK245" s="155"/>
      <c r="AL245" s="155"/>
      <c r="AM245" s="155"/>
      <c r="AN245" s="155"/>
      <c r="AO245" s="155"/>
    </row>
    <row r="246" spans="1:41" s="94" customFormat="1" ht="15" customHeight="1">
      <c r="A246" s="851"/>
      <c r="B246" s="853"/>
      <c r="C246" s="2625" t="s">
        <v>1897</v>
      </c>
      <c r="D246" s="2625"/>
      <c r="E246" s="2625"/>
      <c r="F246" s="2625"/>
      <c r="G246" s="2625"/>
      <c r="H246" s="2625"/>
      <c r="I246" s="2625"/>
      <c r="J246" s="2625"/>
      <c r="K246" s="2625"/>
      <c r="L246" s="2625"/>
      <c r="M246" s="2625"/>
      <c r="N246" s="2625"/>
      <c r="O246" s="2625"/>
      <c r="P246" s="2625"/>
      <c r="Q246" s="2625"/>
      <c r="R246" s="2625"/>
      <c r="S246" s="2625"/>
      <c r="T246" s="2625"/>
      <c r="V246" s="128"/>
      <c r="W246" s="155"/>
      <c r="X246" s="155"/>
      <c r="Y246" s="155"/>
      <c r="Z246" s="155"/>
      <c r="AA246" s="155"/>
      <c r="AB246" s="155"/>
      <c r="AC246" s="155"/>
      <c r="AD246" s="155"/>
      <c r="AE246" s="155"/>
      <c r="AF246" s="155"/>
      <c r="AG246" s="155"/>
      <c r="AH246" s="155"/>
      <c r="AI246" s="155"/>
      <c r="AJ246" s="155"/>
      <c r="AK246" s="155"/>
      <c r="AL246" s="155"/>
      <c r="AM246" s="155"/>
      <c r="AN246" s="155"/>
      <c r="AO246" s="155"/>
    </row>
    <row r="247" spans="1:41" s="94" customFormat="1" ht="15" customHeight="1">
      <c r="A247" s="851"/>
      <c r="B247" s="853"/>
      <c r="C247" s="2625"/>
      <c r="D247" s="2625"/>
      <c r="E247" s="2625"/>
      <c r="F247" s="2625"/>
      <c r="G247" s="2625"/>
      <c r="H247" s="2625"/>
      <c r="I247" s="2625"/>
      <c r="J247" s="2625"/>
      <c r="K247" s="2625"/>
      <c r="L247" s="2625"/>
      <c r="M247" s="2625"/>
      <c r="N247" s="2625"/>
      <c r="O247" s="2625"/>
      <c r="P247" s="2625"/>
      <c r="Q247" s="2625"/>
      <c r="R247" s="2625"/>
      <c r="S247" s="2625"/>
      <c r="T247" s="2625"/>
      <c r="V247" s="128"/>
      <c r="W247" s="155"/>
      <c r="X247" s="155"/>
      <c r="Y247" s="155"/>
      <c r="Z247" s="155"/>
      <c r="AA247" s="155"/>
      <c r="AB247" s="155"/>
      <c r="AC247" s="155"/>
      <c r="AD247" s="155"/>
      <c r="AE247" s="155"/>
      <c r="AF247" s="155"/>
      <c r="AG247" s="155"/>
      <c r="AH247" s="155"/>
      <c r="AI247" s="155"/>
      <c r="AJ247" s="155"/>
      <c r="AK247" s="155"/>
      <c r="AL247" s="155"/>
      <c r="AM247" s="155"/>
      <c r="AN247" s="155"/>
      <c r="AO247" s="155"/>
    </row>
    <row r="248" spans="1:41" s="94" customFormat="1" ht="15" customHeight="1">
      <c r="A248" s="851"/>
      <c r="B248" s="853"/>
      <c r="C248" s="2625" t="s">
        <v>1947</v>
      </c>
      <c r="D248" s="2626"/>
      <c r="E248" s="2626"/>
      <c r="F248" s="2626"/>
      <c r="G248" s="2626"/>
      <c r="H248" s="2626"/>
      <c r="I248" s="2626"/>
      <c r="J248" s="2626"/>
      <c r="K248" s="2626"/>
      <c r="L248" s="2626"/>
      <c r="M248" s="2626"/>
      <c r="N248" s="2626"/>
      <c r="O248" s="2626"/>
      <c r="P248" s="2626"/>
      <c r="Q248" s="2626"/>
      <c r="R248" s="2626"/>
      <c r="S248" s="2626"/>
      <c r="T248" s="2626"/>
      <c r="V248" s="128"/>
      <c r="W248" s="155"/>
      <c r="X248" s="155"/>
      <c r="Y248" s="155"/>
      <c r="Z248" s="155"/>
      <c r="AA248" s="155"/>
      <c r="AB248" s="155"/>
      <c r="AC248" s="155"/>
      <c r="AD248" s="155"/>
      <c r="AE248" s="155"/>
      <c r="AF248" s="155"/>
      <c r="AG248" s="155"/>
      <c r="AH248" s="155"/>
      <c r="AI248" s="155"/>
      <c r="AJ248" s="155"/>
      <c r="AK248" s="155"/>
      <c r="AL248" s="155"/>
      <c r="AM248" s="155"/>
      <c r="AN248" s="155"/>
      <c r="AO248" s="155"/>
    </row>
    <row r="249" spans="1:41" s="94" customFormat="1" ht="15" customHeight="1">
      <c r="A249" s="851"/>
      <c r="B249" s="853"/>
      <c r="C249" s="2626"/>
      <c r="D249" s="2626"/>
      <c r="E249" s="2626"/>
      <c r="F249" s="2626"/>
      <c r="G249" s="2626"/>
      <c r="H249" s="2626"/>
      <c r="I249" s="2626"/>
      <c r="J249" s="2626"/>
      <c r="K249" s="2626"/>
      <c r="L249" s="2626"/>
      <c r="M249" s="2626"/>
      <c r="N249" s="2626"/>
      <c r="O249" s="2626"/>
      <c r="P249" s="2626"/>
      <c r="Q249" s="2626"/>
      <c r="R249" s="2626"/>
      <c r="S249" s="2626"/>
      <c r="T249" s="2626"/>
      <c r="V249" s="128"/>
      <c r="W249" s="155"/>
      <c r="X249" s="155"/>
      <c r="Y249" s="155"/>
      <c r="Z249" s="155"/>
      <c r="AA249" s="155"/>
      <c r="AB249" s="155"/>
      <c r="AC249" s="155"/>
      <c r="AD249" s="155"/>
      <c r="AE249" s="155"/>
      <c r="AF249" s="155"/>
      <c r="AG249" s="155"/>
      <c r="AH249" s="155"/>
      <c r="AI249" s="155"/>
      <c r="AJ249" s="155"/>
      <c r="AK249" s="155"/>
      <c r="AL249" s="155"/>
      <c r="AM249" s="155"/>
      <c r="AN249" s="155"/>
      <c r="AO249" s="155"/>
    </row>
    <row r="250" spans="1:41" s="94" customFormat="1" ht="15" customHeight="1">
      <c r="A250" s="854"/>
      <c r="B250" s="861"/>
      <c r="C250" s="2625" t="s">
        <v>1920</v>
      </c>
      <c r="D250" s="2625"/>
      <c r="E250" s="2625"/>
      <c r="F250" s="2625"/>
      <c r="G250" s="2625"/>
      <c r="H250" s="2625"/>
      <c r="I250" s="2625"/>
      <c r="J250" s="2625"/>
      <c r="K250" s="2625"/>
      <c r="L250" s="2625"/>
      <c r="M250" s="2625"/>
      <c r="N250" s="2625"/>
      <c r="O250" s="2625"/>
      <c r="P250" s="2625"/>
      <c r="Q250" s="2625"/>
      <c r="R250" s="2625"/>
      <c r="S250" s="2625"/>
      <c r="T250" s="2625"/>
      <c r="V250" s="128"/>
      <c r="W250" s="155"/>
      <c r="X250" s="155"/>
      <c r="Y250" s="155"/>
      <c r="Z250" s="155"/>
      <c r="AA250" s="155"/>
      <c r="AB250" s="155"/>
      <c r="AC250" s="155"/>
      <c r="AD250" s="155"/>
      <c r="AE250" s="155"/>
      <c r="AF250" s="155"/>
      <c r="AG250" s="155"/>
      <c r="AH250" s="155"/>
      <c r="AI250" s="155"/>
      <c r="AJ250" s="155"/>
      <c r="AK250" s="155"/>
      <c r="AL250" s="155"/>
      <c r="AM250" s="155"/>
      <c r="AN250" s="155"/>
      <c r="AO250" s="155"/>
    </row>
    <row r="251" spans="1:41" s="94" customFormat="1" ht="15" customHeight="1">
      <c r="A251" s="854"/>
      <c r="B251" s="861"/>
      <c r="C251" s="2625"/>
      <c r="D251" s="2625"/>
      <c r="E251" s="2625"/>
      <c r="F251" s="2625"/>
      <c r="G251" s="2625"/>
      <c r="H251" s="2625"/>
      <c r="I251" s="2625"/>
      <c r="J251" s="2625"/>
      <c r="K251" s="2625"/>
      <c r="L251" s="2625"/>
      <c r="M251" s="2625"/>
      <c r="N251" s="2625"/>
      <c r="O251" s="2625"/>
      <c r="P251" s="2625"/>
      <c r="Q251" s="2625"/>
      <c r="R251" s="2625"/>
      <c r="S251" s="2625"/>
      <c r="T251" s="2625"/>
      <c r="V251" s="128"/>
      <c r="W251" s="155"/>
      <c r="X251" s="155"/>
      <c r="Y251" s="155"/>
      <c r="Z251" s="155"/>
      <c r="AA251" s="155"/>
      <c r="AB251" s="155"/>
      <c r="AC251" s="155"/>
      <c r="AD251" s="155"/>
      <c r="AE251" s="155"/>
      <c r="AF251" s="155"/>
      <c r="AG251" s="155"/>
      <c r="AH251" s="155"/>
      <c r="AI251" s="155"/>
      <c r="AJ251" s="155"/>
      <c r="AK251" s="155"/>
      <c r="AL251" s="155"/>
      <c r="AM251" s="155"/>
      <c r="AN251" s="155"/>
      <c r="AO251" s="155"/>
    </row>
    <row r="252" spans="1:41" s="94" customFormat="1" ht="15" customHeight="1">
      <c r="A252" s="135"/>
      <c r="B252" s="934" t="s">
        <v>570</v>
      </c>
      <c r="C252" s="2627" t="s">
        <v>1997</v>
      </c>
      <c r="D252" s="2627"/>
      <c r="E252" s="2627"/>
      <c r="F252" s="2627"/>
      <c r="G252" s="2627"/>
      <c r="H252" s="2627"/>
      <c r="I252" s="2627"/>
      <c r="J252" s="2627"/>
      <c r="K252" s="2627"/>
      <c r="L252" s="2627"/>
      <c r="M252" s="2627"/>
      <c r="N252" s="2627"/>
      <c r="O252" s="2627"/>
      <c r="P252" s="2627"/>
      <c r="Q252" s="2627"/>
      <c r="R252" s="2627"/>
      <c r="S252" s="2627"/>
      <c r="T252" s="2627"/>
      <c r="W252" s="128"/>
      <c r="X252" s="128"/>
      <c r="Y252" s="589"/>
      <c r="Z252" s="589"/>
    </row>
    <row r="253" spans="1:41" s="94" customFormat="1" ht="15" customHeight="1">
      <c r="A253" s="135"/>
      <c r="B253" s="934"/>
      <c r="C253" s="2627"/>
      <c r="D253" s="2627"/>
      <c r="E253" s="2627"/>
      <c r="F253" s="2627"/>
      <c r="G253" s="2627"/>
      <c r="H253" s="2627"/>
      <c r="I253" s="2627"/>
      <c r="J253" s="2627"/>
      <c r="K253" s="2627"/>
      <c r="L253" s="2627"/>
      <c r="M253" s="2627"/>
      <c r="N253" s="2627"/>
      <c r="O253" s="2627"/>
      <c r="P253" s="2627"/>
      <c r="Q253" s="2627"/>
      <c r="R253" s="2627"/>
      <c r="S253" s="2627"/>
      <c r="T253" s="2627"/>
      <c r="W253" s="128"/>
      <c r="X253" s="128"/>
      <c r="Y253" s="589"/>
      <c r="Z253" s="589"/>
    </row>
    <row r="254" spans="1:41" s="94" customFormat="1" ht="15" customHeight="1">
      <c r="A254" s="135"/>
      <c r="B254" s="934" t="s">
        <v>595</v>
      </c>
      <c r="C254" s="2627" t="s">
        <v>1921</v>
      </c>
      <c r="D254" s="2627"/>
      <c r="E254" s="2627"/>
      <c r="F254" s="2627"/>
      <c r="G254" s="2627"/>
      <c r="H254" s="2627"/>
      <c r="I254" s="2627"/>
      <c r="J254" s="2627"/>
      <c r="K254" s="2627"/>
      <c r="L254" s="2627"/>
      <c r="M254" s="2627"/>
      <c r="N254" s="2627"/>
      <c r="O254" s="2627"/>
      <c r="P254" s="2627"/>
      <c r="Q254" s="2627"/>
      <c r="R254" s="2627"/>
      <c r="S254" s="2627"/>
      <c r="T254" s="2627"/>
      <c r="W254" s="128"/>
      <c r="X254" s="128"/>
      <c r="Y254" s="589"/>
      <c r="Z254" s="589"/>
    </row>
    <row r="255" spans="1:41" s="94" customFormat="1" ht="15" customHeight="1">
      <c r="A255" s="135"/>
      <c r="B255" s="934"/>
      <c r="C255" s="2627"/>
      <c r="D255" s="2627"/>
      <c r="E255" s="2627"/>
      <c r="F255" s="2627"/>
      <c r="G255" s="2627"/>
      <c r="H255" s="2627"/>
      <c r="I255" s="2627"/>
      <c r="J255" s="2627"/>
      <c r="K255" s="2627"/>
      <c r="L255" s="2627"/>
      <c r="M255" s="2627"/>
      <c r="N255" s="2627"/>
      <c r="O255" s="2627"/>
      <c r="P255" s="2627"/>
      <c r="Q255" s="2627"/>
      <c r="R255" s="2627"/>
      <c r="S255" s="2627"/>
      <c r="T255" s="2627"/>
      <c r="W255" s="128"/>
      <c r="X255" s="128"/>
      <c r="Y255" s="589"/>
      <c r="Z255" s="589"/>
    </row>
    <row r="256" spans="1:41" s="94" customFormat="1" ht="15" customHeight="1">
      <c r="A256" s="135"/>
      <c r="B256" s="934"/>
      <c r="C256" s="2627"/>
      <c r="D256" s="2627"/>
      <c r="E256" s="2627"/>
      <c r="F256" s="2627"/>
      <c r="G256" s="2627"/>
      <c r="H256" s="2627"/>
      <c r="I256" s="2627"/>
      <c r="J256" s="2627"/>
      <c r="K256" s="2627"/>
      <c r="L256" s="2627"/>
      <c r="M256" s="2627"/>
      <c r="N256" s="2627"/>
      <c r="O256" s="2627"/>
      <c r="P256" s="2627"/>
      <c r="Q256" s="2627"/>
      <c r="R256" s="2627"/>
      <c r="S256" s="2627"/>
      <c r="T256" s="2627"/>
      <c r="W256" s="128"/>
      <c r="X256" s="128"/>
      <c r="Y256" s="589"/>
      <c r="Z256" s="589"/>
    </row>
    <row r="257" spans="1:41" s="94" customFormat="1" ht="15" customHeight="1">
      <c r="A257" s="854"/>
      <c r="B257" s="861">
        <v>4</v>
      </c>
      <c r="C257" s="2625" t="s">
        <v>1922</v>
      </c>
      <c r="D257" s="2625"/>
      <c r="E257" s="2625"/>
      <c r="F257" s="2625"/>
      <c r="G257" s="2625"/>
      <c r="H257" s="2625"/>
      <c r="I257" s="2625"/>
      <c r="J257" s="2625"/>
      <c r="K257" s="2625"/>
      <c r="L257" s="2625"/>
      <c r="M257" s="2625"/>
      <c r="N257" s="2625"/>
      <c r="O257" s="2625"/>
      <c r="P257" s="2625"/>
      <c r="Q257" s="2625"/>
      <c r="R257" s="2625"/>
      <c r="S257" s="2625"/>
      <c r="T257" s="2625"/>
      <c r="V257" s="128"/>
      <c r="W257" s="155"/>
      <c r="X257" s="155"/>
      <c r="Y257" s="155"/>
      <c r="Z257" s="155"/>
      <c r="AA257" s="155"/>
      <c r="AB257" s="155"/>
      <c r="AC257" s="155"/>
      <c r="AD257" s="155"/>
      <c r="AE257" s="155"/>
      <c r="AF257" s="155"/>
      <c r="AG257" s="155"/>
      <c r="AH257" s="155"/>
      <c r="AI257" s="155"/>
      <c r="AJ257" s="155"/>
      <c r="AK257" s="155"/>
      <c r="AL257" s="155"/>
      <c r="AM257" s="155"/>
      <c r="AN257" s="155"/>
      <c r="AO257" s="155"/>
    </row>
    <row r="258" spans="1:41" s="94" customFormat="1" ht="15" customHeight="1">
      <c r="A258" s="854"/>
      <c r="B258" s="861"/>
      <c r="C258" s="2625"/>
      <c r="D258" s="2625"/>
      <c r="E258" s="2625"/>
      <c r="F258" s="2625"/>
      <c r="G258" s="2625"/>
      <c r="H258" s="2625"/>
      <c r="I258" s="2625"/>
      <c r="J258" s="2625"/>
      <c r="K258" s="2625"/>
      <c r="L258" s="2625"/>
      <c r="M258" s="2625"/>
      <c r="N258" s="2625"/>
      <c r="O258" s="2625"/>
      <c r="P258" s="2625"/>
      <c r="Q258" s="2625"/>
      <c r="R258" s="2625"/>
      <c r="S258" s="2625"/>
      <c r="T258" s="2625"/>
      <c r="V258" s="128"/>
      <c r="W258" s="155"/>
      <c r="X258" s="155"/>
      <c r="Y258" s="155"/>
      <c r="Z258" s="155"/>
      <c r="AA258" s="155"/>
      <c r="AB258" s="155"/>
      <c r="AC258" s="155"/>
      <c r="AD258" s="155"/>
      <c r="AE258" s="155"/>
      <c r="AF258" s="155"/>
      <c r="AG258" s="155"/>
      <c r="AH258" s="155"/>
      <c r="AI258" s="155"/>
      <c r="AJ258" s="155"/>
      <c r="AK258" s="155"/>
      <c r="AL258" s="155"/>
      <c r="AM258" s="155"/>
      <c r="AN258" s="155"/>
      <c r="AO258" s="155"/>
    </row>
    <row r="259" spans="1:41" s="94" customFormat="1" ht="15" customHeight="1">
      <c r="B259" s="135"/>
      <c r="C259" s="135"/>
    </row>
    <row r="260" spans="1:41" s="94" customFormat="1" ht="15" customHeight="1">
      <c r="A260" s="94" t="s">
        <v>1591</v>
      </c>
      <c r="B260" s="135"/>
      <c r="C260" s="135"/>
    </row>
    <row r="261" spans="1:41" s="94" customFormat="1" ht="15" customHeight="1">
      <c r="A261" s="94" t="s">
        <v>1699</v>
      </c>
      <c r="B261" s="135"/>
      <c r="C261" s="2622" t="s">
        <v>1592</v>
      </c>
      <c r="D261" s="2622"/>
      <c r="E261" s="2622"/>
      <c r="F261" s="2622"/>
      <c r="G261" s="2622"/>
      <c r="H261" s="2622"/>
      <c r="I261" s="2622"/>
      <c r="J261" s="2622"/>
      <c r="K261" s="2622"/>
      <c r="L261" s="2622"/>
      <c r="M261" s="2622"/>
      <c r="N261" s="2622"/>
      <c r="O261" s="2622"/>
      <c r="P261" s="2622"/>
      <c r="Q261" s="2622"/>
      <c r="R261" s="2622"/>
      <c r="S261" s="2622"/>
      <c r="T261" s="2622"/>
    </row>
    <row r="262" spans="1:41" s="94" customFormat="1" ht="15" customHeight="1">
      <c r="B262" s="135"/>
      <c r="C262" s="2622"/>
      <c r="D262" s="2622"/>
      <c r="E262" s="2622"/>
      <c r="F262" s="2622"/>
      <c r="G262" s="2622"/>
      <c r="H262" s="2622"/>
      <c r="I262" s="2622"/>
      <c r="J262" s="2622"/>
      <c r="K262" s="2622"/>
      <c r="L262" s="2622"/>
      <c r="M262" s="2622"/>
      <c r="N262" s="2622"/>
      <c r="O262" s="2622"/>
      <c r="P262" s="2622"/>
      <c r="Q262" s="2622"/>
      <c r="R262" s="2622"/>
      <c r="S262" s="2622"/>
      <c r="T262" s="2622"/>
    </row>
    <row r="263" spans="1:41" s="94" customFormat="1" ht="15" customHeight="1">
      <c r="B263" s="135"/>
      <c r="C263" s="2622"/>
      <c r="D263" s="2622"/>
      <c r="E263" s="2622"/>
      <c r="F263" s="2622"/>
      <c r="G263" s="2622"/>
      <c r="H263" s="2622"/>
      <c r="I263" s="2622"/>
      <c r="J263" s="2622"/>
      <c r="K263" s="2622"/>
      <c r="L263" s="2622"/>
      <c r="M263" s="2622"/>
      <c r="N263" s="2622"/>
      <c r="O263" s="2622"/>
      <c r="P263" s="2622"/>
      <c r="Q263" s="2622"/>
      <c r="R263" s="2622"/>
      <c r="S263" s="2622"/>
      <c r="T263" s="2622"/>
    </row>
    <row r="264" spans="1:41" s="94" customFormat="1" ht="15" customHeight="1">
      <c r="B264" s="135" t="s">
        <v>570</v>
      </c>
      <c r="C264" s="135" t="s">
        <v>1593</v>
      </c>
    </row>
    <row r="265" spans="1:41" s="94" customFormat="1" ht="15" customHeight="1">
      <c r="B265" s="135"/>
      <c r="C265" s="135"/>
    </row>
    <row r="266" spans="1:41" s="94" customFormat="1" ht="15" customHeight="1">
      <c r="A266" s="94" t="s">
        <v>1467</v>
      </c>
      <c r="B266" s="135"/>
      <c r="C266" s="135"/>
    </row>
    <row r="267" spans="1:41" s="94" customFormat="1" ht="15" customHeight="1">
      <c r="A267" s="94" t="s">
        <v>1923</v>
      </c>
      <c r="B267" s="135"/>
      <c r="C267" s="2622" t="s">
        <v>1594</v>
      </c>
      <c r="D267" s="2622"/>
      <c r="E267" s="2622"/>
      <c r="F267" s="2622"/>
      <c r="G267" s="2622"/>
      <c r="H267" s="2622"/>
      <c r="I267" s="2622"/>
      <c r="J267" s="2622"/>
      <c r="K267" s="2622"/>
      <c r="L267" s="2622"/>
      <c r="M267" s="2622"/>
      <c r="N267" s="2622"/>
      <c r="O267" s="2622"/>
      <c r="P267" s="2622"/>
      <c r="Q267" s="2622"/>
      <c r="R267" s="2622"/>
      <c r="S267" s="2622"/>
      <c r="T267" s="2622"/>
    </row>
    <row r="268" spans="1:41" s="94" customFormat="1" ht="15" customHeight="1">
      <c r="B268" s="135"/>
      <c r="C268" s="2622"/>
      <c r="D268" s="2622"/>
      <c r="E268" s="2622"/>
      <c r="F268" s="2622"/>
      <c r="G268" s="2622"/>
      <c r="H268" s="2622"/>
      <c r="I268" s="2622"/>
      <c r="J268" s="2622"/>
      <c r="K268" s="2622"/>
      <c r="L268" s="2622"/>
      <c r="M268" s="2622"/>
      <c r="N268" s="2622"/>
      <c r="O268" s="2622"/>
      <c r="P268" s="2622"/>
      <c r="Q268" s="2622"/>
      <c r="R268" s="2622"/>
      <c r="S268" s="2622"/>
      <c r="T268" s="2622"/>
    </row>
    <row r="269" spans="1:41" s="94" customFormat="1" ht="15" customHeight="1">
      <c r="B269" s="2613" t="s">
        <v>599</v>
      </c>
      <c r="C269" s="2613"/>
      <c r="D269" s="94" t="s">
        <v>1595</v>
      </c>
      <c r="H269" s="94" t="s">
        <v>1596</v>
      </c>
    </row>
    <row r="270" spans="1:41" s="94" customFormat="1" ht="15" customHeight="1">
      <c r="B270" s="2619" t="s">
        <v>601</v>
      </c>
      <c r="C270" s="2619"/>
      <c r="D270" s="94" t="s">
        <v>1597</v>
      </c>
      <c r="H270" s="94" t="s">
        <v>1598</v>
      </c>
    </row>
    <row r="271" spans="1:41" s="94" customFormat="1" ht="15" customHeight="1">
      <c r="B271" s="2619" t="s">
        <v>635</v>
      </c>
      <c r="C271" s="2619"/>
      <c r="D271" s="94" t="s">
        <v>1599</v>
      </c>
      <c r="H271" s="94" t="s">
        <v>1600</v>
      </c>
    </row>
    <row r="272" spans="1:41" s="94" customFormat="1" ht="15" customHeight="1">
      <c r="B272" s="135" t="s">
        <v>570</v>
      </c>
      <c r="C272" s="2622" t="s">
        <v>1601</v>
      </c>
      <c r="D272" s="2622"/>
      <c r="E272" s="2622"/>
      <c r="F272" s="2622"/>
      <c r="G272" s="2622"/>
      <c r="H272" s="2622"/>
      <c r="I272" s="2622"/>
      <c r="J272" s="2622"/>
      <c r="K272" s="2622"/>
      <c r="L272" s="2622"/>
      <c r="M272" s="2622"/>
      <c r="N272" s="2622"/>
      <c r="O272" s="2622"/>
      <c r="P272" s="2622"/>
      <c r="Q272" s="2622"/>
      <c r="R272" s="2622"/>
      <c r="S272" s="2622"/>
      <c r="T272" s="2622"/>
    </row>
    <row r="273" spans="1:22" s="94" customFormat="1" ht="15" customHeight="1">
      <c r="B273" s="135"/>
      <c r="C273" s="2622"/>
      <c r="D273" s="2622"/>
      <c r="E273" s="2622"/>
      <c r="F273" s="2622"/>
      <c r="G273" s="2622"/>
      <c r="H273" s="2622"/>
      <c r="I273" s="2622"/>
      <c r="J273" s="2622"/>
      <c r="K273" s="2622"/>
      <c r="L273" s="2622"/>
      <c r="M273" s="2622"/>
      <c r="N273" s="2622"/>
      <c r="O273" s="2622"/>
      <c r="P273" s="2622"/>
      <c r="Q273" s="2622"/>
      <c r="R273" s="2622"/>
      <c r="S273" s="2622"/>
      <c r="T273" s="2622"/>
    </row>
    <row r="274" spans="1:22" s="94" customFormat="1" ht="15" customHeight="1">
      <c r="B274" s="135"/>
      <c r="C274" s="2622"/>
      <c r="D274" s="2622"/>
      <c r="E274" s="2622"/>
      <c r="F274" s="2622"/>
      <c r="G274" s="2622"/>
      <c r="H274" s="2622"/>
      <c r="I274" s="2622"/>
      <c r="J274" s="2622"/>
      <c r="K274" s="2622"/>
      <c r="L274" s="2622"/>
      <c r="M274" s="2622"/>
      <c r="N274" s="2622"/>
      <c r="O274" s="2622"/>
      <c r="P274" s="2622"/>
      <c r="Q274" s="2622"/>
      <c r="R274" s="2622"/>
      <c r="S274" s="2622"/>
      <c r="T274" s="2622"/>
    </row>
    <row r="275" spans="1:22" s="94" customFormat="1" ht="15" customHeight="1">
      <c r="B275" s="135" t="s">
        <v>595</v>
      </c>
      <c r="C275" s="2622" t="s">
        <v>1602</v>
      </c>
      <c r="D275" s="2622"/>
      <c r="E275" s="2622"/>
      <c r="F275" s="2622"/>
      <c r="G275" s="2622"/>
      <c r="H275" s="2622"/>
      <c r="I275" s="2622"/>
      <c r="J275" s="2622"/>
      <c r="K275" s="2622"/>
      <c r="L275" s="2622"/>
      <c r="M275" s="2622"/>
      <c r="N275" s="2622"/>
      <c r="O275" s="2622"/>
      <c r="P275" s="2622"/>
      <c r="Q275" s="2622"/>
      <c r="R275" s="2622"/>
      <c r="S275" s="2622"/>
      <c r="T275" s="2622"/>
    </row>
    <row r="276" spans="1:22" s="94" customFormat="1" ht="15" customHeight="1">
      <c r="B276" s="135"/>
      <c r="C276" s="2622"/>
      <c r="D276" s="2622"/>
      <c r="E276" s="2622"/>
      <c r="F276" s="2622"/>
      <c r="G276" s="2622"/>
      <c r="H276" s="2622"/>
      <c r="I276" s="2622"/>
      <c r="J276" s="2622"/>
      <c r="K276" s="2622"/>
      <c r="L276" s="2622"/>
      <c r="M276" s="2622"/>
      <c r="N276" s="2622"/>
      <c r="O276" s="2622"/>
      <c r="P276" s="2622"/>
      <c r="Q276" s="2622"/>
      <c r="R276" s="2622"/>
      <c r="S276" s="2622"/>
      <c r="T276" s="2622"/>
    </row>
    <row r="277" spans="1:22" s="94" customFormat="1" ht="15" customHeight="1">
      <c r="B277" s="135" t="s">
        <v>597</v>
      </c>
      <c r="C277" s="2618" t="str">
        <f>"　この規程の定める事項の他、運営に関する重要事項は、"&amp;【マスター】!C21&amp;"の代表取締役と事業所の管理者との協議に基づき定めるものとする。"</f>
        <v>　この規程の定める事項の他、運営に関する重要事項は、株式会社ケアサポートの代表取締役と事業所の管理者との協議に基づき定めるものとする。</v>
      </c>
      <c r="D277" s="2618"/>
      <c r="E277" s="2618"/>
      <c r="F277" s="2618"/>
      <c r="G277" s="2618"/>
      <c r="H277" s="2618"/>
      <c r="I277" s="2618"/>
      <c r="J277" s="2618"/>
      <c r="K277" s="2618"/>
      <c r="L277" s="2618"/>
      <c r="M277" s="2618"/>
      <c r="N277" s="2618"/>
      <c r="O277" s="2618"/>
      <c r="P277" s="2618"/>
      <c r="Q277" s="2618"/>
      <c r="R277" s="2618"/>
      <c r="S277" s="2618"/>
      <c r="T277" s="2618"/>
      <c r="V277" s="128"/>
    </row>
    <row r="278" spans="1:22" s="94" customFormat="1" ht="15" customHeight="1">
      <c r="B278" s="135"/>
      <c r="C278" s="2618"/>
      <c r="D278" s="2618"/>
      <c r="E278" s="2618"/>
      <c r="F278" s="2618"/>
      <c r="G278" s="2618"/>
      <c r="H278" s="2618"/>
      <c r="I278" s="2618"/>
      <c r="J278" s="2618"/>
      <c r="K278" s="2618"/>
      <c r="L278" s="2618"/>
      <c r="M278" s="2618"/>
      <c r="N278" s="2618"/>
      <c r="O278" s="2618"/>
      <c r="P278" s="2618"/>
      <c r="Q278" s="2618"/>
      <c r="R278" s="2618"/>
      <c r="S278" s="2618"/>
      <c r="T278" s="2618"/>
    </row>
    <row r="279" spans="1:22" s="94" customFormat="1" ht="15" customHeight="1">
      <c r="B279" s="135"/>
      <c r="C279" s="589"/>
      <c r="D279" s="589"/>
      <c r="E279" s="589"/>
      <c r="F279" s="589"/>
      <c r="G279" s="589"/>
      <c r="H279" s="589"/>
      <c r="I279" s="589"/>
      <c r="J279" s="589"/>
      <c r="K279" s="589"/>
      <c r="L279" s="589"/>
      <c r="M279" s="589"/>
      <c r="N279" s="589"/>
      <c r="O279" s="589"/>
      <c r="P279" s="589"/>
      <c r="Q279" s="589"/>
      <c r="R279" s="589"/>
      <c r="S279" s="589"/>
      <c r="T279" s="589"/>
    </row>
    <row r="280" spans="1:22" s="94" customFormat="1" ht="15" customHeight="1">
      <c r="A280" s="94" t="s">
        <v>1603</v>
      </c>
      <c r="B280" s="135"/>
      <c r="C280" s="135"/>
    </row>
    <row r="281" spans="1:22" s="94" customFormat="1" ht="15" customHeight="1">
      <c r="A281" s="87"/>
      <c r="B281" s="87" t="s">
        <v>1604</v>
      </c>
      <c r="C281" s="149"/>
      <c r="D281" s="87"/>
      <c r="E281" s="166" t="str">
        <f>DBCS(【マスター】!D108)</f>
        <v>令和</v>
      </c>
      <c r="F281" s="938" t="str">
        <f>DBCS(【マスター】!E108)</f>
        <v>４</v>
      </c>
      <c r="G281" s="166" t="str">
        <f>DBCS(【マスター】!F108)</f>
        <v>年</v>
      </c>
      <c r="H281" s="938" t="str">
        <f>DBCS(【マスター】!G108)</f>
        <v>１</v>
      </c>
      <c r="I281" s="166" t="str">
        <f>DBCS(【マスター】!H108)</f>
        <v>月</v>
      </c>
      <c r="J281" s="939" t="str">
        <f>DBCS(【マスター】!I108)</f>
        <v>１</v>
      </c>
      <c r="K281" s="166" t="str">
        <f>DBCS(【マスター】!J108)</f>
        <v>日</v>
      </c>
      <c r="L281" s="87" t="s">
        <v>1605</v>
      </c>
      <c r="M281" s="87"/>
      <c r="N281" s="87"/>
      <c r="O281" s="87"/>
      <c r="P281" s="87"/>
      <c r="Q281" s="87"/>
      <c r="R281" s="87"/>
      <c r="S281" s="87"/>
      <c r="T281" s="87"/>
    </row>
    <row r="282" spans="1:22" s="94" customFormat="1" ht="15" customHeight="1">
      <c r="A282" s="87"/>
      <c r="B282" s="149"/>
      <c r="C282" s="149"/>
      <c r="D282" s="87"/>
      <c r="E282" s="166" t="str">
        <f>IF(F282="","",DBCS(【マスター】!D110))</f>
        <v>令和</v>
      </c>
      <c r="F282" s="938" t="str">
        <f>DBCS(【マスター】!E110)</f>
        <v>４</v>
      </c>
      <c r="G282" s="166" t="str">
        <f>IF(F282="","",DBCS(【マスター】!F110))</f>
        <v>年</v>
      </c>
      <c r="H282" s="938" t="str">
        <f>IF(G282="","",DBCS(【マスター】!G110))</f>
        <v>８</v>
      </c>
      <c r="I282" s="166" t="str">
        <f>IF(H282="","",DBCS(【マスター】!H110))</f>
        <v>月</v>
      </c>
      <c r="J282" s="939" t="str">
        <f>IF(I282="","",DBCS(【マスター】!I110))</f>
        <v>１</v>
      </c>
      <c r="K282" s="166" t="str">
        <f>IF(J282="","",DBCS(【マスター】!J110))</f>
        <v>日</v>
      </c>
      <c r="L282" s="87" t="str">
        <f>IF(【マスター】!E110=0,"","改訂")</f>
        <v>改訂</v>
      </c>
      <c r="M282" s="87"/>
      <c r="N282" s="87"/>
      <c r="O282" s="87"/>
      <c r="P282" s="87"/>
      <c r="Q282" s="87"/>
      <c r="R282" s="87"/>
      <c r="S282" s="87"/>
      <c r="T282" s="87"/>
    </row>
    <row r="283" spans="1:22" s="94" customFormat="1" ht="15" customHeight="1">
      <c r="A283" s="87"/>
      <c r="B283" s="149"/>
      <c r="C283" s="149"/>
      <c r="D283" s="87"/>
      <c r="E283" s="166" t="str">
        <f>IF(F283="","",DBCS(【マスター】!D111))</f>
        <v>令和</v>
      </c>
      <c r="F283" s="166" t="str">
        <f>DBCS(【マスター】!E111)</f>
        <v>４</v>
      </c>
      <c r="G283" s="166" t="str">
        <f>IF(F283="","",DBCS(【マスター】!F111))</f>
        <v>年</v>
      </c>
      <c r="H283" s="166" t="str">
        <f>IF(G283="","",DBCS(【マスター】!G111))</f>
        <v>１０</v>
      </c>
      <c r="I283" s="166" t="str">
        <f>IF(H283="","",DBCS(【マスター】!H111))</f>
        <v>月</v>
      </c>
      <c r="J283" s="166" t="str">
        <f>IF(I283="","",DBCS(【マスター】!I111))</f>
        <v>１</v>
      </c>
      <c r="K283" s="166" t="str">
        <f>IF(J283="","",DBCS(【マスター】!J111))</f>
        <v>日</v>
      </c>
      <c r="L283" s="87" t="str">
        <f>IF(【マスター】!E111=0,"","改訂")</f>
        <v>改訂</v>
      </c>
      <c r="M283" s="87"/>
      <c r="N283" s="87"/>
      <c r="O283" s="87"/>
      <c r="P283" s="87"/>
      <c r="Q283" s="87"/>
      <c r="R283" s="87"/>
      <c r="S283" s="87"/>
      <c r="T283" s="87"/>
    </row>
    <row r="284" spans="1:22" s="94" customFormat="1" ht="15" customHeight="1">
      <c r="A284" s="87"/>
      <c r="B284" s="149"/>
      <c r="C284" s="149"/>
      <c r="D284" s="87"/>
      <c r="E284" s="166" t="str">
        <f>IF(F284="","",DBCS(【マスター】!D112))</f>
        <v>令和</v>
      </c>
      <c r="F284" s="166" t="str">
        <f>DBCS(【マスター】!E112)</f>
        <v>５</v>
      </c>
      <c r="G284" s="166" t="str">
        <f>IF(F284="","",DBCS(【マスター】!F112))</f>
        <v>年</v>
      </c>
      <c r="H284" s="166" t="str">
        <f>IF(G284="","",DBCS(【マスター】!G112))</f>
        <v>４</v>
      </c>
      <c r="I284" s="166" t="str">
        <f>IF(H284="","",DBCS(【マスター】!H112))</f>
        <v>月</v>
      </c>
      <c r="J284" s="166" t="str">
        <f>IF(I284="","",DBCS(【マスター】!I112))</f>
        <v>１</v>
      </c>
      <c r="K284" s="166" t="str">
        <f>IF(J284="","",DBCS(【マスター】!J112))</f>
        <v>日</v>
      </c>
      <c r="L284" s="87" t="str">
        <f>IF(【マスター】!E112=0,"","改訂")</f>
        <v>改訂</v>
      </c>
      <c r="M284" s="87"/>
      <c r="N284" s="87"/>
      <c r="O284" s="87"/>
      <c r="P284" s="87"/>
      <c r="Q284" s="87"/>
      <c r="R284" s="87"/>
      <c r="S284" s="87"/>
      <c r="T284" s="87"/>
    </row>
    <row r="285" spans="1:22" s="94" customFormat="1" ht="15" customHeight="1">
      <c r="A285" s="87"/>
      <c r="B285" s="149"/>
      <c r="C285" s="149"/>
      <c r="D285" s="87"/>
      <c r="E285" s="166" t="str">
        <f>IF(F285="","",DBCS(【マスター】!D113))</f>
        <v>令和</v>
      </c>
      <c r="F285" s="166" t="str">
        <f>DBCS(【マスター】!E113)</f>
        <v>６</v>
      </c>
      <c r="G285" s="166" t="str">
        <f>IF(F285="","",DBCS(【マスター】!F113))</f>
        <v>年</v>
      </c>
      <c r="H285" s="166" t="str">
        <f>IF(G285="","",DBCS(【マスター】!G113))</f>
        <v>４</v>
      </c>
      <c r="I285" s="166" t="str">
        <f>IF(H285="","",DBCS(【マスター】!H113))</f>
        <v>月</v>
      </c>
      <c r="J285" s="166" t="str">
        <f>IF(I285="","",DBCS(【マスター】!I113))</f>
        <v>１</v>
      </c>
      <c r="K285" s="166" t="str">
        <f>IF(J285="","",DBCS(【マスター】!J113))</f>
        <v>日</v>
      </c>
      <c r="L285" s="87" t="str">
        <f>IF(【マスター】!E113=0,"","改訂")</f>
        <v>改訂</v>
      </c>
      <c r="M285" s="87"/>
      <c r="N285" s="87"/>
      <c r="O285" s="87"/>
      <c r="P285" s="87"/>
      <c r="Q285" s="87"/>
      <c r="R285" s="87"/>
      <c r="S285" s="87"/>
      <c r="T285" s="87"/>
    </row>
    <row r="286" spans="1:22" s="94" customFormat="1" ht="15" customHeight="1">
      <c r="A286" s="87"/>
      <c r="B286" s="149"/>
      <c r="C286" s="149"/>
      <c r="D286" s="87"/>
      <c r="E286" s="166" t="str">
        <f>IF(F286="","",DBCS(【マスター】!D114))</f>
        <v/>
      </c>
      <c r="F286" s="166" t="str">
        <f>DBCS(【マスター】!E114)</f>
        <v/>
      </c>
      <c r="G286" s="166" t="str">
        <f>IF(F286="","",DBCS(【マスター】!F114))</f>
        <v/>
      </c>
      <c r="H286" s="166" t="str">
        <f>IF(G286="","",DBCS(【マスター】!G114))</f>
        <v/>
      </c>
      <c r="I286" s="166" t="str">
        <f>IF(H286="","",DBCS(【マスター】!H114))</f>
        <v/>
      </c>
      <c r="J286" s="166" t="str">
        <f>IF(I286="","",DBCS(【マスター】!I114))</f>
        <v/>
      </c>
      <c r="K286" s="166" t="str">
        <f>IF(J286="","",DBCS(【マスター】!J114))</f>
        <v/>
      </c>
      <c r="L286" s="87" t="str">
        <f>IF(【マスター】!E114=0,"","改訂")</f>
        <v/>
      </c>
      <c r="M286" s="87"/>
      <c r="N286" s="87"/>
      <c r="O286" s="87"/>
      <c r="P286" s="87"/>
      <c r="Q286" s="87"/>
      <c r="R286" s="87"/>
      <c r="S286" s="87"/>
      <c r="T286" s="87"/>
    </row>
    <row r="287" spans="1:22" s="94" customFormat="1" ht="15" customHeight="1">
      <c r="A287" s="87"/>
      <c r="B287" s="149"/>
      <c r="C287" s="149"/>
      <c r="D287" s="87"/>
      <c r="E287" s="166" t="str">
        <f>IF(F287="","",DBCS(【マスター】!D115))</f>
        <v/>
      </c>
      <c r="F287" s="166" t="str">
        <f>DBCS(【マスター】!E115)</f>
        <v/>
      </c>
      <c r="G287" s="166" t="str">
        <f>IF(F287="","",DBCS(【マスター】!F115))</f>
        <v/>
      </c>
      <c r="H287" s="166" t="str">
        <f>IF(G287="","",DBCS(【マスター】!G115))</f>
        <v/>
      </c>
      <c r="I287" s="166" t="str">
        <f>IF(H287="","",DBCS(【マスター】!H115))</f>
        <v/>
      </c>
      <c r="J287" s="166" t="str">
        <f>IF(I287="","",DBCS(【マスター】!I115))</f>
        <v/>
      </c>
      <c r="K287" s="166" t="str">
        <f>IF(J287="","",DBCS(【マスター】!J115))</f>
        <v/>
      </c>
      <c r="L287" s="87" t="str">
        <f>IF(【マスター】!E115=0,"","改訂")</f>
        <v/>
      </c>
      <c r="M287" s="87"/>
      <c r="N287" s="87"/>
      <c r="O287" s="87"/>
      <c r="P287" s="87"/>
      <c r="Q287" s="87"/>
      <c r="R287" s="87"/>
      <c r="S287" s="87"/>
      <c r="T287" s="87"/>
    </row>
    <row r="288" spans="1:22" s="94" customFormat="1" ht="15" customHeight="1">
      <c r="A288" s="87"/>
      <c r="B288" s="149"/>
      <c r="C288" s="149"/>
      <c r="D288" s="87"/>
      <c r="E288" s="166" t="str">
        <f>IF(F288="","",DBCS(【マスター】!D116))</f>
        <v/>
      </c>
      <c r="F288" s="166" t="str">
        <f>DBCS(【マスター】!E116)</f>
        <v/>
      </c>
      <c r="G288" s="166" t="str">
        <f>IF(F288="","",DBCS(【マスター】!F116))</f>
        <v/>
      </c>
      <c r="H288" s="166" t="str">
        <f>IF(G288="","",DBCS(【マスター】!G116))</f>
        <v/>
      </c>
      <c r="I288" s="166" t="str">
        <f>IF(H288="","",DBCS(【マスター】!H116))</f>
        <v/>
      </c>
      <c r="J288" s="166" t="str">
        <f>IF(I288="","",DBCS(【マスター】!I116))</f>
        <v/>
      </c>
      <c r="K288" s="166" t="str">
        <f>IF(J288="","",DBCS(【マスター】!J116))</f>
        <v/>
      </c>
      <c r="L288" s="87" t="str">
        <f>IF(【マスター】!E116=0,"","改訂")</f>
        <v/>
      </c>
      <c r="M288" s="87"/>
      <c r="N288" s="87"/>
      <c r="O288" s="87"/>
      <c r="P288" s="87"/>
      <c r="Q288" s="87"/>
      <c r="R288" s="87"/>
      <c r="S288" s="87"/>
      <c r="T288" s="87"/>
    </row>
    <row r="289" spans="1:20" s="94" customFormat="1" ht="15" customHeight="1">
      <c r="A289" s="87"/>
      <c r="B289" s="149"/>
      <c r="C289" s="149"/>
      <c r="D289" s="87"/>
      <c r="E289" s="166" t="str">
        <f>IF(F289="","",DBCS(【マスター】!D117))</f>
        <v/>
      </c>
      <c r="F289" s="166" t="str">
        <f>DBCS(【マスター】!E117)</f>
        <v/>
      </c>
      <c r="G289" s="166" t="str">
        <f>IF(F289="","",DBCS(【マスター】!F117))</f>
        <v/>
      </c>
      <c r="H289" s="166" t="str">
        <f>IF(G289="","",DBCS(【マスター】!G117))</f>
        <v/>
      </c>
      <c r="I289" s="166" t="str">
        <f>IF(H289="","",DBCS(【マスター】!H117))</f>
        <v/>
      </c>
      <c r="J289" s="166" t="str">
        <f>IF(I289="","",DBCS(【マスター】!I117))</f>
        <v/>
      </c>
      <c r="K289" s="166" t="str">
        <f>IF(J289="","",DBCS(【マスター】!J117))</f>
        <v/>
      </c>
      <c r="L289" s="87" t="str">
        <f>IF(【マスター】!E117=0,"","改訂")</f>
        <v/>
      </c>
      <c r="M289" s="87"/>
      <c r="N289" s="87"/>
      <c r="O289" s="87"/>
      <c r="P289" s="87"/>
      <c r="Q289" s="87"/>
      <c r="R289" s="87"/>
      <c r="S289" s="87"/>
      <c r="T289" s="87"/>
    </row>
    <row r="290" spans="1:20" s="94" customFormat="1" ht="15" customHeight="1">
      <c r="A290" s="87"/>
      <c r="B290" s="149"/>
      <c r="C290" s="149"/>
      <c r="D290" s="87"/>
      <c r="E290" s="166" t="str">
        <f>IF(F290="","",DBCS(【マスター】!D118))</f>
        <v/>
      </c>
      <c r="F290" s="166" t="str">
        <f>DBCS(【マスター】!E118)</f>
        <v/>
      </c>
      <c r="G290" s="166" t="str">
        <f>IF(F290="","",DBCS(【マスター】!F118))</f>
        <v/>
      </c>
      <c r="H290" s="166" t="str">
        <f>IF(G290="","",DBCS(【マスター】!G118))</f>
        <v/>
      </c>
      <c r="I290" s="166" t="str">
        <f>IF(H290="","",DBCS(【マスター】!H118))</f>
        <v/>
      </c>
      <c r="J290" s="166" t="str">
        <f>IF(I290="","",DBCS(【マスター】!I118))</f>
        <v/>
      </c>
      <c r="K290" s="166" t="str">
        <f>IF(J290="","",DBCS(【マスター】!J118))</f>
        <v/>
      </c>
      <c r="L290" s="87" t="str">
        <f>IF(【マスター】!E118=0,"","改訂")</f>
        <v/>
      </c>
      <c r="M290" s="87"/>
      <c r="N290" s="87"/>
      <c r="O290" s="87"/>
      <c r="P290" s="87"/>
      <c r="Q290" s="87"/>
      <c r="R290" s="87"/>
      <c r="S290" s="87"/>
      <c r="T290" s="87"/>
    </row>
    <row r="291" spans="1:20" s="94" customFormat="1" ht="15" customHeight="1">
      <c r="A291" s="87"/>
      <c r="B291" s="149"/>
      <c r="C291" s="149"/>
      <c r="D291" s="87"/>
      <c r="E291" s="166" t="str">
        <f>IF(F291="","",DBCS(【マスター】!D119))</f>
        <v/>
      </c>
      <c r="F291" s="166" t="str">
        <f>DBCS(【マスター】!E119)</f>
        <v/>
      </c>
      <c r="G291" s="166" t="str">
        <f>IF(F291="","",DBCS(【マスター】!F119))</f>
        <v/>
      </c>
      <c r="H291" s="166" t="str">
        <f>IF(G291="","",DBCS(【マスター】!G119))</f>
        <v/>
      </c>
      <c r="I291" s="166" t="str">
        <f>IF(H291="","",DBCS(【マスター】!H119))</f>
        <v/>
      </c>
      <c r="J291" s="166" t="str">
        <f>IF(I291="","",DBCS(【マスター】!I119))</f>
        <v/>
      </c>
      <c r="K291" s="166" t="str">
        <f>IF(J291="","",DBCS(【マスター】!J119))</f>
        <v/>
      </c>
      <c r="L291" s="87" t="str">
        <f>IF(【マスター】!E119=0,"","改訂")</f>
        <v/>
      </c>
      <c r="M291" s="87"/>
      <c r="N291" s="87"/>
      <c r="O291" s="87"/>
      <c r="P291" s="87"/>
      <c r="Q291" s="87"/>
      <c r="R291" s="87"/>
      <c r="S291" s="87"/>
      <c r="T291" s="87"/>
    </row>
    <row r="292" spans="1:20" s="94" customFormat="1" ht="15" customHeight="1">
      <c r="A292" s="87"/>
      <c r="B292" s="149"/>
      <c r="C292" s="149"/>
      <c r="D292" s="87"/>
      <c r="E292" s="166" t="str">
        <f>IF(F292="","",DBCS(【マスター】!D120))</f>
        <v/>
      </c>
      <c r="F292" s="166" t="str">
        <f>DBCS(【マスター】!E120)</f>
        <v/>
      </c>
      <c r="G292" s="166" t="str">
        <f>IF(F292="","",DBCS(【マスター】!F120))</f>
        <v/>
      </c>
      <c r="H292" s="166" t="str">
        <f>IF(G292="","",DBCS(【マスター】!G120))</f>
        <v/>
      </c>
      <c r="I292" s="166" t="str">
        <f>IF(H292="","",DBCS(【マスター】!H120))</f>
        <v/>
      </c>
      <c r="J292" s="166" t="str">
        <f>IF(I292="","",DBCS(【マスター】!I120))</f>
        <v/>
      </c>
      <c r="K292" s="166" t="str">
        <f>IF(J292="","",DBCS(【マスター】!J120))</f>
        <v/>
      </c>
      <c r="L292" s="87" t="str">
        <f>IF(【マスター】!E120=0,"","改訂")</f>
        <v/>
      </c>
      <c r="M292" s="87"/>
      <c r="N292" s="87"/>
      <c r="O292" s="87"/>
      <c r="P292" s="87"/>
      <c r="Q292" s="87"/>
      <c r="R292" s="87"/>
      <c r="S292" s="87"/>
      <c r="T292" s="87"/>
    </row>
    <row r="293" spans="1:20" s="94" customFormat="1" ht="15" customHeight="1">
      <c r="A293" s="87"/>
      <c r="B293" s="149"/>
      <c r="C293" s="149"/>
      <c r="D293" s="87"/>
      <c r="E293" s="166" t="str">
        <f>IF(F293="","",DBCS(【マスター】!D121))</f>
        <v/>
      </c>
      <c r="F293" s="166" t="str">
        <f>DBCS(【マスター】!E121)</f>
        <v/>
      </c>
      <c r="G293" s="166" t="str">
        <f>IF(F293="","",DBCS(【マスター】!F121))</f>
        <v/>
      </c>
      <c r="H293" s="166" t="str">
        <f>IF(G293="","",DBCS(【マスター】!G121))</f>
        <v/>
      </c>
      <c r="I293" s="166" t="str">
        <f>IF(H293="","",DBCS(【マスター】!H121))</f>
        <v/>
      </c>
      <c r="J293" s="166" t="str">
        <f>IF(I293="","",DBCS(【マスター】!I121))</f>
        <v/>
      </c>
      <c r="K293" s="166" t="str">
        <f>IF(J293="","",DBCS(【マスター】!J121))</f>
        <v/>
      </c>
      <c r="L293" s="87" t="str">
        <f>IF(【マスター】!E121=0,"","改訂")</f>
        <v/>
      </c>
      <c r="M293" s="87"/>
      <c r="N293" s="87"/>
      <c r="O293" s="87"/>
      <c r="P293" s="87"/>
      <c r="Q293" s="87"/>
      <c r="R293" s="87"/>
      <c r="S293" s="87"/>
      <c r="T293" s="87"/>
    </row>
    <row r="294" spans="1:20" s="94" customFormat="1" ht="15" customHeight="1">
      <c r="A294" s="87"/>
      <c r="B294" s="149"/>
      <c r="C294" s="149"/>
      <c r="D294" s="87"/>
      <c r="E294" s="166" t="str">
        <f>IF(F294="","",DBCS(【マスター】!D122))</f>
        <v/>
      </c>
      <c r="F294" s="166" t="str">
        <f>DBCS(【マスター】!E122)</f>
        <v/>
      </c>
      <c r="G294" s="166" t="str">
        <f>IF(F294="","",DBCS(【マスター】!F122))</f>
        <v/>
      </c>
      <c r="H294" s="166" t="str">
        <f>IF(G294="","",DBCS(【マスター】!G122))</f>
        <v/>
      </c>
      <c r="I294" s="166" t="str">
        <f>IF(H294="","",DBCS(【マスター】!H122))</f>
        <v/>
      </c>
      <c r="J294" s="166" t="str">
        <f>IF(I294="","",DBCS(【マスター】!I122))</f>
        <v/>
      </c>
      <c r="K294" s="166" t="str">
        <f>IF(J294="","",DBCS(【マスター】!J122))</f>
        <v/>
      </c>
      <c r="L294" s="87" t="str">
        <f>IF(【マスター】!E122=0,"","改訂")</f>
        <v/>
      </c>
      <c r="M294" s="87"/>
      <c r="N294" s="87"/>
      <c r="O294" s="87"/>
      <c r="P294" s="87"/>
      <c r="Q294" s="87"/>
      <c r="R294" s="87"/>
      <c r="S294" s="87"/>
      <c r="T294" s="87"/>
    </row>
    <row r="295" spans="1:20" s="94" customFormat="1" ht="15" customHeight="1">
      <c r="A295" s="87"/>
      <c r="B295" s="149"/>
      <c r="C295" s="149"/>
      <c r="D295" s="87"/>
      <c r="E295" s="166" t="str">
        <f>IF(F295="","",DBCS(【マスター】!D123))</f>
        <v/>
      </c>
      <c r="F295" s="166" t="str">
        <f>DBCS(【マスター】!E123)</f>
        <v/>
      </c>
      <c r="G295" s="166" t="str">
        <f>IF(F295="","",DBCS(【マスター】!F123))</f>
        <v/>
      </c>
      <c r="H295" s="166" t="str">
        <f>IF(G295="","",DBCS(【マスター】!G123))</f>
        <v/>
      </c>
      <c r="I295" s="166" t="str">
        <f>IF(H295="","",DBCS(【マスター】!H123))</f>
        <v/>
      </c>
      <c r="J295" s="166" t="str">
        <f>IF(I295="","",DBCS(【マスター】!I123))</f>
        <v/>
      </c>
      <c r="K295" s="166" t="str">
        <f>IF(J295="","",DBCS(【マスター】!J123))</f>
        <v/>
      </c>
      <c r="L295" s="87" t="str">
        <f>IF(【マスター】!E123=0,"","改訂")</f>
        <v/>
      </c>
      <c r="M295" s="87"/>
      <c r="N295" s="87"/>
      <c r="O295" s="87"/>
      <c r="P295" s="87"/>
      <c r="Q295" s="87"/>
      <c r="R295" s="87"/>
      <c r="S295" s="87"/>
      <c r="T295" s="87"/>
    </row>
    <row r="296" spans="1:20" s="94" customFormat="1" ht="15" customHeight="1">
      <c r="A296" s="87"/>
      <c r="B296" s="149"/>
      <c r="C296" s="149"/>
      <c r="D296" s="87"/>
      <c r="E296" s="166" t="str">
        <f>IF(F296="","",DBCS(【マスター】!D124))</f>
        <v/>
      </c>
      <c r="F296" s="166" t="str">
        <f>DBCS(【マスター】!E124)</f>
        <v/>
      </c>
      <c r="G296" s="166" t="str">
        <f>IF(F296="","",DBCS(【マスター】!F124))</f>
        <v/>
      </c>
      <c r="H296" s="166" t="str">
        <f>IF(G296="","",DBCS(【マスター】!G124))</f>
        <v/>
      </c>
      <c r="I296" s="166" t="str">
        <f>IF(H296="","",DBCS(【マスター】!H124))</f>
        <v/>
      </c>
      <c r="J296" s="166" t="str">
        <f>IF(I296="","",DBCS(【マスター】!I124))</f>
        <v/>
      </c>
      <c r="K296" s="166" t="str">
        <f>IF(J296="","",DBCS(【マスター】!J124))</f>
        <v/>
      </c>
      <c r="L296" s="87" t="str">
        <f>IF(【マスター】!E124=0,"","改訂")</f>
        <v/>
      </c>
      <c r="M296" s="87"/>
      <c r="N296" s="87"/>
      <c r="O296" s="87"/>
      <c r="P296" s="87"/>
      <c r="Q296" s="87"/>
      <c r="R296" s="87"/>
      <c r="S296" s="87"/>
      <c r="T296" s="87"/>
    </row>
    <row r="297" spans="1:20" s="94" customFormat="1" ht="15" customHeight="1">
      <c r="A297" s="87"/>
      <c r="B297" s="149"/>
      <c r="C297" s="149"/>
      <c r="D297" s="87"/>
      <c r="E297" s="166" t="str">
        <f>IF(F297="","",DBCS(【マスター】!D125))</f>
        <v/>
      </c>
      <c r="F297" s="166" t="str">
        <f>DBCS(【マスター】!E125)</f>
        <v/>
      </c>
      <c r="G297" s="166" t="str">
        <f>IF(F297="","",DBCS(【マスター】!F125))</f>
        <v/>
      </c>
      <c r="H297" s="166" t="str">
        <f>IF(G297="","",DBCS(【マスター】!G125))</f>
        <v/>
      </c>
      <c r="I297" s="166" t="str">
        <f>IF(H297="","",DBCS(【マスター】!H125))</f>
        <v/>
      </c>
      <c r="J297" s="166" t="str">
        <f>IF(I297="","",DBCS(【マスター】!I125))</f>
        <v/>
      </c>
      <c r="K297" s="166" t="str">
        <f>IF(J297="","",DBCS(【マスター】!J125))</f>
        <v/>
      </c>
      <c r="L297" s="87" t="str">
        <f>IF(【マスター】!E125=0,"","改訂")</f>
        <v/>
      </c>
      <c r="M297" s="87"/>
      <c r="N297" s="87"/>
      <c r="O297" s="87"/>
      <c r="P297" s="87"/>
      <c r="Q297" s="87"/>
      <c r="R297" s="87"/>
      <c r="S297" s="87"/>
      <c r="T297" s="87"/>
    </row>
    <row r="298" spans="1:20" s="94" customFormat="1" ht="15" customHeight="1">
      <c r="A298" s="87"/>
      <c r="B298" s="149"/>
      <c r="C298" s="149"/>
      <c r="D298" s="87"/>
      <c r="E298" s="166" t="str">
        <f>IF(F298="","",DBCS(【マスター】!D126))</f>
        <v/>
      </c>
      <c r="F298" s="166" t="str">
        <f>DBCS(【マスター】!E126)</f>
        <v/>
      </c>
      <c r="G298" s="166" t="str">
        <f>IF(F298="","",DBCS(【マスター】!F126))</f>
        <v/>
      </c>
      <c r="H298" s="166" t="str">
        <f>IF(G298="","",DBCS(【マスター】!G126))</f>
        <v/>
      </c>
      <c r="I298" s="166" t="str">
        <f>IF(H298="","",DBCS(【マスター】!H126))</f>
        <v/>
      </c>
      <c r="J298" s="166" t="str">
        <f>IF(I298="","",DBCS(【マスター】!I126))</f>
        <v/>
      </c>
      <c r="K298" s="166" t="str">
        <f>IF(J298="","",DBCS(【マスター】!J126))</f>
        <v/>
      </c>
      <c r="L298" s="87" t="str">
        <f>IF(【マスター】!E126=0,"","改訂")</f>
        <v/>
      </c>
      <c r="M298" s="87"/>
      <c r="N298" s="87"/>
      <c r="O298" s="87"/>
      <c r="P298" s="87"/>
      <c r="Q298" s="87"/>
      <c r="R298" s="87"/>
      <c r="S298" s="87"/>
      <c r="T298" s="87"/>
    </row>
    <row r="299" spans="1:20" s="94" customFormat="1" ht="15" customHeight="1">
      <c r="A299" s="87"/>
      <c r="B299" s="149"/>
      <c r="C299" s="149"/>
      <c r="D299" s="87"/>
      <c r="E299" s="166" t="str">
        <f>IF(F299="","",DBCS(【マスター】!D127))</f>
        <v/>
      </c>
      <c r="F299" s="166" t="str">
        <f>DBCS(【マスター】!E127)</f>
        <v/>
      </c>
      <c r="G299" s="166" t="str">
        <f>IF(F299="","",DBCS(【マスター】!F127))</f>
        <v/>
      </c>
      <c r="H299" s="166" t="str">
        <f>IF(G299="","",DBCS(【マスター】!G127))</f>
        <v/>
      </c>
      <c r="I299" s="166" t="str">
        <f>IF(H299="","",DBCS(【マスター】!H127))</f>
        <v/>
      </c>
      <c r="J299" s="166" t="str">
        <f>IF(I299="","",DBCS(【マスター】!I127))</f>
        <v/>
      </c>
      <c r="K299" s="166" t="str">
        <f>IF(J299="","",DBCS(【マスター】!J127))</f>
        <v/>
      </c>
      <c r="L299" s="87" t="str">
        <f>IF(【マスター】!E127=0,"","改訂")</f>
        <v/>
      </c>
      <c r="M299" s="87"/>
      <c r="N299" s="87"/>
      <c r="O299" s="87"/>
      <c r="P299" s="87"/>
      <c r="Q299" s="87"/>
      <c r="R299" s="87"/>
      <c r="S299" s="87"/>
      <c r="T299" s="87"/>
    </row>
    <row r="300" spans="1:20" s="94" customFormat="1" ht="15" customHeight="1">
      <c r="A300" s="87"/>
      <c r="B300" s="149"/>
      <c r="C300" s="149"/>
      <c r="D300" s="87"/>
      <c r="E300" s="166" t="str">
        <f>IF(F300="","",DBCS(【マスター】!D128))</f>
        <v/>
      </c>
      <c r="F300" s="166" t="str">
        <f>DBCS(【マスター】!E128)</f>
        <v/>
      </c>
      <c r="G300" s="166" t="str">
        <f>IF(F300="","",DBCS(【マスター】!F128))</f>
        <v/>
      </c>
      <c r="H300" s="166" t="str">
        <f>IF(G300="","",DBCS(【マスター】!G128))</f>
        <v/>
      </c>
      <c r="I300" s="166" t="str">
        <f>IF(H300="","",DBCS(【マスター】!H128))</f>
        <v/>
      </c>
      <c r="J300" s="166" t="str">
        <f>IF(I300="","",DBCS(【マスター】!I128))</f>
        <v/>
      </c>
      <c r="K300" s="166" t="str">
        <f>IF(J300="","",DBCS(【マスター】!J128))</f>
        <v/>
      </c>
      <c r="L300" s="87" t="str">
        <f>IF(【マスター】!E128=0,"","改訂")</f>
        <v/>
      </c>
      <c r="M300" s="87"/>
      <c r="N300" s="87"/>
      <c r="O300" s="87"/>
      <c r="P300" s="87"/>
      <c r="Q300" s="87"/>
      <c r="R300" s="87"/>
      <c r="S300" s="87"/>
      <c r="T300" s="87"/>
    </row>
    <row r="301" spans="1:20" s="94" customFormat="1" ht="15" customHeight="1">
      <c r="A301" s="87"/>
      <c r="B301" s="149"/>
      <c r="C301" s="149"/>
      <c r="D301" s="87"/>
      <c r="E301" s="166" t="str">
        <f>IF(F301="","",DBCS(【マスター】!D129))</f>
        <v/>
      </c>
      <c r="F301" s="166" t="str">
        <f>DBCS(【マスター】!E129)</f>
        <v/>
      </c>
      <c r="G301" s="166" t="str">
        <f>IF(F301="","",DBCS(【マスター】!F129))</f>
        <v/>
      </c>
      <c r="H301" s="166" t="str">
        <f>IF(G301="","",DBCS(【マスター】!G129))</f>
        <v/>
      </c>
      <c r="I301" s="166" t="str">
        <f>IF(H301="","",DBCS(【マスター】!H129))</f>
        <v/>
      </c>
      <c r="J301" s="166" t="str">
        <f>IF(I301="","",DBCS(【マスター】!I129))</f>
        <v/>
      </c>
      <c r="K301" s="166" t="str">
        <f>IF(J301="","",DBCS(【マスター】!J129))</f>
        <v/>
      </c>
      <c r="L301" s="87" t="str">
        <f>IF(【マスター】!E129=0,"","改訂")</f>
        <v/>
      </c>
      <c r="M301" s="87"/>
      <c r="N301" s="87"/>
      <c r="O301" s="87"/>
      <c r="P301" s="87"/>
      <c r="Q301" s="87"/>
      <c r="R301" s="87"/>
      <c r="S301" s="87"/>
      <c r="T301" s="87"/>
    </row>
    <row r="302" spans="1:20" s="94" customFormat="1" ht="15" customHeight="1">
      <c r="A302" s="87"/>
      <c r="B302" s="149"/>
      <c r="C302" s="149"/>
      <c r="D302" s="87"/>
      <c r="E302" s="166" t="str">
        <f>IF(F302="","",DBCS(【マスター】!D130))</f>
        <v/>
      </c>
      <c r="F302" s="166" t="str">
        <f>DBCS(【マスター】!E130)</f>
        <v/>
      </c>
      <c r="G302" s="166" t="str">
        <f>IF(F302="","",DBCS(【マスター】!F130))</f>
        <v/>
      </c>
      <c r="H302" s="166" t="str">
        <f>IF(G302="","",DBCS(【マスター】!G130))</f>
        <v/>
      </c>
      <c r="I302" s="166" t="str">
        <f>IF(H302="","",DBCS(【マスター】!H130))</f>
        <v/>
      </c>
      <c r="J302" s="166" t="str">
        <f>IF(I302="","",DBCS(【マスター】!I130))</f>
        <v/>
      </c>
      <c r="K302" s="166" t="str">
        <f>IF(J302="","",DBCS(【マスター】!J130))</f>
        <v/>
      </c>
      <c r="L302" s="87" t="str">
        <f>IF(【マスター】!E130=0,"","改訂")</f>
        <v/>
      </c>
      <c r="M302" s="87"/>
      <c r="N302" s="87"/>
      <c r="O302" s="87"/>
      <c r="P302" s="87"/>
      <c r="Q302" s="87"/>
      <c r="R302" s="87"/>
      <c r="S302" s="87"/>
      <c r="T302" s="87"/>
    </row>
    <row r="303" spans="1:20" s="94" customFormat="1" ht="15" customHeight="1">
      <c r="A303" s="87"/>
      <c r="B303" s="149"/>
      <c r="C303" s="149"/>
      <c r="D303" s="87"/>
      <c r="E303" s="166" t="str">
        <f>IF(F303="","",DBCS(【マスター】!D131))</f>
        <v/>
      </c>
      <c r="F303" s="166" t="str">
        <f>DBCS(【マスター】!E131)</f>
        <v/>
      </c>
      <c r="G303" s="166" t="str">
        <f>IF(F303="","",DBCS(【マスター】!F131))</f>
        <v/>
      </c>
      <c r="H303" s="166" t="str">
        <f>IF(G303="","",DBCS(【マスター】!G131))</f>
        <v/>
      </c>
      <c r="I303" s="166" t="str">
        <f>IF(H303="","",DBCS(【マスター】!H131))</f>
        <v/>
      </c>
      <c r="J303" s="166" t="str">
        <f>IF(I303="","",DBCS(【マスター】!I131))</f>
        <v/>
      </c>
      <c r="K303" s="166" t="str">
        <f>IF(J303="","",DBCS(【マスター】!J131))</f>
        <v/>
      </c>
      <c r="L303" s="87" t="str">
        <f>IF(【マスター】!E131=0,"","改訂")</f>
        <v/>
      </c>
      <c r="M303" s="87"/>
      <c r="N303" s="87"/>
      <c r="O303" s="87"/>
      <c r="P303" s="87"/>
      <c r="Q303" s="87"/>
      <c r="R303" s="87"/>
      <c r="S303" s="87"/>
      <c r="T303" s="87"/>
    </row>
    <row r="304" spans="1:20" s="94" customFormat="1" ht="15" customHeight="1">
      <c r="A304" s="87"/>
      <c r="B304" s="149"/>
      <c r="C304" s="149"/>
      <c r="D304" s="87"/>
      <c r="E304" s="166" t="str">
        <f>IF(F304="","",DBCS(【マスター】!D132))</f>
        <v/>
      </c>
      <c r="F304" s="166" t="str">
        <f>DBCS(【マスター】!E132)</f>
        <v/>
      </c>
      <c r="G304" s="166" t="str">
        <f>IF(F304="","",DBCS(【マスター】!F132))</f>
        <v/>
      </c>
      <c r="H304" s="166" t="str">
        <f>IF(G304="","",DBCS(【マスター】!G132))</f>
        <v/>
      </c>
      <c r="I304" s="166" t="str">
        <f>IF(H304="","",DBCS(【マスター】!H132))</f>
        <v/>
      </c>
      <c r="J304" s="166" t="str">
        <f>IF(I304="","",DBCS(【マスター】!I132))</f>
        <v/>
      </c>
      <c r="K304" s="166" t="str">
        <f>IF(J304="","",DBCS(【マスター】!J132))</f>
        <v/>
      </c>
      <c r="L304" s="87" t="str">
        <f>IF(【マスター】!E132=0,"","改訂")</f>
        <v/>
      </c>
      <c r="M304" s="87"/>
      <c r="N304" s="87"/>
      <c r="O304" s="87"/>
      <c r="P304" s="87"/>
      <c r="Q304" s="87"/>
      <c r="R304" s="87"/>
      <c r="S304" s="87"/>
      <c r="T304" s="87"/>
    </row>
    <row r="305" spans="1:20" s="94" customFormat="1" ht="15" customHeight="1">
      <c r="A305" s="87"/>
      <c r="B305" s="149"/>
      <c r="C305" s="149"/>
      <c r="D305" s="87"/>
      <c r="E305" s="166" t="str">
        <f>IF(F305="","",DBCS(【マスター】!D133))</f>
        <v/>
      </c>
      <c r="F305" s="166" t="str">
        <f>DBCS(【マスター】!E133)</f>
        <v/>
      </c>
      <c r="G305" s="166" t="str">
        <f>IF(F305="","",DBCS(【マスター】!F133))</f>
        <v/>
      </c>
      <c r="H305" s="166" t="str">
        <f>IF(G305="","",DBCS(【マスター】!G133))</f>
        <v/>
      </c>
      <c r="I305" s="166" t="str">
        <f>IF(H305="","",DBCS(【マスター】!H133))</f>
        <v/>
      </c>
      <c r="J305" s="166" t="str">
        <f>IF(I305="","",DBCS(【マスター】!I133))</f>
        <v/>
      </c>
      <c r="K305" s="166" t="str">
        <f>IF(J305="","",DBCS(【マスター】!J133))</f>
        <v/>
      </c>
      <c r="L305" s="87" t="str">
        <f>IF(【マスター】!E133=0,"","改訂")</f>
        <v/>
      </c>
      <c r="M305" s="87"/>
      <c r="N305" s="87"/>
      <c r="O305" s="87"/>
      <c r="P305" s="87"/>
      <c r="Q305" s="87"/>
      <c r="R305" s="87"/>
      <c r="S305" s="87"/>
      <c r="T305" s="87"/>
    </row>
    <row r="306" spans="1:20" s="94" customFormat="1" ht="15" customHeight="1">
      <c r="A306" s="87"/>
      <c r="B306" s="149"/>
      <c r="C306" s="149"/>
      <c r="D306" s="87"/>
      <c r="E306" s="166" t="str">
        <f>IF(F306="","",DBCS(【マスター】!D134))</f>
        <v/>
      </c>
      <c r="F306" s="166" t="str">
        <f>DBCS(【マスター】!E134)</f>
        <v/>
      </c>
      <c r="G306" s="166" t="str">
        <f>IF(F306="","",DBCS(【マスター】!F134))</f>
        <v/>
      </c>
      <c r="H306" s="166" t="str">
        <f>IF(G306="","",DBCS(【マスター】!G134))</f>
        <v/>
      </c>
      <c r="I306" s="166" t="str">
        <f>IF(H306="","",DBCS(【マスター】!H134))</f>
        <v/>
      </c>
      <c r="J306" s="166" t="str">
        <f>IF(I306="","",DBCS(【マスター】!I134))</f>
        <v/>
      </c>
      <c r="K306" s="166" t="str">
        <f>IF(J306="","",DBCS(【マスター】!J134))</f>
        <v/>
      </c>
      <c r="L306" s="87" t="str">
        <f>IF(【マスター】!E134=0,"","改訂")</f>
        <v/>
      </c>
      <c r="M306" s="87"/>
      <c r="N306" s="87"/>
      <c r="O306" s="87"/>
      <c r="P306" s="87"/>
      <c r="Q306" s="87"/>
      <c r="R306" s="87"/>
      <c r="S306" s="87"/>
      <c r="T306" s="87"/>
    </row>
    <row r="307" spans="1:20" s="94" customFormat="1" ht="15" customHeight="1">
      <c r="A307" s="87"/>
      <c r="B307" s="149"/>
      <c r="C307" s="149"/>
      <c r="D307" s="87"/>
      <c r="E307" s="166" t="str">
        <f>IF(F307="","",DBCS(【マスター】!D135))</f>
        <v/>
      </c>
      <c r="F307" s="166" t="str">
        <f>DBCS(【マスター】!E135)</f>
        <v/>
      </c>
      <c r="G307" s="166" t="str">
        <f>IF(F307="","",DBCS(【マスター】!F135))</f>
        <v/>
      </c>
      <c r="H307" s="166" t="str">
        <f>IF(G307="","",DBCS(【マスター】!G135))</f>
        <v/>
      </c>
      <c r="I307" s="166" t="str">
        <f>IF(H307="","",DBCS(【マスター】!H135))</f>
        <v/>
      </c>
      <c r="J307" s="166" t="str">
        <f>IF(I307="","",DBCS(【マスター】!I135))</f>
        <v/>
      </c>
      <c r="K307" s="166" t="str">
        <f>IF(J307="","",DBCS(【マスター】!J135))</f>
        <v/>
      </c>
      <c r="L307" s="87" t="str">
        <f>IF(【マスター】!E135=0,"","改訂")</f>
        <v/>
      </c>
      <c r="M307" s="87"/>
      <c r="N307" s="87"/>
      <c r="O307" s="87"/>
      <c r="P307" s="87"/>
      <c r="Q307" s="87"/>
      <c r="R307" s="87"/>
      <c r="S307" s="87"/>
      <c r="T307" s="87"/>
    </row>
    <row r="308" spans="1:20" s="94" customFormat="1" ht="15" customHeight="1">
      <c r="A308" s="87"/>
      <c r="B308" s="149"/>
      <c r="C308" s="149"/>
      <c r="D308" s="87"/>
      <c r="E308" s="166" t="str">
        <f>IF(F308="","",DBCS(【マスター】!D136))</f>
        <v/>
      </c>
      <c r="F308" s="166" t="str">
        <f>DBCS(【マスター】!E136)</f>
        <v/>
      </c>
      <c r="G308" s="166" t="str">
        <f>IF(F308="","",DBCS(【マスター】!F136))</f>
        <v/>
      </c>
      <c r="H308" s="166" t="str">
        <f>IF(G308="","",DBCS(【マスター】!G136))</f>
        <v/>
      </c>
      <c r="I308" s="166" t="str">
        <f>IF(H308="","",DBCS(【マスター】!H136))</f>
        <v/>
      </c>
      <c r="J308" s="166" t="str">
        <f>IF(I308="","",DBCS(【マスター】!I136))</f>
        <v/>
      </c>
      <c r="K308" s="166" t="str">
        <f>IF(J308="","",DBCS(【マスター】!J136))</f>
        <v/>
      </c>
      <c r="L308" s="87" t="str">
        <f>IF(【マスター】!E136=0,"","改訂")</f>
        <v/>
      </c>
      <c r="M308" s="87"/>
      <c r="N308" s="87"/>
      <c r="O308" s="87"/>
      <c r="P308" s="87"/>
      <c r="Q308" s="87"/>
      <c r="R308" s="87"/>
      <c r="S308" s="87"/>
      <c r="T308" s="87"/>
    </row>
    <row r="309" spans="1:20" s="94" customFormat="1" ht="15" customHeight="1">
      <c r="A309" s="87"/>
      <c r="B309" s="149"/>
      <c r="C309" s="149"/>
      <c r="D309" s="87"/>
      <c r="E309" s="166" t="str">
        <f>IF(F309="","",DBCS(【マスター】!D137))</f>
        <v/>
      </c>
      <c r="F309" s="166" t="str">
        <f>DBCS(【マスター】!E137)</f>
        <v/>
      </c>
      <c r="G309" s="166" t="str">
        <f>IF(F309="","",DBCS(【マスター】!F137))</f>
        <v/>
      </c>
      <c r="H309" s="166" t="str">
        <f>IF(G309="","",DBCS(【マスター】!G137))</f>
        <v/>
      </c>
      <c r="I309" s="166" t="str">
        <f>IF(H309="","",DBCS(【マスター】!H137))</f>
        <v/>
      </c>
      <c r="J309" s="166" t="str">
        <f>IF(I309="","",DBCS(【マスター】!I137))</f>
        <v/>
      </c>
      <c r="K309" s="166" t="str">
        <f>IF(J309="","",DBCS(【マスター】!J137))</f>
        <v/>
      </c>
      <c r="L309" s="87" t="str">
        <f>IF(【マスター】!E137=0,"","改訂")</f>
        <v/>
      </c>
      <c r="M309" s="87"/>
      <c r="N309" s="87"/>
      <c r="O309" s="87"/>
      <c r="P309" s="87"/>
      <c r="Q309" s="87"/>
      <c r="R309" s="87"/>
      <c r="S309" s="87"/>
      <c r="T309" s="87"/>
    </row>
    <row r="310" spans="1:20" ht="15" customHeight="1">
      <c r="E310" s="166" t="str">
        <f>IF(F310="","",DBCS(【マスター】!D138))</f>
        <v/>
      </c>
      <c r="F310" s="166" t="str">
        <f>DBCS(【マスター】!E138)</f>
        <v/>
      </c>
      <c r="G310" s="166" t="str">
        <f>IF(F310="","",DBCS(【マスター】!F138))</f>
        <v/>
      </c>
      <c r="H310" s="166" t="str">
        <f>IF(G310="","",DBCS(【マスター】!G138))</f>
        <v/>
      </c>
      <c r="I310" s="166" t="str">
        <f>IF(H310="","",DBCS(【マスター】!H138))</f>
        <v/>
      </c>
      <c r="J310" s="166" t="str">
        <f>IF(I310="","",DBCS(【マスター】!I138))</f>
        <v/>
      </c>
      <c r="K310" s="166" t="str">
        <f>IF(J310="","",DBCS(【マスター】!J138))</f>
        <v/>
      </c>
      <c r="L310" s="87" t="str">
        <f>IF(【マスター】!E138=0,"","改訂")</f>
        <v/>
      </c>
      <c r="M310" s="87"/>
      <c r="N310" s="87"/>
      <c r="O310" s="87"/>
      <c r="P310" s="87"/>
    </row>
    <row r="311" spans="1:20" ht="15" customHeight="1">
      <c r="E311" s="166" t="str">
        <f>IF(F311="","",DBCS(【マスター】!D139))</f>
        <v/>
      </c>
      <c r="F311" s="166" t="str">
        <f>DBCS(【マスター】!E139)</f>
        <v/>
      </c>
      <c r="G311" s="166" t="str">
        <f>IF(F311="","",DBCS(【マスター】!F139))</f>
        <v/>
      </c>
      <c r="H311" s="166" t="str">
        <f>IF(G311="","",DBCS(【マスター】!G139))</f>
        <v/>
      </c>
      <c r="I311" s="166" t="str">
        <f>IF(H311="","",DBCS(【マスター】!H139))</f>
        <v/>
      </c>
      <c r="J311" s="166" t="str">
        <f>IF(I311="","",DBCS(【マスター】!I139))</f>
        <v/>
      </c>
      <c r="K311" s="166" t="str">
        <f>IF(J311="","",DBCS(【マスター】!J139))</f>
        <v/>
      </c>
      <c r="L311" s="87" t="str">
        <f>IF(【マスター】!E139=0,"","改訂")</f>
        <v/>
      </c>
      <c r="M311" s="87"/>
      <c r="N311" s="87"/>
      <c r="O311" s="87"/>
      <c r="P311" s="87"/>
    </row>
    <row r="312" spans="1:20" ht="15" customHeight="1">
      <c r="E312" s="166" t="str">
        <f>IF(F312="","",DBCS(【マスター】!D140))</f>
        <v/>
      </c>
      <c r="F312" s="166" t="str">
        <f>DBCS(【マスター】!E140)</f>
        <v/>
      </c>
      <c r="G312" s="166" t="str">
        <f>IF(F312="","",DBCS(【マスター】!F140))</f>
        <v/>
      </c>
      <c r="H312" s="166" t="str">
        <f>IF(G312="","",DBCS(【マスター】!G140))</f>
        <v/>
      </c>
      <c r="I312" s="166" t="str">
        <f>IF(H312="","",DBCS(【マスター】!H140))</f>
        <v/>
      </c>
      <c r="J312" s="166" t="str">
        <f>IF(I312="","",DBCS(【マスター】!I140))</f>
        <v/>
      </c>
      <c r="K312" s="166" t="str">
        <f>IF(J312="","",DBCS(【マスター】!J140))</f>
        <v/>
      </c>
      <c r="L312" s="87" t="str">
        <f>IF(【マスター】!E140=0,"","改訂")</f>
        <v/>
      </c>
      <c r="M312" s="87"/>
      <c r="N312" s="87"/>
      <c r="O312" s="87"/>
      <c r="P312" s="87"/>
    </row>
    <row r="313" spans="1:20" ht="15" customHeight="1">
      <c r="E313" s="166" t="str">
        <f>IF(F313="","",DBCS(【マスター】!D141))</f>
        <v/>
      </c>
      <c r="F313" s="166" t="str">
        <f>DBCS(【マスター】!E141)</f>
        <v/>
      </c>
      <c r="G313" s="166" t="str">
        <f>IF(F313="","",DBCS(【マスター】!F141))</f>
        <v/>
      </c>
      <c r="H313" s="166" t="str">
        <f>IF(G313="","",DBCS(【マスター】!G141))</f>
        <v/>
      </c>
      <c r="I313" s="166" t="str">
        <f>IF(H313="","",DBCS(【マスター】!H141))</f>
        <v/>
      </c>
      <c r="J313" s="166" t="str">
        <f>IF(I313="","",DBCS(【マスター】!I141))</f>
        <v/>
      </c>
      <c r="K313" s="166" t="str">
        <f>IF(J313="","",DBCS(【マスター】!J141))</f>
        <v/>
      </c>
      <c r="L313" s="87" t="str">
        <f>IF(【マスター】!E141=0,"","改訂")</f>
        <v/>
      </c>
      <c r="M313" s="87"/>
      <c r="N313" s="87"/>
      <c r="O313" s="87"/>
      <c r="P313" s="87"/>
    </row>
    <row r="314" spans="1:20" ht="15" customHeight="1">
      <c r="E314" s="166" t="str">
        <f>IF(F314="","",DBCS(【マスター】!D142))</f>
        <v/>
      </c>
      <c r="F314" s="166" t="str">
        <f>DBCS(【マスター】!E142)</f>
        <v/>
      </c>
      <c r="G314" s="166" t="str">
        <f>IF(F314="","",DBCS(【マスター】!F142))</f>
        <v/>
      </c>
      <c r="H314" s="166" t="str">
        <f>IF(G314="","",DBCS(【マスター】!G142))</f>
        <v/>
      </c>
      <c r="I314" s="166" t="str">
        <f>IF(H314="","",DBCS(【マスター】!H142))</f>
        <v/>
      </c>
      <c r="J314" s="166" t="str">
        <f>IF(I314="","",DBCS(【マスター】!I142))</f>
        <v/>
      </c>
      <c r="K314" s="166" t="str">
        <f>IF(J314="","",DBCS(【マスター】!J142))</f>
        <v/>
      </c>
      <c r="L314" s="87" t="str">
        <f>IF(【マスター】!E142=0,"","改訂")</f>
        <v/>
      </c>
      <c r="M314" s="87"/>
      <c r="N314" s="87"/>
      <c r="O314" s="87"/>
      <c r="P314" s="87"/>
    </row>
    <row r="315" spans="1:20" ht="15" customHeight="1">
      <c r="E315" s="166" t="str">
        <f>IF(F315="","",DBCS(【マスター】!D143))</f>
        <v/>
      </c>
      <c r="F315" s="166" t="str">
        <f>DBCS(【マスター】!E143)</f>
        <v/>
      </c>
      <c r="G315" s="166" t="str">
        <f>IF(F315="","",DBCS(【マスター】!F143))</f>
        <v/>
      </c>
      <c r="H315" s="166" t="str">
        <f>IF(G315="","",DBCS(【マスター】!G143))</f>
        <v/>
      </c>
      <c r="I315" s="166" t="str">
        <f>IF(H315="","",DBCS(【マスター】!H143))</f>
        <v/>
      </c>
      <c r="J315" s="166" t="str">
        <f>IF(I315="","",DBCS(【マスター】!I143))</f>
        <v/>
      </c>
      <c r="K315" s="166" t="str">
        <f>IF(J315="","",DBCS(【マスター】!J143))</f>
        <v/>
      </c>
      <c r="L315" s="87" t="str">
        <f>IF(【マスター】!E143=0,"","改訂")</f>
        <v/>
      </c>
      <c r="M315" s="87"/>
      <c r="N315" s="87"/>
      <c r="O315" s="87"/>
      <c r="P315" s="87"/>
    </row>
    <row r="316" spans="1:20" ht="15" customHeight="1">
      <c r="E316" s="166" t="str">
        <f>IF(F316="","",DBCS(【マスター】!D144))</f>
        <v/>
      </c>
      <c r="F316" s="166" t="str">
        <f>DBCS(【マスター】!E144)</f>
        <v/>
      </c>
      <c r="G316" s="166" t="str">
        <f>IF(F316="","",DBCS(【マスター】!F144))</f>
        <v/>
      </c>
      <c r="H316" s="166" t="str">
        <f>IF(G316="","",DBCS(【マスター】!G144))</f>
        <v/>
      </c>
      <c r="I316" s="166" t="str">
        <f>IF(H316="","",DBCS(【マスター】!H144))</f>
        <v/>
      </c>
      <c r="J316" s="166" t="str">
        <f>IF(I316="","",DBCS(【マスター】!I144))</f>
        <v/>
      </c>
      <c r="K316" s="166" t="str">
        <f>IF(J316="","",DBCS(【マスター】!J144))</f>
        <v/>
      </c>
      <c r="L316" s="87" t="str">
        <f>IF(【マスター】!E144=0,"","改訂")</f>
        <v/>
      </c>
      <c r="M316" s="87"/>
      <c r="N316" s="87"/>
      <c r="O316" s="87"/>
      <c r="P316" s="87"/>
    </row>
    <row r="317" spans="1:20" ht="15" customHeight="1">
      <c r="E317" s="166" t="str">
        <f>IF(F317="","",DBCS(【マスター】!D145))</f>
        <v/>
      </c>
      <c r="F317" s="166" t="str">
        <f>DBCS(【マスター】!E145)</f>
        <v/>
      </c>
      <c r="G317" s="166" t="str">
        <f>IF(F317="","",DBCS(【マスター】!F145))</f>
        <v/>
      </c>
      <c r="H317" s="166" t="str">
        <f>IF(G317="","",DBCS(【マスター】!G145))</f>
        <v/>
      </c>
      <c r="I317" s="166" t="str">
        <f>IF(H317="","",DBCS(【マスター】!H145))</f>
        <v/>
      </c>
      <c r="J317" s="166" t="str">
        <f>IF(I317="","",DBCS(【マスター】!I145))</f>
        <v/>
      </c>
      <c r="K317" s="166" t="str">
        <f>IF(J317="","",DBCS(【マスター】!J145))</f>
        <v/>
      </c>
      <c r="L317" s="87" t="str">
        <f>IF(【マスター】!E145=0,"","改訂")</f>
        <v/>
      </c>
      <c r="M317" s="87"/>
      <c r="N317" s="87"/>
      <c r="O317" s="87"/>
      <c r="P317" s="87"/>
    </row>
    <row r="318" spans="1:20" ht="15" customHeight="1">
      <c r="E318" s="166" t="str">
        <f>IF(F318="","",DBCS(【マスター】!D146))</f>
        <v/>
      </c>
      <c r="F318" s="166" t="str">
        <f>DBCS(【マスター】!E146)</f>
        <v/>
      </c>
      <c r="G318" s="166" t="str">
        <f>IF(F318="","",DBCS(【マスター】!F146))</f>
        <v/>
      </c>
      <c r="H318" s="166" t="str">
        <f>IF(G318="","",DBCS(【マスター】!G146))</f>
        <v/>
      </c>
      <c r="I318" s="166" t="str">
        <f>IF(H318="","",DBCS(【マスター】!H146))</f>
        <v/>
      </c>
      <c r="J318" s="166" t="str">
        <f>IF(I318="","",DBCS(【マスター】!I146))</f>
        <v/>
      </c>
      <c r="K318" s="166" t="str">
        <f>IF(J318="","",DBCS(【マスター】!J146))</f>
        <v/>
      </c>
      <c r="L318" s="87" t="str">
        <f>IF(【マスター】!E146=0,"","改訂")</f>
        <v/>
      </c>
      <c r="M318" s="87"/>
      <c r="N318" s="87"/>
      <c r="O318" s="87"/>
      <c r="P318" s="87"/>
    </row>
    <row r="319" spans="1:20" ht="15" customHeight="1">
      <c r="E319" s="166" t="str">
        <f>IF(F319="","",DBCS(【マスター】!D147))</f>
        <v/>
      </c>
      <c r="F319" s="166" t="str">
        <f>DBCS(【マスター】!E147)</f>
        <v/>
      </c>
      <c r="G319" s="166" t="str">
        <f>IF(F319="","",DBCS(【マスター】!F147))</f>
        <v/>
      </c>
      <c r="H319" s="166" t="str">
        <f>IF(G319="","",DBCS(【マスター】!G147))</f>
        <v/>
      </c>
      <c r="I319" s="166" t="str">
        <f>IF(H319="","",DBCS(【マスター】!H147))</f>
        <v/>
      </c>
      <c r="J319" s="166" t="str">
        <f>IF(I319="","",DBCS(【マスター】!I147))</f>
        <v/>
      </c>
      <c r="K319" s="166" t="str">
        <f>IF(J319="","",DBCS(【マスター】!J147))</f>
        <v/>
      </c>
      <c r="L319" s="87" t="str">
        <f>IF(【マスター】!E147=0,"","改訂")</f>
        <v/>
      </c>
      <c r="M319" s="87"/>
      <c r="N319" s="87"/>
      <c r="O319" s="87"/>
      <c r="P319" s="87"/>
    </row>
    <row r="320" spans="1:20" ht="15" customHeight="1">
      <c r="E320" s="166" t="str">
        <f>IF(F320="","",DBCS(【マスター】!D148))</f>
        <v/>
      </c>
      <c r="F320" s="166" t="str">
        <f>DBCS(【マスター】!E148)</f>
        <v/>
      </c>
      <c r="G320" s="166" t="str">
        <f>IF(F320="","",DBCS(【マスター】!F148))</f>
        <v/>
      </c>
      <c r="H320" s="166" t="str">
        <f>IF(G320="","",DBCS(【マスター】!G148))</f>
        <v/>
      </c>
      <c r="I320" s="166" t="str">
        <f>IF(H320="","",DBCS(【マスター】!H148))</f>
        <v/>
      </c>
      <c r="J320" s="166" t="str">
        <f>IF(I320="","",DBCS(【マスター】!I148))</f>
        <v/>
      </c>
      <c r="K320" s="166" t="str">
        <f>IF(J320="","",DBCS(【マスター】!J148))</f>
        <v/>
      </c>
      <c r="L320" s="87" t="str">
        <f>IF(【マスター】!E148=0,"","改訂")</f>
        <v/>
      </c>
      <c r="M320" s="87"/>
      <c r="N320" s="87"/>
      <c r="O320" s="87"/>
      <c r="P320" s="94"/>
    </row>
    <row r="321" spans="5:16" ht="15" customHeight="1">
      <c r="E321" s="166" t="str">
        <f>IF(F321="","",DBCS(【マスター】!D149))</f>
        <v/>
      </c>
      <c r="F321" s="166" t="str">
        <f>DBCS(【マスター】!E149)</f>
        <v/>
      </c>
      <c r="G321" s="166" t="str">
        <f>IF(F321="","",DBCS(【マスター】!F149))</f>
        <v/>
      </c>
      <c r="H321" s="166" t="str">
        <f>IF(G321="","",DBCS(【マスター】!G149))</f>
        <v/>
      </c>
      <c r="I321" s="166" t="str">
        <f>IF(H321="","",DBCS(【マスター】!H149))</f>
        <v/>
      </c>
      <c r="J321" s="166" t="str">
        <f>IF(I321="","",DBCS(【マスター】!I149))</f>
        <v/>
      </c>
      <c r="K321" s="166" t="str">
        <f>IF(J321="","",DBCS(【マスター】!J149))</f>
        <v/>
      </c>
      <c r="L321" s="87" t="str">
        <f>IF(【マスター】!E149=0,"","改訂")</f>
        <v/>
      </c>
      <c r="M321" s="87"/>
      <c r="N321" s="87"/>
      <c r="O321" s="87"/>
      <c r="P321" s="94"/>
    </row>
    <row r="322" spans="5:16" ht="15" customHeight="1">
      <c r="E322" s="166" t="str">
        <f>IF(F322="","",DBCS(【マスター】!D150))</f>
        <v/>
      </c>
      <c r="F322" s="166" t="str">
        <f>DBCS(【マスター】!E150)</f>
        <v/>
      </c>
      <c r="G322" s="166" t="str">
        <f>IF(F322="","",DBCS(【マスター】!F150))</f>
        <v/>
      </c>
      <c r="H322" s="166" t="str">
        <f>IF(G322="","",DBCS(【マスター】!G150))</f>
        <v/>
      </c>
      <c r="I322" s="166" t="str">
        <f>IF(H322="","",DBCS(【マスター】!H150))</f>
        <v/>
      </c>
      <c r="J322" s="166" t="str">
        <f>IF(I322="","",DBCS(【マスター】!I150))</f>
        <v/>
      </c>
      <c r="K322" s="166" t="str">
        <f>IF(J322="","",DBCS(【マスター】!J150))</f>
        <v/>
      </c>
      <c r="L322" s="87" t="str">
        <f>IF(【マスター】!E150=0,"","改訂")</f>
        <v/>
      </c>
      <c r="M322" s="87"/>
      <c r="N322" s="87"/>
      <c r="O322" s="87"/>
      <c r="P322" s="94"/>
    </row>
    <row r="323" spans="5:16" ht="15" customHeight="1">
      <c r="E323" s="166" t="str">
        <f>IF(F323="","",DBCS(【マスター】!D151))</f>
        <v/>
      </c>
      <c r="F323" s="166" t="str">
        <f>DBCS(【マスター】!E151)</f>
        <v/>
      </c>
      <c r="G323" s="166" t="str">
        <f>IF(F323="","",DBCS(【マスター】!F151))</f>
        <v/>
      </c>
      <c r="H323" s="166" t="str">
        <f>IF(G323="","",DBCS(【マスター】!G151))</f>
        <v/>
      </c>
      <c r="I323" s="166" t="str">
        <f>IF(H323="","",DBCS(【マスター】!H151))</f>
        <v/>
      </c>
      <c r="J323" s="166" t="str">
        <f>IF(I323="","",DBCS(【マスター】!I151))</f>
        <v/>
      </c>
      <c r="K323" s="166" t="str">
        <f>IF(J323="","",DBCS(【マスター】!J151))</f>
        <v/>
      </c>
      <c r="L323" s="87" t="str">
        <f>IF(【マスター】!E151=0,"","改訂")</f>
        <v/>
      </c>
      <c r="M323" s="87"/>
      <c r="N323" s="87"/>
      <c r="O323" s="87"/>
      <c r="P323" s="94"/>
    </row>
    <row r="324" spans="5:16" ht="15" customHeight="1">
      <c r="E324" s="166" t="str">
        <f>IF(F324="","",DBCS(【マスター】!D152))</f>
        <v/>
      </c>
      <c r="F324" s="166" t="str">
        <f>DBCS(【マスター】!E152)</f>
        <v/>
      </c>
      <c r="G324" s="166" t="str">
        <f>IF(F324="","",DBCS(【マスター】!F152))</f>
        <v/>
      </c>
      <c r="H324" s="166" t="str">
        <f>IF(G324="","",DBCS(【マスター】!G152))</f>
        <v/>
      </c>
      <c r="I324" s="166" t="str">
        <f>IF(H324="","",DBCS(【マスター】!H152))</f>
        <v/>
      </c>
      <c r="J324" s="166" t="str">
        <f>IF(I324="","",DBCS(【マスター】!I152))</f>
        <v/>
      </c>
      <c r="K324" s="166" t="str">
        <f>IF(J324="","",DBCS(【マスター】!J152))</f>
        <v/>
      </c>
      <c r="L324" s="87" t="str">
        <f>IF(【マスター】!E152=0,"","改訂")</f>
        <v/>
      </c>
      <c r="M324" s="87"/>
      <c r="N324" s="87"/>
      <c r="O324" s="87"/>
      <c r="P324" s="94"/>
    </row>
    <row r="325" spans="5:16" ht="15" customHeight="1">
      <c r="E325" s="166" t="str">
        <f>IF(F325="","",DBCS(【マスター】!D153))</f>
        <v/>
      </c>
      <c r="F325" s="166" t="str">
        <f>DBCS(【マスター】!E153)</f>
        <v/>
      </c>
      <c r="G325" s="166" t="str">
        <f>IF(F325="","",DBCS(【マスター】!F153))</f>
        <v/>
      </c>
      <c r="H325" s="166" t="str">
        <f>IF(G325="","",DBCS(【マスター】!G153))</f>
        <v/>
      </c>
      <c r="I325" s="166" t="str">
        <f>IF(H325="","",DBCS(【マスター】!H153))</f>
        <v/>
      </c>
      <c r="J325" s="166" t="str">
        <f>IF(I325="","",DBCS(【マスター】!I153))</f>
        <v/>
      </c>
      <c r="K325" s="166" t="str">
        <f>IF(J325="","",DBCS(【マスター】!J153))</f>
        <v/>
      </c>
      <c r="L325" s="87" t="str">
        <f>IF(【マスター】!E153=0,"","改訂")</f>
        <v/>
      </c>
      <c r="M325" s="87"/>
      <c r="N325" s="87"/>
      <c r="O325" s="87"/>
    </row>
    <row r="326" spans="5:16" ht="15" customHeight="1">
      <c r="E326" s="166" t="str">
        <f>IF(F326="","",DBCS(【マスター】!D154))</f>
        <v/>
      </c>
      <c r="F326" s="166" t="str">
        <f>DBCS(【マスター】!E154)</f>
        <v/>
      </c>
      <c r="G326" s="166" t="str">
        <f>IF(F326="","",DBCS(【マスター】!F154))</f>
        <v/>
      </c>
      <c r="H326" s="166" t="str">
        <f>IF(G326="","",DBCS(【マスター】!G154))</f>
        <v/>
      </c>
      <c r="I326" s="166" t="str">
        <f>IF(H326="","",DBCS(【マスター】!H154))</f>
        <v/>
      </c>
      <c r="J326" s="166" t="str">
        <f>IF(I326="","",DBCS(【マスター】!I154))</f>
        <v/>
      </c>
      <c r="K326" s="166" t="str">
        <f>IF(J326="","",DBCS(【マスター】!J154))</f>
        <v/>
      </c>
      <c r="L326" s="87" t="str">
        <f>IF(【マスター】!E154=0,"","改訂")</f>
        <v/>
      </c>
      <c r="M326" s="87"/>
      <c r="N326" s="87"/>
      <c r="O326" s="87"/>
    </row>
    <row r="327" spans="5:16" ht="15" customHeight="1">
      <c r="E327" s="166" t="str">
        <f>IF(F327="","",DBCS(【マスター】!D155))</f>
        <v/>
      </c>
      <c r="F327" s="166" t="str">
        <f>DBCS(【マスター】!E155)</f>
        <v/>
      </c>
      <c r="G327" s="166" t="str">
        <f>IF(F327="","",DBCS(【マスター】!F155))</f>
        <v/>
      </c>
      <c r="H327" s="166" t="str">
        <f>IF(G327="","",DBCS(【マスター】!G155))</f>
        <v/>
      </c>
      <c r="I327" s="166" t="str">
        <f>IF(H327="","",DBCS(【マスター】!H155))</f>
        <v/>
      </c>
      <c r="J327" s="166" t="str">
        <f>IF(I327="","",DBCS(【マスター】!I155))</f>
        <v/>
      </c>
      <c r="K327" s="166" t="str">
        <f>IF(J327="","",DBCS(【マスター】!J155))</f>
        <v/>
      </c>
      <c r="L327" s="87" t="str">
        <f>IF(【マスター】!E155=0,"","改訂")</f>
        <v/>
      </c>
      <c r="M327" s="87"/>
      <c r="N327" s="87"/>
      <c r="O327" s="87"/>
    </row>
    <row r="328" spans="5:16" ht="15" customHeight="1">
      <c r="E328" s="166" t="str">
        <f>IF(F328="","",DBCS(【マスター】!D156))</f>
        <v/>
      </c>
      <c r="F328" s="166" t="str">
        <f>DBCS(【マスター】!E156)</f>
        <v/>
      </c>
      <c r="G328" s="166" t="str">
        <f>IF(F328="","",DBCS(【マスター】!F156))</f>
        <v/>
      </c>
      <c r="H328" s="166" t="str">
        <f>IF(G328="","",DBCS(【マスター】!G156))</f>
        <v/>
      </c>
      <c r="I328" s="166" t="str">
        <f>IF(H328="","",DBCS(【マスター】!H156))</f>
        <v/>
      </c>
      <c r="J328" s="166" t="str">
        <f>IF(I328="","",DBCS(【マスター】!I156))</f>
        <v/>
      </c>
      <c r="K328" s="166" t="str">
        <f>IF(J328="","",DBCS(【マスター】!J156))</f>
        <v/>
      </c>
      <c r="L328" s="87" t="str">
        <f>IF(【マスター】!E156=0,"","改訂")</f>
        <v/>
      </c>
      <c r="M328" s="87"/>
      <c r="N328" s="87"/>
      <c r="O328" s="87"/>
    </row>
    <row r="329" spans="5:16" ht="15" customHeight="1">
      <c r="E329" s="166" t="str">
        <f>IF(F329="","",DBCS(【マスター】!D157))</f>
        <v/>
      </c>
      <c r="F329" s="166" t="str">
        <f>DBCS(【マスター】!E157)</f>
        <v/>
      </c>
      <c r="G329" s="166" t="str">
        <f>IF(F329="","",DBCS(【マスター】!F157))</f>
        <v/>
      </c>
      <c r="H329" s="166" t="str">
        <f>IF(G329="","",DBCS(【マスター】!G157))</f>
        <v/>
      </c>
      <c r="I329" s="166" t="str">
        <f>IF(H329="","",DBCS(【マスター】!H157))</f>
        <v/>
      </c>
      <c r="J329" s="166" t="str">
        <f>IF(I329="","",DBCS(【マスター】!I157))</f>
        <v/>
      </c>
      <c r="K329" s="166" t="str">
        <f>IF(J329="","",DBCS(【マスター】!J157))</f>
        <v/>
      </c>
      <c r="L329" s="87" t="str">
        <f>IF(【マスター】!E157=0,"","改訂")</f>
        <v/>
      </c>
      <c r="M329" s="87"/>
      <c r="N329" s="87"/>
      <c r="O329" s="87"/>
    </row>
    <row r="330" spans="5:16" ht="15" customHeight="1">
      <c r="E330" s="166" t="str">
        <f>IF(F330="","",DBCS(【マスター】!D158))</f>
        <v/>
      </c>
      <c r="F330" s="166" t="str">
        <f>DBCS(【マスター】!E158)</f>
        <v/>
      </c>
      <c r="G330" s="166" t="str">
        <f>IF(F330="","",DBCS(【マスター】!F158))</f>
        <v/>
      </c>
      <c r="H330" s="166" t="str">
        <f>IF(G330="","",DBCS(【マスター】!G158))</f>
        <v/>
      </c>
      <c r="I330" s="166" t="str">
        <f>IF(H330="","",DBCS(【マスター】!H158))</f>
        <v/>
      </c>
      <c r="J330" s="166" t="str">
        <f>IF(I330="","",DBCS(【マスター】!I158))</f>
        <v/>
      </c>
      <c r="K330" s="166" t="str">
        <f>IF(J330="","",DBCS(【マスター】!J158))</f>
        <v/>
      </c>
      <c r="L330" s="87" t="str">
        <f>IF(【マスター】!E158=0,"","改訂")</f>
        <v/>
      </c>
      <c r="M330" s="87"/>
      <c r="N330" s="87"/>
      <c r="O330" s="87"/>
    </row>
    <row r="331" spans="5:16" ht="15" customHeight="1">
      <c r="E331" s="166" t="str">
        <f>DBCS(【マスター】!E181)</f>
        <v/>
      </c>
      <c r="F331" s="167" t="str">
        <f>DBCS(IF(【マスター】!E181="","",【マスター】!F181))</f>
        <v/>
      </c>
      <c r="G331" s="166" t="str">
        <f>DBCS(IF(【マスター】!E181="","",【マスター】!G181))</f>
        <v/>
      </c>
      <c r="H331" s="167" t="str">
        <f>DBCS(IF(【マスター】!E181="","",【マスター】!H181))</f>
        <v/>
      </c>
      <c r="I331" s="166" t="str">
        <f>DBCS(IF(【マスター】!E181="","",【マスター】!I181))</f>
        <v/>
      </c>
      <c r="J331" s="167" t="str">
        <f>DBCS(IF(【マスター】!E181="","",【マスター】!J181))</f>
        <v/>
      </c>
      <c r="K331" s="166" t="str">
        <f>DBCS(IF(【マスター】!E181="","",【マスター】!K181))</f>
        <v/>
      </c>
      <c r="L331" s="267" t="str">
        <f>IF(【マスター】!E159=0,"","改訂")</f>
        <v/>
      </c>
      <c r="M331" s="87"/>
      <c r="N331" s="87"/>
      <c r="O331" s="87"/>
    </row>
    <row r="332" spans="5:16" ht="15" customHeight="1">
      <c r="E332" s="166" t="str">
        <f>DBCS(【マスター】!E182)</f>
        <v/>
      </c>
      <c r="F332" s="167" t="str">
        <f>DBCS(IF(【マスター】!E182="","",【マスター】!F182))</f>
        <v/>
      </c>
      <c r="G332" s="166" t="str">
        <f>DBCS(IF(【マスター】!E182="","",【マスター】!G182))</f>
        <v/>
      </c>
      <c r="H332" s="167" t="str">
        <f>DBCS(IF(【マスター】!E182="","",【マスター】!H182))</f>
        <v/>
      </c>
      <c r="I332" s="166" t="str">
        <f>DBCS(IF(【マスター】!E182="","",【マスター】!I182))</f>
        <v/>
      </c>
      <c r="J332" s="167" t="str">
        <f>DBCS(IF(【マスター】!E182="","",【マスター】!J182))</f>
        <v/>
      </c>
      <c r="K332" s="166" t="str">
        <f>DBCS(IF(【マスター】!E182="","",【マスター】!K182))</f>
        <v/>
      </c>
      <c r="L332" s="267" t="str">
        <f>IF(【マスター】!E160=0,"","改訂")</f>
        <v/>
      </c>
      <c r="M332" s="87"/>
      <c r="N332" s="87"/>
      <c r="O332" s="87"/>
    </row>
    <row r="333" spans="5:16" ht="15" customHeight="1">
      <c r="E333" s="166" t="str">
        <f>DBCS(【マスター】!E183)</f>
        <v/>
      </c>
      <c r="F333" s="167" t="str">
        <f>DBCS(IF(【マスター】!E183="","",【マスター】!F183))</f>
        <v/>
      </c>
      <c r="G333" s="166" t="str">
        <f>DBCS(IF(【マスター】!E183="","",【マスター】!G183))</f>
        <v/>
      </c>
      <c r="H333" s="167" t="str">
        <f>DBCS(IF(【マスター】!E183="","",【マスター】!H183))</f>
        <v/>
      </c>
      <c r="I333" s="166" t="str">
        <f>DBCS(IF(【マスター】!E183="","",【マスター】!I183))</f>
        <v/>
      </c>
      <c r="J333" s="167" t="str">
        <f>DBCS(IF(【マスター】!E183="","",【マスター】!J183))</f>
        <v/>
      </c>
      <c r="K333" s="166" t="str">
        <f>DBCS(IF(【マスター】!E183="","",【マスター】!K183))</f>
        <v/>
      </c>
      <c r="L333" s="267" t="str">
        <f>IF(【マスター】!E161=0,"","改訂")</f>
        <v/>
      </c>
      <c r="M333" s="87"/>
      <c r="N333" s="87"/>
      <c r="O333" s="87"/>
    </row>
    <row r="334" spans="5:16" ht="15" customHeight="1">
      <c r="E334" s="166" t="str">
        <f>DBCS(【マスター】!E184)</f>
        <v/>
      </c>
      <c r="F334" s="167" t="str">
        <f>DBCS(IF(【マスター】!E184="","",【マスター】!F184))</f>
        <v/>
      </c>
      <c r="G334" s="166" t="str">
        <f>DBCS(IF(【マスター】!E184="","",【マスター】!G184))</f>
        <v/>
      </c>
      <c r="H334" s="167" t="str">
        <f>DBCS(IF(【マスター】!E184="","",【マスター】!H184))</f>
        <v/>
      </c>
      <c r="I334" s="166" t="str">
        <f>DBCS(IF(【マスター】!E184="","",【マスター】!I184))</f>
        <v/>
      </c>
      <c r="J334" s="167" t="str">
        <f>DBCS(IF(【マスター】!E184="","",【マスター】!J184))</f>
        <v/>
      </c>
      <c r="K334" s="166" t="str">
        <f>DBCS(IF(【マスター】!E184="","",【マスター】!K184))</f>
        <v/>
      </c>
      <c r="L334" s="87" t="str">
        <f>IF(【マスター】!E184=0,"","改訂")</f>
        <v/>
      </c>
      <c r="M334" s="87"/>
      <c r="N334" s="87"/>
      <c r="O334" s="87"/>
    </row>
    <row r="335" spans="5:16" ht="15" customHeight="1">
      <c r="E335" s="166" t="str">
        <f>DBCS(【マスター】!E185)</f>
        <v/>
      </c>
      <c r="F335" s="167" t="str">
        <f>DBCS(IF(【マスター】!E185="","",【マスター】!F185))</f>
        <v/>
      </c>
      <c r="G335" s="166" t="str">
        <f>DBCS(IF(【マスター】!E185="","",【マスター】!G185))</f>
        <v/>
      </c>
      <c r="H335" s="167" t="str">
        <f>DBCS(IF(【マスター】!E185="","",【マスター】!H185))</f>
        <v/>
      </c>
      <c r="I335" s="166" t="str">
        <f>DBCS(IF(【マスター】!E185="","",【マスター】!I185))</f>
        <v/>
      </c>
      <c r="J335" s="167" t="str">
        <f>DBCS(IF(【マスター】!E185="","",【マスター】!J185))</f>
        <v/>
      </c>
      <c r="K335" s="166" t="str">
        <f>DBCS(IF(【マスター】!E185="","",【マスター】!K185))</f>
        <v/>
      </c>
      <c r="L335" s="87" t="str">
        <f>IF(【マスター】!E185=0,"","改訂")</f>
        <v/>
      </c>
      <c r="M335" s="87"/>
      <c r="N335" s="87"/>
      <c r="O335" s="87"/>
    </row>
    <row r="336" spans="5:16" ht="15" customHeight="1">
      <c r="E336" s="166" t="str">
        <f>DBCS(【マスター】!E186)</f>
        <v/>
      </c>
      <c r="F336" s="167" t="str">
        <f>DBCS(IF(【マスター】!E186="","",【マスター】!F186))</f>
        <v/>
      </c>
      <c r="G336" s="166" t="str">
        <f>DBCS(IF(【マスター】!E186="","",【マスター】!G186))</f>
        <v/>
      </c>
      <c r="H336" s="167" t="str">
        <f>DBCS(IF(【マスター】!E186="","",【マスター】!H186))</f>
        <v/>
      </c>
      <c r="I336" s="166" t="str">
        <f>DBCS(IF(【マスター】!E186="","",【マスター】!I186))</f>
        <v/>
      </c>
      <c r="J336" s="167" t="str">
        <f>DBCS(IF(【マスター】!E186="","",【マスター】!J186))</f>
        <v/>
      </c>
      <c r="K336" s="166" t="str">
        <f>DBCS(IF(【マスター】!E186="","",【マスター】!K186))</f>
        <v/>
      </c>
      <c r="L336" s="87" t="str">
        <f>IF(【マスター】!E186=0,"","改訂")</f>
        <v/>
      </c>
      <c r="M336" s="87"/>
      <c r="N336" s="87"/>
      <c r="O336" s="87"/>
    </row>
    <row r="337" spans="5:15" ht="15" customHeight="1">
      <c r="E337" s="166" t="str">
        <f>DBCS(【マスター】!E187)</f>
        <v/>
      </c>
      <c r="F337" s="167" t="str">
        <f>DBCS(IF(【マスター】!E187="","",【マスター】!F187))</f>
        <v/>
      </c>
      <c r="G337" s="166" t="str">
        <f>DBCS(IF(【マスター】!E187="","",【マスター】!G187))</f>
        <v/>
      </c>
      <c r="H337" s="167" t="str">
        <f>DBCS(IF(【マスター】!E187="","",【マスター】!H187))</f>
        <v/>
      </c>
      <c r="I337" s="166" t="str">
        <f>DBCS(IF(【マスター】!E187="","",【マスター】!I187))</f>
        <v/>
      </c>
      <c r="J337" s="167" t="str">
        <f>DBCS(IF(【マスター】!E187="","",【マスター】!J187))</f>
        <v/>
      </c>
      <c r="K337" s="166" t="str">
        <f>DBCS(IF(【マスター】!E187="","",【マスター】!K187))</f>
        <v/>
      </c>
      <c r="L337" s="87" t="str">
        <f>IF(【マスター】!E187=0,"","改訂")</f>
        <v/>
      </c>
      <c r="M337" s="87"/>
      <c r="N337" s="87"/>
      <c r="O337" s="87"/>
    </row>
    <row r="338" spans="5:15">
      <c r="E338" s="166" t="str">
        <f>DBCS(【マスター】!E188)</f>
        <v/>
      </c>
      <c r="F338" s="167" t="str">
        <f>DBCS(IF(【マスター】!E188="","",【マスター】!F188))</f>
        <v/>
      </c>
      <c r="G338" s="166" t="str">
        <f>DBCS(IF(【マスター】!E188="","",【マスター】!G188))</f>
        <v/>
      </c>
      <c r="H338" s="167" t="str">
        <f>DBCS(IF(【マスター】!E188="","",【マスター】!H188))</f>
        <v/>
      </c>
      <c r="I338" s="166" t="str">
        <f>DBCS(IF(【マスター】!E188="","",【マスター】!I188))</f>
        <v/>
      </c>
      <c r="J338" s="167" t="str">
        <f>DBCS(IF(【マスター】!E188="","",【マスター】!J188))</f>
        <v/>
      </c>
      <c r="K338" s="166" t="str">
        <f>DBCS(IF(【マスター】!E188="","",【マスター】!K188))</f>
        <v/>
      </c>
      <c r="L338" s="87" t="str">
        <f>IF(【マスター】!E188=0,"","改訂")</f>
        <v/>
      </c>
      <c r="M338" s="87"/>
      <c r="N338" s="87"/>
      <c r="O338" s="87"/>
    </row>
  </sheetData>
  <sheetProtection selectLockedCells="1"/>
  <mergeCells count="109">
    <mergeCell ref="B271:C271"/>
    <mergeCell ref="C272:T274"/>
    <mergeCell ref="C275:T276"/>
    <mergeCell ref="C277:T278"/>
    <mergeCell ref="C235:T238"/>
    <mergeCell ref="C261:T263"/>
    <mergeCell ref="C267:T268"/>
    <mergeCell ref="B269:C269"/>
    <mergeCell ref="B270:C270"/>
    <mergeCell ref="C241:T242"/>
    <mergeCell ref="C243:T244"/>
    <mergeCell ref="C246:T247"/>
    <mergeCell ref="C248:T249"/>
    <mergeCell ref="C250:T251"/>
    <mergeCell ref="C252:T253"/>
    <mergeCell ref="C254:T256"/>
    <mergeCell ref="C257:T258"/>
    <mergeCell ref="B226:C226"/>
    <mergeCell ref="C227:T229"/>
    <mergeCell ref="C232:T234"/>
    <mergeCell ref="C198:T200"/>
    <mergeCell ref="C203:T205"/>
    <mergeCell ref="C215:T217"/>
    <mergeCell ref="C218:T220"/>
    <mergeCell ref="C223:T223"/>
    <mergeCell ref="B224:C224"/>
    <mergeCell ref="B225:C225"/>
    <mergeCell ref="C206:T206"/>
    <mergeCell ref="C207:T209"/>
    <mergeCell ref="C210:T212"/>
    <mergeCell ref="C196:T197"/>
    <mergeCell ref="C157:T157"/>
    <mergeCell ref="D158:S158"/>
    <mergeCell ref="C161:T162"/>
    <mergeCell ref="C165:T168"/>
    <mergeCell ref="C169:T170"/>
    <mergeCell ref="C171:T173"/>
    <mergeCell ref="C174:T175"/>
    <mergeCell ref="C179:T180"/>
    <mergeCell ref="C188:T189"/>
    <mergeCell ref="C190:T191"/>
    <mergeCell ref="C192:T193"/>
    <mergeCell ref="C176:T176"/>
    <mergeCell ref="C153:T154"/>
    <mergeCell ref="C111:T113"/>
    <mergeCell ref="C114:T115"/>
    <mergeCell ref="C116:T117"/>
    <mergeCell ref="C120:T122"/>
    <mergeCell ref="C126:T128"/>
    <mergeCell ref="C129:T131"/>
    <mergeCell ref="C141:T143"/>
    <mergeCell ref="C144:T145"/>
    <mergeCell ref="C146:T147"/>
    <mergeCell ref="C148:T149"/>
    <mergeCell ref="C150:T152"/>
    <mergeCell ref="H135:I135"/>
    <mergeCell ref="C139:T140"/>
    <mergeCell ref="C133:T134"/>
    <mergeCell ref="C123:T123"/>
    <mergeCell ref="C106:T108"/>
    <mergeCell ref="B85:C85"/>
    <mergeCell ref="D86:T87"/>
    <mergeCell ref="B88:C88"/>
    <mergeCell ref="D89:T91"/>
    <mergeCell ref="D92:T92"/>
    <mergeCell ref="B93:C93"/>
    <mergeCell ref="D94:T95"/>
    <mergeCell ref="B97:C97"/>
    <mergeCell ref="D98:T98"/>
    <mergeCell ref="C101:T103"/>
    <mergeCell ref="C104:T105"/>
    <mergeCell ref="D84:T84"/>
    <mergeCell ref="B55:C55"/>
    <mergeCell ref="B61:C61"/>
    <mergeCell ref="B62:C62"/>
    <mergeCell ref="B63:C63"/>
    <mergeCell ref="B64:C64"/>
    <mergeCell ref="J64:T64"/>
    <mergeCell ref="C72:T74"/>
    <mergeCell ref="B75:C75"/>
    <mergeCell ref="B78:C78"/>
    <mergeCell ref="D79:T80"/>
    <mergeCell ref="B82:C82"/>
    <mergeCell ref="D56:T57"/>
    <mergeCell ref="D53:T54"/>
    <mergeCell ref="B36:C36"/>
    <mergeCell ref="D36:E36"/>
    <mergeCell ref="F36:T36"/>
    <mergeCell ref="C39:T39"/>
    <mergeCell ref="B40:C40"/>
    <mergeCell ref="D41:T43"/>
    <mergeCell ref="B44:C44"/>
    <mergeCell ref="D45:T48"/>
    <mergeCell ref="B49:C49"/>
    <mergeCell ref="D50:T51"/>
    <mergeCell ref="B52:C52"/>
    <mergeCell ref="B35:C35"/>
    <mergeCell ref="D35:E35"/>
    <mergeCell ref="F35:T35"/>
    <mergeCell ref="A2:T3"/>
    <mergeCell ref="A4:T5"/>
    <mergeCell ref="C8:T12"/>
    <mergeCell ref="C15:T19"/>
    <mergeCell ref="C20:T20"/>
    <mergeCell ref="C21:T22"/>
    <mergeCell ref="C23:T25"/>
    <mergeCell ref="C26:T29"/>
    <mergeCell ref="C30:T31"/>
    <mergeCell ref="C34:T34"/>
  </mergeCells>
  <phoneticPr fontId="17"/>
  <printOptions horizontalCentered="1"/>
  <pageMargins left="0.70866141732283472" right="0.70866141732283472" top="0.55118110236220474" bottom="0.55118110236220474" header="0.31496062992125984" footer="0.31496062992125984"/>
  <pageSetup paperSize="9" scale="95" fitToHeight="0" orientation="portrait" r:id="rId1"/>
  <headerFooter>
    <oddFooter>&amp;L【通所介護】BMC&amp;C&amp;P</oddFooter>
  </headerFooter>
  <rowBreaks count="5" manualBreakCount="5">
    <brk id="57" max="19" man="1"/>
    <brk id="109" max="19" man="1"/>
    <brk id="163" max="19" man="1"/>
    <brk id="220" max="19" man="1"/>
    <brk id="265" max="1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FFFF00"/>
    <pageSetUpPr fitToPage="1"/>
  </sheetPr>
  <dimension ref="A1:AO105"/>
  <sheetViews>
    <sheetView workbookViewId="0"/>
  </sheetViews>
  <sheetFormatPr defaultColWidth="9" defaultRowHeight="12"/>
  <cols>
    <col min="1" max="1" width="4.625" style="116" customWidth="1"/>
    <col min="2" max="3" width="4.625" style="117" customWidth="1"/>
    <col min="4" max="20" width="4.625" style="116" customWidth="1"/>
    <col min="21" max="21" width="0" style="116" hidden="1" customWidth="1"/>
    <col min="22" max="32" width="4.625" style="116" customWidth="1"/>
    <col min="33" max="16384" width="9" style="116"/>
  </cols>
  <sheetData>
    <row r="1" spans="1:23" s="119" customFormat="1" ht="15" customHeight="1">
      <c r="A1" s="127"/>
      <c r="B1" s="127"/>
      <c r="C1" s="127"/>
      <c r="D1" s="127"/>
      <c r="E1" s="127"/>
      <c r="F1" s="127"/>
      <c r="G1" s="127"/>
      <c r="H1" s="127"/>
      <c r="I1" s="127"/>
      <c r="J1" s="127"/>
      <c r="K1" s="127"/>
      <c r="L1" s="127"/>
      <c r="M1" s="127"/>
      <c r="N1" s="127"/>
      <c r="O1" s="127"/>
      <c r="P1" s="127"/>
      <c r="Q1" s="127"/>
      <c r="R1" s="127"/>
      <c r="S1" s="127"/>
      <c r="T1" s="129"/>
    </row>
    <row r="2" spans="1:23" ht="15" customHeight="1">
      <c r="A2" s="2652" t="s">
        <v>904</v>
      </c>
      <c r="B2" s="2652"/>
      <c r="C2" s="2652"/>
      <c r="D2" s="2652"/>
      <c r="E2" s="2652"/>
      <c r="F2" s="2652"/>
      <c r="G2" s="2652"/>
      <c r="H2" s="2652"/>
      <c r="I2" s="2652"/>
      <c r="J2" s="2652"/>
      <c r="K2" s="2652"/>
      <c r="L2" s="2652"/>
      <c r="M2" s="2652"/>
      <c r="N2" s="2652"/>
      <c r="O2" s="2652"/>
      <c r="P2" s="2652"/>
      <c r="Q2" s="2652"/>
      <c r="R2" s="2652"/>
      <c r="S2" s="2652"/>
      <c r="T2" s="2652"/>
    </row>
    <row r="3" spans="1:23" ht="15" customHeight="1">
      <c r="A3" s="2652"/>
      <c r="B3" s="2652"/>
      <c r="C3" s="2652"/>
      <c r="D3" s="2652"/>
      <c r="E3" s="2652"/>
      <c r="F3" s="2652"/>
      <c r="G3" s="2652"/>
      <c r="H3" s="2652"/>
      <c r="I3" s="2652"/>
      <c r="J3" s="2652"/>
      <c r="K3" s="2652"/>
      <c r="L3" s="2652"/>
      <c r="M3" s="2652"/>
      <c r="N3" s="2652"/>
      <c r="O3" s="2652"/>
      <c r="P3" s="2652"/>
      <c r="Q3" s="2652"/>
      <c r="R3" s="2652"/>
      <c r="S3" s="2652"/>
      <c r="T3" s="2652"/>
      <c r="W3" s="479"/>
    </row>
    <row r="4" spans="1:23" s="119" customFormat="1" ht="15" customHeight="1">
      <c r="A4" s="119" t="s">
        <v>1439</v>
      </c>
      <c r="B4" s="120"/>
      <c r="C4" s="120"/>
    </row>
    <row r="5" spans="1:23" s="119" customFormat="1" ht="15" customHeight="1">
      <c r="B5" s="2653" t="str">
        <f>"　"&amp;【マスター】!C21&amp;"が開設する"&amp;【マスター】!C7&amp;【マスター】!E7&amp;"(以下「事業所」という。）が行う介護サポートサービスの事業（以下「事業」という。）の適正な運営を確保するために人員及び管理運営に関する事項を定め、事業所毎に置くべき従業者（以下「介護サポートサービス従業者」という。）が、要介護状態にある高齢者に対し、適正な指定介護サポートサービスを提供することを目的とします。"</f>
        <v>　株式会社ケアサポートが開設するデイサービスさつきの湯(以下「事業所」という。）が行う介護サポートサービスの事業（以下「事業」という。）の適正な運営を確保するために人員及び管理運営に関する事項を定め、事業所毎に置くべき従業者（以下「介護サポートサービス従業者」という。）が、要介護状態にある高齢者に対し、適正な指定介護サポートサービスを提供することを目的とします。</v>
      </c>
      <c r="C5" s="2653"/>
      <c r="D5" s="2653"/>
      <c r="E5" s="2653"/>
      <c r="F5" s="2653"/>
      <c r="G5" s="2653"/>
      <c r="H5" s="2653"/>
      <c r="I5" s="2653"/>
      <c r="J5" s="2653"/>
      <c r="K5" s="2653"/>
      <c r="L5" s="2653"/>
      <c r="M5" s="2653"/>
      <c r="N5" s="2653"/>
      <c r="O5" s="2653"/>
      <c r="P5" s="2653"/>
      <c r="Q5" s="2653"/>
      <c r="R5" s="2653"/>
      <c r="S5" s="2653"/>
      <c r="T5" s="2653"/>
      <c r="W5" s="480"/>
    </row>
    <row r="6" spans="1:23" s="119" customFormat="1" ht="15" customHeight="1">
      <c r="B6" s="2653"/>
      <c r="C6" s="2653"/>
      <c r="D6" s="2653"/>
      <c r="E6" s="2653"/>
      <c r="F6" s="2653"/>
      <c r="G6" s="2653"/>
      <c r="H6" s="2653"/>
      <c r="I6" s="2653"/>
      <c r="J6" s="2653"/>
      <c r="K6" s="2653"/>
      <c r="L6" s="2653"/>
      <c r="M6" s="2653"/>
      <c r="N6" s="2653"/>
      <c r="O6" s="2653"/>
      <c r="P6" s="2653"/>
      <c r="Q6" s="2653"/>
      <c r="R6" s="2653"/>
      <c r="S6" s="2653"/>
      <c r="T6" s="2653"/>
    </row>
    <row r="7" spans="1:23" s="119" customFormat="1" ht="15" customHeight="1">
      <c r="B7" s="2653"/>
      <c r="C7" s="2653"/>
      <c r="D7" s="2653"/>
      <c r="E7" s="2653"/>
      <c r="F7" s="2653"/>
      <c r="G7" s="2653"/>
      <c r="H7" s="2653"/>
      <c r="I7" s="2653"/>
      <c r="J7" s="2653"/>
      <c r="K7" s="2653"/>
      <c r="L7" s="2653"/>
      <c r="M7" s="2653"/>
      <c r="N7" s="2653"/>
      <c r="O7" s="2653"/>
      <c r="P7" s="2653"/>
      <c r="Q7" s="2653"/>
      <c r="R7" s="2653"/>
      <c r="S7" s="2653"/>
      <c r="T7" s="2653"/>
    </row>
    <row r="8" spans="1:23" s="119" customFormat="1" ht="15" customHeight="1">
      <c r="B8" s="2653"/>
      <c r="C8" s="2653"/>
      <c r="D8" s="2653"/>
      <c r="E8" s="2653"/>
      <c r="F8" s="2653"/>
      <c r="G8" s="2653"/>
      <c r="H8" s="2653"/>
      <c r="I8" s="2653"/>
      <c r="J8" s="2653"/>
      <c r="K8" s="2653"/>
      <c r="L8" s="2653"/>
      <c r="M8" s="2653"/>
      <c r="N8" s="2653"/>
      <c r="O8" s="2653"/>
      <c r="P8" s="2653"/>
      <c r="Q8" s="2653"/>
      <c r="R8" s="2653"/>
      <c r="S8" s="2653"/>
      <c r="T8" s="2653"/>
    </row>
    <row r="9" spans="1:23" s="119" customFormat="1" ht="15" customHeight="1">
      <c r="A9" s="119" t="s">
        <v>1440</v>
      </c>
      <c r="B9" s="120"/>
      <c r="C9" s="120"/>
    </row>
    <row r="10" spans="1:23" s="119" customFormat="1" ht="15" customHeight="1">
      <c r="B10" s="2653" t="s">
        <v>1606</v>
      </c>
      <c r="C10" s="2653"/>
      <c r="D10" s="2653"/>
      <c r="E10" s="2653"/>
      <c r="F10" s="2653"/>
      <c r="G10" s="2653"/>
      <c r="H10" s="2653"/>
      <c r="I10" s="2653"/>
      <c r="J10" s="2653"/>
      <c r="K10" s="2653"/>
      <c r="L10" s="2653"/>
      <c r="M10" s="2653"/>
      <c r="N10" s="2653"/>
      <c r="O10" s="2653"/>
      <c r="P10" s="2653"/>
      <c r="Q10" s="2653"/>
      <c r="R10" s="2653"/>
      <c r="S10" s="2653"/>
      <c r="T10" s="2653"/>
    </row>
    <row r="11" spans="1:23" s="119" customFormat="1" ht="15" customHeight="1">
      <c r="B11" s="2653"/>
      <c r="C11" s="2653"/>
      <c r="D11" s="2653"/>
      <c r="E11" s="2653"/>
      <c r="F11" s="2653"/>
      <c r="G11" s="2653"/>
      <c r="H11" s="2653"/>
      <c r="I11" s="2653"/>
      <c r="J11" s="2653"/>
      <c r="K11" s="2653"/>
      <c r="L11" s="2653"/>
      <c r="M11" s="2653"/>
      <c r="N11" s="2653"/>
      <c r="O11" s="2653"/>
      <c r="P11" s="2653"/>
      <c r="Q11" s="2653"/>
      <c r="R11" s="2653"/>
      <c r="S11" s="2653"/>
      <c r="T11" s="2653"/>
    </row>
    <row r="12" spans="1:23" s="119" customFormat="1" ht="15" customHeight="1">
      <c r="B12" s="2653"/>
      <c r="C12" s="2653"/>
      <c r="D12" s="2653"/>
      <c r="E12" s="2653"/>
      <c r="F12" s="2653"/>
      <c r="G12" s="2653"/>
      <c r="H12" s="2653"/>
      <c r="I12" s="2653"/>
      <c r="J12" s="2653"/>
      <c r="K12" s="2653"/>
      <c r="L12" s="2653"/>
      <c r="M12" s="2653"/>
      <c r="N12" s="2653"/>
      <c r="O12" s="2653"/>
      <c r="P12" s="2653"/>
      <c r="Q12" s="2653"/>
      <c r="R12" s="2653"/>
      <c r="S12" s="2653"/>
      <c r="T12" s="2653"/>
    </row>
    <row r="13" spans="1:23" s="119" customFormat="1" ht="15" customHeight="1">
      <c r="B13" s="2653"/>
      <c r="C13" s="2653"/>
      <c r="D13" s="2653"/>
      <c r="E13" s="2653"/>
      <c r="F13" s="2653"/>
      <c r="G13" s="2653"/>
      <c r="H13" s="2653"/>
      <c r="I13" s="2653"/>
      <c r="J13" s="2653"/>
      <c r="K13" s="2653"/>
      <c r="L13" s="2653"/>
      <c r="M13" s="2653"/>
      <c r="N13" s="2653"/>
      <c r="O13" s="2653"/>
      <c r="P13" s="2653"/>
      <c r="Q13" s="2653"/>
      <c r="R13" s="2653"/>
      <c r="S13" s="2653"/>
      <c r="T13" s="2653"/>
    </row>
    <row r="14" spans="1:23" s="119" customFormat="1" ht="15" customHeight="1">
      <c r="B14" s="2653" t="s">
        <v>1607</v>
      </c>
      <c r="C14" s="2653"/>
      <c r="D14" s="2653"/>
      <c r="E14" s="2653"/>
      <c r="F14" s="2653"/>
      <c r="G14" s="2653"/>
      <c r="H14" s="2653"/>
      <c r="I14" s="2653"/>
      <c r="J14" s="2653"/>
      <c r="K14" s="2653"/>
      <c r="L14" s="2653"/>
      <c r="M14" s="2653"/>
      <c r="N14" s="2653"/>
      <c r="O14" s="2653"/>
      <c r="P14" s="2653"/>
      <c r="Q14" s="2653"/>
      <c r="R14" s="2653"/>
      <c r="S14" s="2653"/>
      <c r="T14" s="2653"/>
    </row>
    <row r="15" spans="1:23" s="119" customFormat="1" ht="15" customHeight="1">
      <c r="B15" s="2653"/>
      <c r="C15" s="2653"/>
      <c r="D15" s="2653"/>
      <c r="E15" s="2653"/>
      <c r="F15" s="2653"/>
      <c r="G15" s="2653"/>
      <c r="H15" s="2653"/>
      <c r="I15" s="2653"/>
      <c r="J15" s="2653"/>
      <c r="K15" s="2653"/>
      <c r="L15" s="2653"/>
      <c r="M15" s="2653"/>
      <c r="N15" s="2653"/>
      <c r="O15" s="2653"/>
      <c r="P15" s="2653"/>
      <c r="Q15" s="2653"/>
      <c r="R15" s="2653"/>
      <c r="S15" s="2653"/>
      <c r="T15" s="2653"/>
    </row>
    <row r="16" spans="1:23" s="119" customFormat="1" ht="15" customHeight="1">
      <c r="A16" s="119" t="s">
        <v>1442</v>
      </c>
      <c r="B16" s="120"/>
      <c r="C16" s="120"/>
    </row>
    <row r="17" spans="1:23" s="119" customFormat="1" ht="15" customHeight="1">
      <c r="A17" s="116" t="s">
        <v>1608</v>
      </c>
      <c r="B17" s="117"/>
      <c r="C17" s="117"/>
      <c r="D17" s="116"/>
      <c r="E17" s="116"/>
      <c r="F17" s="116"/>
      <c r="G17" s="116"/>
      <c r="H17" s="116"/>
      <c r="I17" s="116"/>
      <c r="J17" s="116"/>
      <c r="K17" s="116"/>
      <c r="L17" s="116"/>
      <c r="M17" s="116"/>
      <c r="N17" s="116"/>
      <c r="O17" s="116"/>
      <c r="P17" s="116"/>
      <c r="Q17" s="116"/>
      <c r="R17" s="116"/>
      <c r="S17" s="116"/>
      <c r="T17" s="116"/>
    </row>
    <row r="18" spans="1:23" s="119" customFormat="1" ht="15" customHeight="1">
      <c r="A18" s="125"/>
      <c r="B18" s="2637" t="s">
        <v>300</v>
      </c>
      <c r="C18" s="2637"/>
      <c r="D18" s="2637"/>
      <c r="E18" s="2637"/>
      <c r="F18" s="2637"/>
      <c r="G18" s="121"/>
      <c r="H18" s="2654" t="str">
        <f>【マスター】!C21</f>
        <v>株式会社ケアサポート</v>
      </c>
      <c r="I18" s="2655"/>
      <c r="J18" s="2655"/>
      <c r="K18" s="2655"/>
      <c r="L18" s="2655"/>
      <c r="M18" s="2655"/>
      <c r="N18" s="2655"/>
      <c r="O18" s="2655"/>
      <c r="P18" s="2655"/>
      <c r="Q18" s="2655" t="s">
        <v>301</v>
      </c>
      <c r="R18" s="2655"/>
      <c r="S18" s="2655"/>
      <c r="T18" s="2656"/>
    </row>
    <row r="19" spans="1:23" s="119" customFormat="1" ht="15" customHeight="1">
      <c r="A19" s="125"/>
      <c r="B19" s="2637" t="s">
        <v>302</v>
      </c>
      <c r="C19" s="2637"/>
      <c r="D19" s="2637"/>
      <c r="E19" s="2637"/>
      <c r="F19" s="2637"/>
      <c r="G19" s="122"/>
      <c r="H19" s="2638" t="str">
        <f>""&amp;【マスター】!C25&amp;"  "&amp;【マスター】!I25&amp;""</f>
        <v>代表取締役  本多康夫</v>
      </c>
      <c r="I19" s="2639"/>
      <c r="J19" s="2639"/>
      <c r="K19" s="2639"/>
      <c r="L19" s="2639"/>
      <c r="M19" s="2639"/>
      <c r="N19" s="2639"/>
      <c r="O19" s="2639"/>
      <c r="P19" s="2639"/>
      <c r="Q19" s="2639"/>
      <c r="R19" s="2639"/>
      <c r="S19" s="2639"/>
      <c r="T19" s="2640"/>
    </row>
    <row r="20" spans="1:23" s="119" customFormat="1" ht="15" customHeight="1">
      <c r="A20" s="536"/>
      <c r="B20" s="2677" t="s">
        <v>303</v>
      </c>
      <c r="C20" s="2677"/>
      <c r="D20" s="2677"/>
      <c r="E20" s="2677"/>
      <c r="F20" s="2677"/>
      <c r="G20" s="537"/>
      <c r="H20" s="2644" t="s">
        <v>304</v>
      </c>
      <c r="I20" s="2645"/>
      <c r="J20" s="2645"/>
      <c r="K20" s="2646" t="str">
        <f>DBCS(【マスター】!F22&amp;" "&amp;【マスター】!C23)</f>
        <v>愛知県豊川市大堀町２９３番地　</v>
      </c>
      <c r="L20" s="2646"/>
      <c r="M20" s="2646"/>
      <c r="N20" s="2646"/>
      <c r="O20" s="2646"/>
      <c r="P20" s="2646"/>
      <c r="Q20" s="2646"/>
      <c r="R20" s="2646"/>
      <c r="S20" s="2646"/>
      <c r="T20" s="2647"/>
    </row>
    <row r="21" spans="1:23" s="119" customFormat="1" ht="15" customHeight="1">
      <c r="A21" s="126"/>
      <c r="B21" s="2680"/>
      <c r="C21" s="2680"/>
      <c r="D21" s="2680"/>
      <c r="E21" s="2680"/>
      <c r="F21" s="2680"/>
      <c r="G21" s="123"/>
      <c r="H21" s="2648" t="s">
        <v>305</v>
      </c>
      <c r="I21" s="2649"/>
      <c r="J21" s="2649"/>
      <c r="K21" s="2642" t="str">
        <f>DBCS(【マスター】!C24)</f>
        <v>０５３３－６５－８７０２</v>
      </c>
      <c r="L21" s="2642"/>
      <c r="M21" s="2642"/>
      <c r="N21" s="2642"/>
      <c r="O21" s="2642"/>
      <c r="P21" s="2642"/>
      <c r="Q21" s="2642"/>
      <c r="R21" s="2642"/>
      <c r="S21" s="2642"/>
      <c r="T21" s="2643"/>
    </row>
    <row r="22" spans="1:23" s="119" customFormat="1" ht="15" customHeight="1">
      <c r="A22" s="168"/>
      <c r="B22" s="2681"/>
      <c r="C22" s="2681"/>
      <c r="D22" s="2681"/>
      <c r="E22" s="2681"/>
      <c r="F22" s="2681"/>
      <c r="G22" s="124"/>
      <c r="H22" s="2672" t="s">
        <v>306</v>
      </c>
      <c r="I22" s="2673"/>
      <c r="J22" s="2673"/>
      <c r="K22" s="2674" t="str">
        <f>DBCS(【マスター】!I24)</f>
        <v>０５３３－６５－８７０３</v>
      </c>
      <c r="L22" s="2674"/>
      <c r="M22" s="2674"/>
      <c r="N22" s="2674"/>
      <c r="O22" s="2674"/>
      <c r="P22" s="2674"/>
      <c r="Q22" s="2674"/>
      <c r="R22" s="2674"/>
      <c r="S22" s="2674"/>
      <c r="T22" s="2675"/>
    </row>
    <row r="23" spans="1:23" s="119" customFormat="1" ht="15" customHeight="1">
      <c r="A23" s="117" t="s">
        <v>1609</v>
      </c>
      <c r="B23" s="116"/>
      <c r="C23" s="117"/>
      <c r="D23" s="116"/>
      <c r="E23" s="116"/>
      <c r="F23" s="116"/>
      <c r="G23" s="116"/>
      <c r="H23" s="116"/>
      <c r="I23" s="116"/>
      <c r="J23" s="116"/>
      <c r="K23" s="116"/>
      <c r="L23" s="116"/>
      <c r="M23" s="116"/>
      <c r="N23" s="116"/>
      <c r="O23" s="116"/>
      <c r="P23" s="116"/>
      <c r="Q23" s="116"/>
      <c r="R23" s="116"/>
      <c r="S23" s="116"/>
      <c r="T23" s="116"/>
    </row>
    <row r="24" spans="1:23" s="119" customFormat="1" ht="15" customHeight="1">
      <c r="A24" s="125"/>
      <c r="B24" s="2637" t="s">
        <v>78</v>
      </c>
      <c r="C24" s="2637"/>
      <c r="D24" s="2637"/>
      <c r="E24" s="2637"/>
      <c r="F24" s="2637"/>
      <c r="G24" s="121"/>
      <c r="H24" s="2650" t="str">
        <f>【マスター】!C7&amp;【マスター】!E7</f>
        <v>デイサービスさつきの湯</v>
      </c>
      <c r="I24" s="2650"/>
      <c r="J24" s="2650"/>
      <c r="K24" s="2650"/>
      <c r="L24" s="2650"/>
      <c r="M24" s="2650"/>
      <c r="N24" s="2650"/>
      <c r="O24" s="2650"/>
      <c r="P24" s="2650"/>
      <c r="Q24" s="2650"/>
      <c r="R24" s="2650"/>
      <c r="S24" s="2650"/>
      <c r="T24" s="2650"/>
    </row>
    <row r="25" spans="1:23" s="119" customFormat="1" ht="15" customHeight="1">
      <c r="A25" s="536"/>
      <c r="B25" s="2677" t="s">
        <v>303</v>
      </c>
      <c r="C25" s="2677"/>
      <c r="D25" s="2677"/>
      <c r="E25" s="2677"/>
      <c r="F25" s="2677"/>
      <c r="G25" s="537"/>
      <c r="H25" s="2644" t="s">
        <v>304</v>
      </c>
      <c r="I25" s="2645"/>
      <c r="J25" s="2645"/>
      <c r="K25" s="2646" t="str">
        <f>DBCS(【マスター】!F8)</f>
        <v>愛知県豊川市八幡町本郷１４番地１</v>
      </c>
      <c r="L25" s="2646"/>
      <c r="M25" s="2646"/>
      <c r="N25" s="2646"/>
      <c r="O25" s="2646"/>
      <c r="P25" s="2646"/>
      <c r="Q25" s="2646"/>
      <c r="R25" s="2646"/>
      <c r="S25" s="2646"/>
      <c r="T25" s="2647"/>
    </row>
    <row r="26" spans="1:23" s="119" customFormat="1" ht="15" customHeight="1">
      <c r="A26" s="126"/>
      <c r="B26" s="2680"/>
      <c r="C26" s="2680"/>
      <c r="D26" s="2680"/>
      <c r="E26" s="2680"/>
      <c r="F26" s="2680"/>
      <c r="G26" s="123"/>
      <c r="H26" s="2648" t="s">
        <v>305</v>
      </c>
      <c r="I26" s="2649"/>
      <c r="J26" s="2649"/>
      <c r="K26" s="2642" t="str">
        <f>DBCS(【マスター】!C9)</f>
        <v>０５３３－５６－７０８７</v>
      </c>
      <c r="L26" s="2642"/>
      <c r="M26" s="2642"/>
      <c r="N26" s="2642"/>
      <c r="O26" s="2642"/>
      <c r="P26" s="2642"/>
      <c r="Q26" s="2642"/>
      <c r="R26" s="2642"/>
      <c r="S26" s="2642"/>
      <c r="T26" s="2643"/>
    </row>
    <row r="27" spans="1:23" s="119" customFormat="1" ht="15" customHeight="1">
      <c r="A27" s="126"/>
      <c r="B27" s="2680"/>
      <c r="C27" s="2680"/>
      <c r="D27" s="2680"/>
      <c r="E27" s="2680"/>
      <c r="F27" s="2680"/>
      <c r="G27" s="123"/>
      <c r="H27" s="2672" t="s">
        <v>306</v>
      </c>
      <c r="I27" s="2673"/>
      <c r="J27" s="2673"/>
      <c r="K27" s="2674" t="str">
        <f>DBCS(【マスター】!I9)</f>
        <v>０５３３－５６－７０８８</v>
      </c>
      <c r="L27" s="2674"/>
      <c r="M27" s="2674"/>
      <c r="N27" s="2674"/>
      <c r="O27" s="2674"/>
      <c r="P27" s="2674"/>
      <c r="Q27" s="2674"/>
      <c r="R27" s="2674"/>
      <c r="S27" s="2674"/>
      <c r="T27" s="2675"/>
      <c r="W27" s="473"/>
    </row>
    <row r="28" spans="1:23" s="119" customFormat="1" ht="15" customHeight="1">
      <c r="A28" s="125"/>
      <c r="B28" s="2637" t="s">
        <v>310</v>
      </c>
      <c r="C28" s="2637"/>
      <c r="D28" s="2637"/>
      <c r="E28" s="2637"/>
      <c r="F28" s="2637"/>
      <c r="G28" s="122"/>
      <c r="H28" s="2676" t="str">
        <f>【マスター】!C20</f>
        <v>繁原　秀章</v>
      </c>
      <c r="I28" s="2676"/>
      <c r="J28" s="2676"/>
      <c r="K28" s="2676"/>
      <c r="L28" s="2676"/>
      <c r="M28" s="2676"/>
      <c r="N28" s="2676"/>
      <c r="O28" s="2676"/>
      <c r="P28" s="2676"/>
      <c r="Q28" s="2676"/>
      <c r="R28" s="2676"/>
      <c r="S28" s="2676"/>
      <c r="T28" s="2676"/>
    </row>
    <row r="29" spans="1:23" s="119" customFormat="1" ht="15" customHeight="1">
      <c r="A29" s="117" t="s">
        <v>343</v>
      </c>
      <c r="B29" s="116"/>
      <c r="C29" s="169"/>
      <c r="D29" s="169"/>
      <c r="E29" s="169"/>
      <c r="F29" s="169"/>
      <c r="G29" s="169"/>
      <c r="H29" s="169"/>
      <c r="I29" s="169"/>
      <c r="J29" s="169"/>
      <c r="K29" s="169"/>
      <c r="L29" s="169"/>
      <c r="M29" s="169"/>
      <c r="N29" s="169"/>
      <c r="O29" s="169"/>
      <c r="P29" s="169"/>
      <c r="Q29" s="169"/>
      <c r="R29" s="169"/>
      <c r="S29" s="169"/>
      <c r="T29" s="169"/>
    </row>
    <row r="30" spans="1:23" s="119" customFormat="1" ht="15" customHeight="1">
      <c r="A30" s="536"/>
      <c r="B30" s="2677" t="s">
        <v>344</v>
      </c>
      <c r="C30" s="2677"/>
      <c r="D30" s="2677"/>
      <c r="E30" s="2677"/>
      <c r="F30" s="2677"/>
      <c r="G30" s="537"/>
      <c r="H30" s="2678" t="str">
        <f>DBCS(【マスター】!K15)</f>
        <v>月曜日～土曜日</v>
      </c>
      <c r="I30" s="2679"/>
      <c r="J30" s="2679"/>
      <c r="K30" s="2679"/>
      <c r="L30" s="2679"/>
      <c r="M30" s="2679"/>
      <c r="N30" s="2679"/>
      <c r="O30" s="169"/>
      <c r="P30" s="169"/>
      <c r="Q30" s="169"/>
      <c r="R30" s="169"/>
      <c r="S30" s="169"/>
      <c r="T30" s="169"/>
    </row>
    <row r="31" spans="1:23" s="119" customFormat="1" ht="15" customHeight="1">
      <c r="A31" s="125"/>
      <c r="B31" s="2637" t="s">
        <v>345</v>
      </c>
      <c r="C31" s="2637"/>
      <c r="D31" s="2637"/>
      <c r="E31" s="2637"/>
      <c r="F31" s="2637"/>
      <c r="G31" s="121"/>
      <c r="H31" s="2659" t="s">
        <v>908</v>
      </c>
      <c r="I31" s="2660"/>
      <c r="J31" s="2660"/>
      <c r="K31" s="2660"/>
      <c r="L31" s="2660"/>
      <c r="M31" s="2660"/>
      <c r="N31" s="2661"/>
      <c r="O31" s="169"/>
      <c r="P31" s="169"/>
      <c r="Q31" s="169"/>
      <c r="R31" s="169"/>
      <c r="S31" s="169"/>
      <c r="T31" s="169"/>
    </row>
    <row r="32" spans="1:23" s="119" customFormat="1" ht="15" customHeight="1">
      <c r="A32" s="116" t="s">
        <v>1610</v>
      </c>
      <c r="B32" s="117"/>
      <c r="C32" s="117"/>
      <c r="D32" s="116"/>
      <c r="E32" s="116"/>
      <c r="F32" s="116"/>
      <c r="G32" s="116"/>
      <c r="H32" s="116"/>
      <c r="I32" s="116"/>
      <c r="J32" s="116"/>
      <c r="K32" s="116"/>
      <c r="L32" s="116"/>
      <c r="M32" s="116"/>
      <c r="N32" s="116"/>
      <c r="O32" s="116"/>
      <c r="P32" s="116"/>
      <c r="Q32" s="116"/>
      <c r="R32" s="116"/>
      <c r="S32" s="116"/>
      <c r="T32" s="116"/>
    </row>
    <row r="33" spans="1:23" s="94" customFormat="1" ht="15" customHeight="1">
      <c r="A33" s="2651" t="s">
        <v>349</v>
      </c>
      <c r="B33" s="2629"/>
      <c r="C33" s="2630"/>
      <c r="D33" s="2666" t="s">
        <v>910</v>
      </c>
      <c r="E33" s="2667"/>
      <c r="F33" s="2667"/>
      <c r="G33" s="2667"/>
      <c r="H33" s="2667"/>
      <c r="I33" s="2668"/>
      <c r="J33" s="2666" t="s">
        <v>350</v>
      </c>
      <c r="K33" s="2667"/>
      <c r="L33" s="2667"/>
      <c r="M33" s="2667"/>
      <c r="N33" s="2667"/>
      <c r="O33" s="2667"/>
      <c r="P33" s="2667"/>
      <c r="Q33" s="2667"/>
      <c r="R33" s="2667"/>
      <c r="S33" s="2667"/>
      <c r="T33" s="2668"/>
    </row>
    <row r="34" spans="1:23" s="94" customFormat="1" ht="15" customHeight="1">
      <c r="A34" s="2634"/>
      <c r="B34" s="2635"/>
      <c r="C34" s="2636"/>
      <c r="D34" s="2669"/>
      <c r="E34" s="2670"/>
      <c r="F34" s="2670"/>
      <c r="G34" s="2670"/>
      <c r="H34" s="2670"/>
      <c r="I34" s="2671"/>
      <c r="J34" s="2669"/>
      <c r="K34" s="2670"/>
      <c r="L34" s="2670"/>
      <c r="M34" s="2670"/>
      <c r="N34" s="2670"/>
      <c r="O34" s="2670"/>
      <c r="P34" s="2670"/>
      <c r="Q34" s="2670"/>
      <c r="R34" s="2670"/>
      <c r="S34" s="2670"/>
      <c r="T34" s="2671"/>
    </row>
    <row r="35" spans="1:23" s="94" customFormat="1" ht="15" customHeight="1">
      <c r="A35" s="2628" t="s">
        <v>911</v>
      </c>
      <c r="B35" s="2629"/>
      <c r="C35" s="2630"/>
      <c r="D35" s="2644" t="str">
        <f>DBCS(【マスター】!J42&amp;"円/時間
（サービス提供時間前後の利用にかかる合計時間が６０分以上で発生）")</f>
        <v>３００円／時間
（サービス提供時間前後の利用にかかる合計時間が６０分以上で発生）</v>
      </c>
      <c r="E35" s="2645"/>
      <c r="F35" s="2645"/>
      <c r="G35" s="2645"/>
      <c r="H35" s="2645"/>
      <c r="I35" s="2657"/>
      <c r="J35" s="2662" t="str">
        <f>DBCS("通所介護契約書に基づく通所介護サービス提供時間（"&amp;【マスター】!I12&amp;【マスター】!J12&amp;【マスター】!K12&amp;"）前後の時間帯にサービスを提供させていただきます。")</f>
        <v>通所介護契約書に基づく通所介護サービス提供時間（９：３０～１６：４０）前後の時間帯にサービスを提供させていただきます。</v>
      </c>
      <c r="K35" s="2663"/>
      <c r="L35" s="2663"/>
      <c r="M35" s="2663"/>
      <c r="N35" s="2663"/>
      <c r="O35" s="2663"/>
      <c r="P35" s="2663"/>
      <c r="Q35" s="2663"/>
      <c r="R35" s="2663"/>
      <c r="S35" s="2663"/>
      <c r="T35" s="2664"/>
      <c r="V35" s="119"/>
    </row>
    <row r="36" spans="1:23" s="94" customFormat="1" ht="15" customHeight="1">
      <c r="A36" s="2631"/>
      <c r="B36" s="2632"/>
      <c r="C36" s="2633"/>
      <c r="D36" s="2648"/>
      <c r="E36" s="2649"/>
      <c r="F36" s="2649"/>
      <c r="G36" s="2649"/>
      <c r="H36" s="2649"/>
      <c r="I36" s="2658"/>
      <c r="J36" s="2665"/>
      <c r="K36" s="2642"/>
      <c r="L36" s="2642"/>
      <c r="M36" s="2642"/>
      <c r="N36" s="2642"/>
      <c r="O36" s="2642"/>
      <c r="P36" s="2642"/>
      <c r="Q36" s="2642"/>
      <c r="R36" s="2642"/>
      <c r="S36" s="2642"/>
      <c r="T36" s="2643"/>
      <c r="W36" s="946" t="s">
        <v>2072</v>
      </c>
    </row>
    <row r="37" spans="1:23" s="94" customFormat="1" ht="15" customHeight="1">
      <c r="A37" s="2631"/>
      <c r="B37" s="2632"/>
      <c r="C37" s="2633"/>
      <c r="D37" s="2648"/>
      <c r="E37" s="2649"/>
      <c r="F37" s="2649"/>
      <c r="G37" s="2649"/>
      <c r="H37" s="2649"/>
      <c r="I37" s="2658"/>
      <c r="J37" s="2665"/>
      <c r="K37" s="2642"/>
      <c r="L37" s="2642"/>
      <c r="M37" s="2642"/>
      <c r="N37" s="2642"/>
      <c r="O37" s="2642"/>
      <c r="P37" s="2642"/>
      <c r="Q37" s="2642"/>
      <c r="R37" s="2642"/>
      <c r="S37" s="2642"/>
      <c r="T37" s="2643"/>
    </row>
    <row r="38" spans="1:23" s="94" customFormat="1" ht="15" customHeight="1">
      <c r="A38" s="2628" t="s">
        <v>914</v>
      </c>
      <c r="B38" s="2629"/>
      <c r="C38" s="2630"/>
      <c r="D38" s="2644" t="str">
        <f>DBCS(【マスター】!J43&amp;"円／食")</f>
        <v>円／食</v>
      </c>
      <c r="E38" s="2645"/>
      <c r="F38" s="2645"/>
      <c r="G38" s="2645"/>
      <c r="H38" s="2645"/>
      <c r="I38" s="2657"/>
      <c r="J38" s="2662" t="s">
        <v>915</v>
      </c>
      <c r="K38" s="2663"/>
      <c r="L38" s="2663"/>
      <c r="M38" s="2663"/>
      <c r="N38" s="2663"/>
      <c r="O38" s="2663"/>
      <c r="P38" s="2663"/>
      <c r="Q38" s="2663"/>
      <c r="R38" s="2663"/>
      <c r="S38" s="2663"/>
      <c r="T38" s="2664"/>
      <c r="U38" s="155"/>
      <c r="V38" s="473"/>
      <c r="W38" s="946" t="s">
        <v>2072</v>
      </c>
    </row>
    <row r="39" spans="1:23" s="94" customFormat="1" ht="15" customHeight="1">
      <c r="A39" s="2634"/>
      <c r="B39" s="2635"/>
      <c r="C39" s="2636"/>
      <c r="D39" s="2701"/>
      <c r="E39" s="2702"/>
      <c r="F39" s="2702"/>
      <c r="G39" s="2702"/>
      <c r="H39" s="2702"/>
      <c r="I39" s="2703"/>
      <c r="J39" s="2704"/>
      <c r="K39" s="2674"/>
      <c r="L39" s="2674"/>
      <c r="M39" s="2674"/>
      <c r="N39" s="2674"/>
      <c r="O39" s="2674"/>
      <c r="P39" s="2674"/>
      <c r="Q39" s="2674"/>
      <c r="R39" s="2674"/>
      <c r="S39" s="2674"/>
      <c r="T39" s="2675"/>
      <c r="V39" s="128"/>
    </row>
    <row r="40" spans="1:23" s="94" customFormat="1" ht="15" customHeight="1">
      <c r="A40" s="2628" t="s">
        <v>917</v>
      </c>
      <c r="B40" s="2629"/>
      <c r="C40" s="2630"/>
      <c r="D40" s="2644" t="str">
        <f>DBCS(【マスター】!J45&amp;"円／食")</f>
        <v>６３０円／食</v>
      </c>
      <c r="E40" s="2645"/>
      <c r="F40" s="2645"/>
      <c r="G40" s="2645"/>
      <c r="H40" s="2645"/>
      <c r="I40" s="2657"/>
      <c r="J40" s="2676" t="s">
        <v>918</v>
      </c>
      <c r="K40" s="2676"/>
      <c r="L40" s="2676"/>
      <c r="M40" s="2676"/>
      <c r="N40" s="2676"/>
      <c r="O40" s="2676"/>
      <c r="P40" s="2676"/>
      <c r="Q40" s="2676"/>
      <c r="R40" s="2676"/>
      <c r="S40" s="2676"/>
      <c r="T40" s="2676"/>
      <c r="V40" s="473"/>
      <c r="W40" s="946" t="s">
        <v>2072</v>
      </c>
    </row>
    <row r="41" spans="1:23" s="94" customFormat="1" ht="15" customHeight="1">
      <c r="A41" s="2634"/>
      <c r="B41" s="2635"/>
      <c r="C41" s="2636"/>
      <c r="D41" s="2701"/>
      <c r="E41" s="2702"/>
      <c r="F41" s="2702"/>
      <c r="G41" s="2702"/>
      <c r="H41" s="2702"/>
      <c r="I41" s="2703"/>
      <c r="J41" s="2676"/>
      <c r="K41" s="2676"/>
      <c r="L41" s="2676"/>
      <c r="M41" s="2676"/>
      <c r="N41" s="2676"/>
      <c r="O41" s="2676"/>
      <c r="P41" s="2676"/>
      <c r="Q41" s="2676"/>
      <c r="R41" s="2676"/>
      <c r="S41" s="2676"/>
      <c r="T41" s="2676"/>
      <c r="V41" s="128"/>
    </row>
    <row r="42" spans="1:23" s="94" customFormat="1" ht="15" customHeight="1">
      <c r="A42" s="2628" t="s">
        <v>919</v>
      </c>
      <c r="B42" s="2629"/>
      <c r="C42" s="2630"/>
      <c r="D42" s="538" t="s">
        <v>1611</v>
      </c>
      <c r="F42" s="539"/>
      <c r="G42" s="540"/>
      <c r="H42" s="541"/>
      <c r="I42" s="542"/>
      <c r="J42" s="2676" t="str">
        <f>DBCS("通所介護契約書に基づく通所介護サービス利用時（"&amp;【マスター】!I12&amp;【マスター】!J12&amp;"延長加算算定終了時間）前後の時間帯に事業所のおむつを使用した場合に算定されます。")</f>
        <v>通所介護契約書に基づく通所介護サービス利用時（９：３０～延長加算算定終了時間）前後の時間帯に事業所のおむつを使用した場合に算定されます。</v>
      </c>
      <c r="K42" s="2676"/>
      <c r="L42" s="2676"/>
      <c r="M42" s="2676"/>
      <c r="N42" s="2676"/>
      <c r="O42" s="2676"/>
      <c r="P42" s="2676"/>
      <c r="Q42" s="2676"/>
      <c r="R42" s="2676"/>
      <c r="S42" s="2676"/>
      <c r="T42" s="2676"/>
    </row>
    <row r="43" spans="1:23" s="94" customFormat="1" ht="15" customHeight="1">
      <c r="A43" s="2631"/>
      <c r="B43" s="2632"/>
      <c r="C43" s="2633"/>
      <c r="D43" s="170"/>
      <c r="F43" s="119"/>
      <c r="G43" s="127"/>
      <c r="H43" s="268" t="str">
        <f>DBCS(【マスター】!J46&amp;"円／枚")</f>
        <v>１００円／枚</v>
      </c>
      <c r="I43" s="116"/>
      <c r="J43" s="2676"/>
      <c r="K43" s="2676"/>
      <c r="L43" s="2676"/>
      <c r="M43" s="2676"/>
      <c r="N43" s="2676"/>
      <c r="O43" s="2676"/>
      <c r="P43" s="2676"/>
      <c r="Q43" s="2676"/>
      <c r="R43" s="2676"/>
      <c r="S43" s="2676"/>
      <c r="T43" s="2676"/>
      <c r="W43" s="946" t="s">
        <v>2072</v>
      </c>
    </row>
    <row r="44" spans="1:23" s="94" customFormat="1" ht="15" customHeight="1">
      <c r="A44" s="2641"/>
      <c r="B44" s="2635"/>
      <c r="C44" s="2636"/>
      <c r="D44" s="170" t="s">
        <v>921</v>
      </c>
      <c r="F44" s="119"/>
      <c r="G44" s="127"/>
      <c r="H44" s="268" t="str">
        <f>DBCS(【マスター】!J47&amp;"円／枚")</f>
        <v>５０円／枚</v>
      </c>
      <c r="I44" s="269"/>
      <c r="J44" s="2676"/>
      <c r="K44" s="2676"/>
      <c r="L44" s="2676"/>
      <c r="M44" s="2676"/>
      <c r="N44" s="2676"/>
      <c r="O44" s="2676"/>
      <c r="P44" s="2676"/>
      <c r="Q44" s="2676"/>
      <c r="R44" s="2676"/>
      <c r="S44" s="2676"/>
      <c r="T44" s="2676"/>
      <c r="W44" s="946" t="s">
        <v>2072</v>
      </c>
    </row>
    <row r="45" spans="1:23" s="119" customFormat="1" ht="15" customHeight="1">
      <c r="A45" s="2628" t="s">
        <v>1612</v>
      </c>
      <c r="B45" s="2629"/>
      <c r="C45" s="2630"/>
      <c r="D45" s="2644" t="str">
        <f>DBCS(TEXT(【マスター】!J41,"＃＃＃＃、＃＃０"))&amp;"円／回"</f>
        <v>０円／回</v>
      </c>
      <c r="E45" s="2645"/>
      <c r="F45" s="2645"/>
      <c r="G45" s="2645"/>
      <c r="H45" s="2645"/>
      <c r="I45" s="2645"/>
      <c r="J45" s="2662" t="str">
        <f>DBCS("お泊まりを利用される方の"&amp;【マスター】!I13&amp;【マスター】!J13&amp;【マスター】!K13&amp;"までの夜間介護サービスを提供させていただきます。また原則、日中の通所介護サービスを利用した方のみ夜間サポートサービスは利用可能です。")</f>
        <v>お泊まりを利用される方の～までの夜間介護サービスを提供させていただきます。また原則、日中の通所介護サービスを利用した方のみ夜間サポートサービスは利用可能です。</v>
      </c>
      <c r="K45" s="2663"/>
      <c r="L45" s="2663"/>
      <c r="M45" s="2663"/>
      <c r="N45" s="2663"/>
      <c r="O45" s="2663"/>
      <c r="P45" s="2663"/>
      <c r="Q45" s="2663"/>
      <c r="R45" s="2663"/>
      <c r="S45" s="2663"/>
      <c r="T45" s="2664"/>
    </row>
    <row r="46" spans="1:23" s="119" customFormat="1" ht="15" customHeight="1">
      <c r="A46" s="2631"/>
      <c r="B46" s="2632"/>
      <c r="C46" s="2633"/>
      <c r="D46" s="2648"/>
      <c r="E46" s="2649"/>
      <c r="F46" s="2649"/>
      <c r="G46" s="2649"/>
      <c r="H46" s="2649"/>
      <c r="I46" s="2649"/>
      <c r="J46" s="2665"/>
      <c r="K46" s="2642"/>
      <c r="L46" s="2642"/>
      <c r="M46" s="2642"/>
      <c r="N46" s="2642"/>
      <c r="O46" s="2642"/>
      <c r="P46" s="2642"/>
      <c r="Q46" s="2642"/>
      <c r="R46" s="2642"/>
      <c r="S46" s="2642"/>
      <c r="T46" s="2643"/>
      <c r="W46" s="946" t="s">
        <v>2072</v>
      </c>
    </row>
    <row r="47" spans="1:23" s="119" customFormat="1" ht="15" customHeight="1">
      <c r="A47" s="2631"/>
      <c r="B47" s="2632"/>
      <c r="C47" s="2633"/>
      <c r="D47" s="2648"/>
      <c r="E47" s="2649"/>
      <c r="F47" s="2649"/>
      <c r="G47" s="2649"/>
      <c r="H47" s="2649"/>
      <c r="I47" s="2649"/>
      <c r="J47" s="2665"/>
      <c r="K47" s="2642"/>
      <c r="L47" s="2642"/>
      <c r="M47" s="2642"/>
      <c r="N47" s="2642"/>
      <c r="O47" s="2642"/>
      <c r="P47" s="2642"/>
      <c r="Q47" s="2642"/>
      <c r="R47" s="2642"/>
      <c r="S47" s="2642"/>
      <c r="T47" s="2643"/>
    </row>
    <row r="48" spans="1:23" s="119" customFormat="1" ht="15" customHeight="1">
      <c r="A48" s="2628" t="s">
        <v>925</v>
      </c>
      <c r="B48" s="2629"/>
      <c r="C48" s="2630"/>
      <c r="D48" s="2644" t="str">
        <f>DBCS(TEXT(【マスター】!J48,"＃＃＃＃、＃＃０"))&amp;"円／時間"</f>
        <v>２，０００円／時間</v>
      </c>
      <c r="E48" s="2645"/>
      <c r="F48" s="2645"/>
      <c r="G48" s="2645"/>
      <c r="H48" s="2645"/>
      <c r="I48" s="2645"/>
      <c r="J48" s="2662" t="s">
        <v>1613</v>
      </c>
      <c r="K48" s="2663"/>
      <c r="L48" s="2663"/>
      <c r="M48" s="2663"/>
      <c r="N48" s="2663"/>
      <c r="O48" s="2663"/>
      <c r="P48" s="2663"/>
      <c r="Q48" s="2663"/>
      <c r="R48" s="2663"/>
      <c r="S48" s="2663"/>
      <c r="T48" s="2664"/>
    </row>
    <row r="49" spans="1:23" s="119" customFormat="1" ht="15" customHeight="1">
      <c r="A49" s="2631"/>
      <c r="B49" s="2632"/>
      <c r="C49" s="2633"/>
      <c r="D49" s="2648"/>
      <c r="E49" s="2649"/>
      <c r="F49" s="2649"/>
      <c r="G49" s="2649"/>
      <c r="H49" s="2649"/>
      <c r="I49" s="2649"/>
      <c r="J49" s="2665"/>
      <c r="K49" s="2642"/>
      <c r="L49" s="2642"/>
      <c r="M49" s="2642"/>
      <c r="N49" s="2642"/>
      <c r="O49" s="2642"/>
      <c r="P49" s="2642"/>
      <c r="Q49" s="2642"/>
      <c r="R49" s="2642"/>
      <c r="S49" s="2642"/>
      <c r="T49" s="2643"/>
      <c r="W49" s="946" t="s">
        <v>2072</v>
      </c>
    </row>
    <row r="50" spans="1:23" s="119" customFormat="1" ht="15" customHeight="1">
      <c r="A50" s="2631"/>
      <c r="B50" s="2632"/>
      <c r="C50" s="2633"/>
      <c r="D50" s="2648"/>
      <c r="E50" s="2649"/>
      <c r="F50" s="2649"/>
      <c r="G50" s="2649"/>
      <c r="H50" s="2649"/>
      <c r="I50" s="2649"/>
      <c r="J50" s="2665"/>
      <c r="K50" s="2642"/>
      <c r="L50" s="2642"/>
      <c r="M50" s="2642"/>
      <c r="N50" s="2642"/>
      <c r="O50" s="2642"/>
      <c r="P50" s="2642"/>
      <c r="Q50" s="2642"/>
      <c r="R50" s="2642"/>
      <c r="S50" s="2642"/>
      <c r="T50" s="2643"/>
    </row>
    <row r="51" spans="1:23" s="119" customFormat="1" ht="15" customHeight="1">
      <c r="A51" s="2634"/>
      <c r="B51" s="2635"/>
      <c r="C51" s="2636"/>
      <c r="D51" s="2701"/>
      <c r="E51" s="2702"/>
      <c r="F51" s="2702"/>
      <c r="G51" s="2702"/>
      <c r="H51" s="2702"/>
      <c r="I51" s="2702"/>
      <c r="J51" s="2704"/>
      <c r="K51" s="2674"/>
      <c r="L51" s="2674"/>
      <c r="M51" s="2674"/>
      <c r="N51" s="2674"/>
      <c r="O51" s="2674"/>
      <c r="P51" s="2674"/>
      <c r="Q51" s="2674"/>
      <c r="R51" s="2674"/>
      <c r="S51" s="2674"/>
      <c r="T51" s="2675"/>
    </row>
    <row r="52" spans="1:23" s="119" customFormat="1" ht="15" customHeight="1">
      <c r="B52" s="120"/>
      <c r="C52" s="120"/>
    </row>
    <row r="53" spans="1:23" s="119" customFormat="1" ht="15" customHeight="1">
      <c r="A53" s="119" t="s">
        <v>260</v>
      </c>
      <c r="B53" s="120"/>
      <c r="C53" s="130"/>
      <c r="D53" s="130"/>
      <c r="E53" s="130"/>
      <c r="F53" s="130"/>
      <c r="G53" s="130"/>
      <c r="H53" s="130"/>
      <c r="I53" s="130"/>
      <c r="J53" s="130"/>
      <c r="K53" s="130"/>
      <c r="L53" s="130"/>
      <c r="M53" s="130"/>
      <c r="N53" s="130"/>
      <c r="O53" s="130"/>
      <c r="P53" s="130"/>
      <c r="Q53" s="130"/>
      <c r="R53" s="130"/>
      <c r="S53" s="130"/>
      <c r="T53" s="130"/>
    </row>
    <row r="54" spans="1:23" s="119" customFormat="1" ht="15" customHeight="1">
      <c r="B54" s="120" t="s">
        <v>1614</v>
      </c>
      <c r="C54" s="120"/>
    </row>
    <row r="55" spans="1:23" s="119" customFormat="1" ht="15" customHeight="1">
      <c r="B55" s="120"/>
      <c r="C55" s="120"/>
      <c r="E55" s="2682" t="str">
        <f>【マスター】!C83</f>
        <v>口座振替・振込・現金支払</v>
      </c>
      <c r="F55" s="2682"/>
      <c r="G55" s="2682"/>
      <c r="H55" s="2682"/>
      <c r="I55" s="2682"/>
      <c r="J55" s="2682"/>
      <c r="K55" s="2682"/>
      <c r="L55" s="2682"/>
      <c r="M55" s="2682"/>
      <c r="N55" s="2682"/>
      <c r="O55" s="2682"/>
      <c r="Q55" s="120" t="s">
        <v>374</v>
      </c>
    </row>
    <row r="56" spans="1:23" s="119" customFormat="1" ht="15" customHeight="1">
      <c r="B56" s="120" t="s">
        <v>1615</v>
      </c>
      <c r="C56" s="130"/>
      <c r="D56" s="130"/>
      <c r="E56" s="130"/>
      <c r="F56" s="130"/>
      <c r="G56" s="130"/>
      <c r="H56" s="130"/>
      <c r="I56" s="130"/>
      <c r="J56" s="130"/>
      <c r="K56" s="130"/>
      <c r="L56" s="130"/>
      <c r="M56" s="130"/>
      <c r="N56" s="130"/>
      <c r="O56" s="130"/>
      <c r="P56" s="130"/>
      <c r="Q56" s="130"/>
      <c r="R56" s="130"/>
      <c r="S56" s="130"/>
      <c r="T56" s="130"/>
    </row>
    <row r="57" spans="1:23" s="119" customFormat="1" ht="15" customHeight="1">
      <c r="B57" s="120"/>
      <c r="C57" s="130"/>
      <c r="D57" s="130"/>
      <c r="E57" s="130"/>
      <c r="F57" s="130"/>
      <c r="G57" s="130"/>
      <c r="H57" s="130"/>
      <c r="I57" s="130"/>
      <c r="J57" s="130"/>
      <c r="K57" s="130"/>
      <c r="L57" s="130"/>
      <c r="M57" s="130"/>
      <c r="N57" s="130"/>
      <c r="O57" s="130"/>
      <c r="P57" s="130"/>
      <c r="Q57" s="130"/>
      <c r="R57" s="130"/>
      <c r="S57" s="130"/>
      <c r="T57" s="130"/>
    </row>
    <row r="58" spans="1:23" s="119" customFormat="1" ht="15" customHeight="1">
      <c r="A58" s="119" t="s">
        <v>1616</v>
      </c>
      <c r="B58" s="120"/>
      <c r="C58" s="130"/>
      <c r="D58" s="130"/>
      <c r="E58" s="130"/>
      <c r="F58" s="130"/>
      <c r="G58" s="130"/>
      <c r="H58" s="130"/>
      <c r="I58" s="130"/>
      <c r="J58" s="130"/>
      <c r="K58" s="130"/>
      <c r="L58" s="130"/>
      <c r="M58" s="130"/>
      <c r="N58" s="130"/>
      <c r="O58" s="130"/>
      <c r="P58" s="130"/>
      <c r="Q58" s="130"/>
      <c r="R58" s="130"/>
      <c r="S58" s="130"/>
      <c r="T58" s="130"/>
    </row>
    <row r="59" spans="1:23" s="119" customFormat="1" ht="15" customHeight="1">
      <c r="A59" s="2683"/>
      <c r="B59" s="2663" t="s">
        <v>1617</v>
      </c>
      <c r="C59" s="2663"/>
      <c r="D59" s="2663"/>
      <c r="E59" s="2664"/>
      <c r="F59" s="2686" t="s">
        <v>409</v>
      </c>
      <c r="G59" s="2686"/>
      <c r="H59" s="2686"/>
      <c r="I59" s="2686"/>
      <c r="J59" s="2686"/>
      <c r="K59" s="2687" t="str">
        <f>【マスター】!C20</f>
        <v>繁原　秀章</v>
      </c>
      <c r="L59" s="2687"/>
      <c r="M59" s="2687"/>
      <c r="N59" s="2687"/>
      <c r="O59" s="2687"/>
      <c r="P59" s="2687"/>
      <c r="Q59" s="2687"/>
      <c r="R59" s="2687"/>
      <c r="S59" s="2687"/>
      <c r="T59" s="2687"/>
    </row>
    <row r="60" spans="1:23" s="119" customFormat="1" ht="15" customHeight="1">
      <c r="A60" s="2684"/>
      <c r="B60" s="2642"/>
      <c r="C60" s="2642"/>
      <c r="D60" s="2642"/>
      <c r="E60" s="2643"/>
      <c r="F60" s="2688" t="s">
        <v>410</v>
      </c>
      <c r="G60" s="2688"/>
      <c r="H60" s="2688"/>
      <c r="I60" s="2688"/>
      <c r="J60" s="2688"/>
      <c r="K60" s="2689" t="str">
        <f>DBCS(【マスター】!I12&amp;【マスター】!J12&amp;【マスター】!K12)</f>
        <v>９：３０～１６：４０</v>
      </c>
      <c r="L60" s="2689"/>
      <c r="M60" s="2689"/>
      <c r="N60" s="2689"/>
      <c r="O60" s="2689"/>
      <c r="P60" s="2689"/>
      <c r="Q60" s="2689"/>
      <c r="R60" s="2689"/>
      <c r="S60" s="2689"/>
      <c r="T60" s="2689"/>
    </row>
    <row r="61" spans="1:23" s="119" customFormat="1" ht="15" customHeight="1">
      <c r="A61" s="2684"/>
      <c r="B61" s="2642"/>
      <c r="C61" s="2642"/>
      <c r="D61" s="2642"/>
      <c r="E61" s="2643"/>
      <c r="F61" s="2696" t="s">
        <v>411</v>
      </c>
      <c r="G61" s="2697"/>
      <c r="H61" s="2697"/>
      <c r="I61" s="2690" t="s">
        <v>269</v>
      </c>
      <c r="J61" s="2691"/>
      <c r="K61" s="2689" t="str">
        <f>DBCS(【マスター】!C9)</f>
        <v>０５３３－５６－７０８７</v>
      </c>
      <c r="L61" s="2689"/>
      <c r="M61" s="2689"/>
      <c r="N61" s="2689"/>
      <c r="O61" s="2689"/>
      <c r="P61" s="2689"/>
      <c r="Q61" s="2689"/>
      <c r="R61" s="2689"/>
      <c r="S61" s="2689"/>
      <c r="T61" s="2689"/>
    </row>
    <row r="62" spans="1:23" s="119" customFormat="1" ht="15" customHeight="1">
      <c r="A62" s="2684"/>
      <c r="B62" s="2642"/>
      <c r="C62" s="2642"/>
      <c r="D62" s="2642"/>
      <c r="E62" s="2643"/>
      <c r="F62" s="2698"/>
      <c r="G62" s="2632"/>
      <c r="H62" s="2632"/>
      <c r="I62" s="2690" t="s">
        <v>412</v>
      </c>
      <c r="J62" s="2691"/>
      <c r="K62" s="2689" t="s">
        <v>413</v>
      </c>
      <c r="L62" s="2689"/>
      <c r="M62" s="2689"/>
      <c r="N62" s="2689"/>
      <c r="O62" s="2689"/>
      <c r="P62" s="2689"/>
      <c r="Q62" s="2689"/>
      <c r="R62" s="2689"/>
      <c r="S62" s="2689"/>
      <c r="T62" s="2689"/>
    </row>
    <row r="63" spans="1:23" s="119" customFormat="1" ht="15" customHeight="1">
      <c r="A63" s="2685"/>
      <c r="B63" s="2674"/>
      <c r="C63" s="2674"/>
      <c r="D63" s="2674"/>
      <c r="E63" s="2675"/>
      <c r="F63" s="2634"/>
      <c r="G63" s="2635"/>
      <c r="H63" s="2635"/>
      <c r="I63" s="2693" t="s">
        <v>414</v>
      </c>
      <c r="J63" s="2694"/>
      <c r="K63" s="2695" t="str">
        <f>"（"&amp;【マスター】!C81&amp;"に設置）"</f>
        <v>（玄関に設置）</v>
      </c>
      <c r="L63" s="2695"/>
      <c r="M63" s="2695"/>
      <c r="N63" s="2695"/>
      <c r="O63" s="2695"/>
      <c r="P63" s="2695"/>
      <c r="Q63" s="2695"/>
      <c r="R63" s="2695"/>
      <c r="S63" s="2695"/>
      <c r="T63" s="2695"/>
      <c r="U63" s="119" t="s">
        <v>929</v>
      </c>
    </row>
    <row r="64" spans="1:23" s="119" customFormat="1" ht="15" customHeight="1">
      <c r="A64" s="171"/>
      <c r="B64" s="586"/>
      <c r="C64" s="586"/>
      <c r="D64" s="586"/>
      <c r="E64" s="586"/>
      <c r="F64" s="418"/>
      <c r="G64" s="418"/>
      <c r="H64" s="418"/>
      <c r="I64" s="172"/>
      <c r="J64" s="172"/>
      <c r="K64" s="173"/>
      <c r="L64" s="173"/>
      <c r="M64" s="173"/>
      <c r="N64" s="173"/>
      <c r="O64" s="173"/>
      <c r="P64" s="173"/>
      <c r="Q64" s="173"/>
      <c r="R64" s="173"/>
      <c r="S64" s="173"/>
      <c r="T64" s="173"/>
    </row>
    <row r="65" spans="1:41" s="119" customFormat="1" ht="15" customHeight="1">
      <c r="A65" s="119" t="s">
        <v>1459</v>
      </c>
      <c r="B65" s="120"/>
      <c r="C65" s="120"/>
    </row>
    <row r="66" spans="1:41" s="119" customFormat="1" ht="15" customHeight="1">
      <c r="A66" s="2653" t="s">
        <v>437</v>
      </c>
      <c r="B66" s="2653"/>
      <c r="C66" s="2653"/>
      <c r="D66" s="2653"/>
      <c r="E66" s="2653"/>
      <c r="F66" s="2653"/>
      <c r="G66" s="2653"/>
      <c r="H66" s="2653"/>
      <c r="I66" s="2653"/>
      <c r="J66" s="2653"/>
      <c r="K66" s="2653"/>
      <c r="L66" s="2653"/>
      <c r="M66" s="2653"/>
      <c r="N66" s="2653"/>
      <c r="O66" s="2653"/>
      <c r="P66" s="2653"/>
      <c r="Q66" s="2653"/>
      <c r="R66" s="2653"/>
      <c r="S66" s="2653"/>
      <c r="T66" s="2653"/>
    </row>
    <row r="67" spans="1:41" s="119" customFormat="1" ht="15" customHeight="1">
      <c r="A67" s="132" t="s">
        <v>599</v>
      </c>
      <c r="B67" s="119" t="s">
        <v>1461</v>
      </c>
      <c r="C67" s="120"/>
    </row>
    <row r="68" spans="1:41" s="119" customFormat="1" ht="15" customHeight="1">
      <c r="A68" s="132" t="s">
        <v>601</v>
      </c>
      <c r="B68" s="119" t="s">
        <v>1462</v>
      </c>
      <c r="C68" s="120"/>
    </row>
    <row r="69" spans="1:41" s="119" customFormat="1" ht="15" customHeight="1">
      <c r="A69" s="132" t="s">
        <v>981</v>
      </c>
      <c r="B69" s="2653" t="s">
        <v>1618</v>
      </c>
      <c r="C69" s="2653"/>
      <c r="D69" s="2653"/>
      <c r="E69" s="2653"/>
      <c r="F69" s="2653"/>
      <c r="G69" s="2653"/>
      <c r="H69" s="2653"/>
      <c r="I69" s="2653"/>
      <c r="J69" s="2653"/>
      <c r="K69" s="2653"/>
      <c r="L69" s="2653"/>
      <c r="M69" s="2653"/>
      <c r="N69" s="2653"/>
      <c r="O69" s="2653"/>
      <c r="P69" s="2653"/>
      <c r="Q69" s="2653"/>
      <c r="R69" s="2653"/>
      <c r="S69" s="2653"/>
      <c r="T69" s="2653"/>
    </row>
    <row r="70" spans="1:41" s="119" customFormat="1" ht="15" customHeight="1">
      <c r="A70" s="130"/>
      <c r="B70" s="2653"/>
      <c r="C70" s="2653"/>
      <c r="D70" s="2653"/>
      <c r="E70" s="2653"/>
      <c r="F70" s="2653"/>
      <c r="G70" s="2653"/>
      <c r="H70" s="2653"/>
      <c r="I70" s="2653"/>
      <c r="J70" s="2653"/>
      <c r="K70" s="2653"/>
      <c r="L70" s="2653"/>
      <c r="M70" s="2653"/>
      <c r="N70" s="2653"/>
      <c r="O70" s="2653"/>
      <c r="P70" s="2653"/>
      <c r="Q70" s="2653"/>
      <c r="R70" s="2653"/>
      <c r="S70" s="2653"/>
      <c r="T70" s="2653"/>
    </row>
    <row r="71" spans="1:41" s="119" customFormat="1" ht="15" customHeight="1">
      <c r="A71" s="119" t="s">
        <v>1464</v>
      </c>
      <c r="B71" s="120"/>
      <c r="C71" s="120"/>
      <c r="V71" s="473"/>
    </row>
    <row r="72" spans="1:41" s="119" customFormat="1" ht="15" customHeight="1">
      <c r="A72" s="132" t="s">
        <v>599</v>
      </c>
      <c r="B72" s="2653" t="s">
        <v>1465</v>
      </c>
      <c r="C72" s="2653"/>
      <c r="D72" s="2653"/>
      <c r="E72" s="2653"/>
      <c r="F72" s="2653"/>
      <c r="G72" s="2653"/>
      <c r="H72" s="2653"/>
      <c r="I72" s="2653"/>
      <c r="J72" s="2653"/>
      <c r="K72" s="2653"/>
      <c r="L72" s="2653"/>
      <c r="M72" s="2653"/>
      <c r="N72" s="2653"/>
      <c r="O72" s="2653"/>
      <c r="P72" s="2653"/>
      <c r="Q72" s="2653"/>
      <c r="R72" s="2653"/>
      <c r="S72" s="2653"/>
      <c r="T72" s="2653"/>
    </row>
    <row r="73" spans="1:41" s="119" customFormat="1" ht="15" customHeight="1">
      <c r="A73" s="130"/>
      <c r="B73" s="2653"/>
      <c r="C73" s="2653"/>
      <c r="D73" s="2653"/>
      <c r="E73" s="2653"/>
      <c r="F73" s="2653"/>
      <c r="G73" s="2653"/>
      <c r="H73" s="2653"/>
      <c r="I73" s="2653"/>
      <c r="J73" s="2653"/>
      <c r="K73" s="2653"/>
      <c r="L73" s="2653"/>
      <c r="M73" s="2653"/>
      <c r="N73" s="2653"/>
      <c r="O73" s="2653"/>
      <c r="P73" s="2653"/>
      <c r="Q73" s="2653"/>
      <c r="R73" s="2653"/>
      <c r="S73" s="2653"/>
      <c r="T73" s="2653"/>
    </row>
    <row r="74" spans="1:41" s="119" customFormat="1" ht="15" customHeight="1">
      <c r="A74" s="132" t="s">
        <v>601</v>
      </c>
      <c r="B74" s="2653" t="s">
        <v>1466</v>
      </c>
      <c r="C74" s="2653"/>
      <c r="D74" s="2653"/>
      <c r="E74" s="2653"/>
      <c r="F74" s="2653"/>
      <c r="G74" s="2653"/>
      <c r="H74" s="2653"/>
      <c r="I74" s="2653"/>
      <c r="J74" s="2653"/>
      <c r="K74" s="2653"/>
      <c r="L74" s="2653"/>
      <c r="M74" s="2653"/>
      <c r="N74" s="2653"/>
      <c r="O74" s="2653"/>
      <c r="P74" s="2653"/>
      <c r="Q74" s="2653"/>
      <c r="R74" s="2653"/>
      <c r="S74" s="2653"/>
      <c r="T74" s="2653"/>
    </row>
    <row r="75" spans="1:41" s="119" customFormat="1" ht="15" customHeight="1">
      <c r="A75" s="130"/>
      <c r="B75" s="2653"/>
      <c r="C75" s="2653"/>
      <c r="D75" s="2653"/>
      <c r="E75" s="2653"/>
      <c r="F75" s="2653"/>
      <c r="G75" s="2653"/>
      <c r="H75" s="2653"/>
      <c r="I75" s="2653"/>
      <c r="J75" s="2653"/>
      <c r="K75" s="2653"/>
      <c r="L75" s="2653"/>
      <c r="M75" s="2653"/>
      <c r="N75" s="2653"/>
      <c r="O75" s="2653"/>
      <c r="P75" s="2653"/>
      <c r="Q75" s="2653"/>
      <c r="R75" s="2653"/>
      <c r="S75" s="2653"/>
      <c r="T75" s="2653"/>
    </row>
    <row r="76" spans="1:41" s="119" customFormat="1" ht="15" customHeight="1">
      <c r="A76" s="130"/>
      <c r="B76" s="2653"/>
      <c r="C76" s="2653"/>
      <c r="D76" s="2653"/>
      <c r="E76" s="2653"/>
      <c r="F76" s="2653"/>
      <c r="G76" s="2653"/>
      <c r="H76" s="2653"/>
      <c r="I76" s="2653"/>
      <c r="J76" s="2653"/>
      <c r="K76" s="2653"/>
      <c r="L76" s="2653"/>
      <c r="M76" s="2653"/>
      <c r="N76" s="2653"/>
      <c r="O76" s="2653"/>
      <c r="P76" s="2653"/>
      <c r="Q76" s="2653"/>
      <c r="R76" s="2653"/>
      <c r="S76" s="2653"/>
      <c r="T76" s="2653"/>
    </row>
    <row r="77" spans="1:41" s="450" customFormat="1" ht="15" customHeight="1">
      <c r="A77" s="433" t="s">
        <v>1880</v>
      </c>
      <c r="B77" s="845"/>
      <c r="C77" s="845"/>
      <c r="D77" s="845"/>
      <c r="E77" s="845"/>
      <c r="F77" s="846"/>
      <c r="G77" s="846"/>
      <c r="H77" s="846"/>
      <c r="I77" s="846"/>
      <c r="J77" s="846"/>
      <c r="K77" s="846"/>
      <c r="L77" s="846"/>
      <c r="M77" s="846"/>
      <c r="N77" s="846"/>
      <c r="O77" s="846"/>
      <c r="P77" s="846"/>
      <c r="Q77" s="846"/>
      <c r="R77" s="846"/>
      <c r="S77" s="846"/>
      <c r="T77" s="457"/>
      <c r="U77" s="451" t="s">
        <v>1840</v>
      </c>
      <c r="V77" s="434" t="s">
        <v>1924</v>
      </c>
      <c r="X77" s="609"/>
      <c r="Y77" s="609"/>
    </row>
    <row r="78" spans="1:41" s="432" customFormat="1" ht="30" customHeight="1">
      <c r="A78" s="926"/>
      <c r="B78" s="2497" t="s">
        <v>1919</v>
      </c>
      <c r="C78" s="2497"/>
      <c r="D78" s="2497"/>
      <c r="E78" s="2497"/>
      <c r="F78" s="2497"/>
      <c r="G78" s="2497"/>
      <c r="H78" s="2497"/>
      <c r="I78" s="2497"/>
      <c r="J78" s="2497"/>
      <c r="K78" s="2497"/>
      <c r="L78" s="2497"/>
      <c r="M78" s="2497"/>
      <c r="N78" s="2497"/>
      <c r="O78" s="2497"/>
      <c r="P78" s="2497"/>
      <c r="Q78" s="2497"/>
      <c r="R78" s="2497"/>
      <c r="S78" s="2497"/>
      <c r="T78" s="2497"/>
      <c r="V78" s="434"/>
      <c r="W78" s="449"/>
      <c r="X78" s="449"/>
      <c r="Y78" s="449"/>
      <c r="Z78" s="449"/>
      <c r="AA78" s="449"/>
      <c r="AB78" s="449"/>
      <c r="AC78" s="449"/>
      <c r="AD78" s="449"/>
      <c r="AE78" s="449"/>
      <c r="AF78" s="449"/>
      <c r="AG78" s="449"/>
      <c r="AH78" s="449"/>
      <c r="AI78" s="449"/>
      <c r="AJ78" s="449"/>
      <c r="AK78" s="449"/>
      <c r="AL78" s="449"/>
      <c r="AM78" s="449"/>
      <c r="AN78" s="449"/>
      <c r="AO78" s="449"/>
    </row>
    <row r="79" spans="1:41" s="432" customFormat="1" ht="15" customHeight="1">
      <c r="A79" s="2610" t="s">
        <v>599</v>
      </c>
      <c r="B79" s="2610"/>
      <c r="C79" s="2497" t="s">
        <v>1946</v>
      </c>
      <c r="D79" s="2497"/>
      <c r="E79" s="2497"/>
      <c r="F79" s="2497"/>
      <c r="G79" s="2497"/>
      <c r="H79" s="2497"/>
      <c r="I79" s="2497"/>
      <c r="J79" s="2497"/>
      <c r="K79" s="2497"/>
      <c r="L79" s="2497"/>
      <c r="M79" s="2497"/>
      <c r="N79" s="2497"/>
      <c r="O79" s="2497"/>
      <c r="P79" s="2497"/>
      <c r="Q79" s="2497"/>
      <c r="R79" s="2497"/>
      <c r="S79" s="2497"/>
      <c r="T79" s="2497"/>
      <c r="V79" s="434"/>
      <c r="W79" s="449"/>
      <c r="X79" s="449"/>
      <c r="Y79" s="449"/>
      <c r="Z79" s="449"/>
      <c r="AA79" s="449"/>
      <c r="AB79" s="449"/>
      <c r="AC79" s="449"/>
      <c r="AD79" s="449"/>
      <c r="AE79" s="449"/>
      <c r="AF79" s="449"/>
      <c r="AG79" s="449"/>
      <c r="AH79" s="449"/>
      <c r="AI79" s="449"/>
      <c r="AJ79" s="449"/>
      <c r="AK79" s="449"/>
      <c r="AL79" s="449"/>
      <c r="AM79" s="449"/>
      <c r="AN79" s="449"/>
      <c r="AO79" s="449"/>
    </row>
    <row r="80" spans="1:41" s="432" customFormat="1" ht="15" customHeight="1">
      <c r="A80" s="2610"/>
      <c r="B80" s="2610"/>
      <c r="C80" s="2497"/>
      <c r="D80" s="2497"/>
      <c r="E80" s="2497"/>
      <c r="F80" s="2497"/>
      <c r="G80" s="2497"/>
      <c r="H80" s="2497"/>
      <c r="I80" s="2497"/>
      <c r="J80" s="2497"/>
      <c r="K80" s="2497"/>
      <c r="L80" s="2497"/>
      <c r="M80" s="2497"/>
      <c r="N80" s="2497"/>
      <c r="O80" s="2497"/>
      <c r="P80" s="2497"/>
      <c r="Q80" s="2497"/>
      <c r="R80" s="2497"/>
      <c r="S80" s="2497"/>
      <c r="T80" s="2497"/>
      <c r="V80" s="434"/>
      <c r="W80" s="449"/>
      <c r="X80" s="449"/>
      <c r="Y80" s="449"/>
      <c r="Z80" s="449"/>
      <c r="AA80" s="449"/>
      <c r="AB80" s="449"/>
      <c r="AC80" s="449"/>
      <c r="AD80" s="449"/>
      <c r="AE80" s="449"/>
      <c r="AF80" s="449"/>
      <c r="AG80" s="449"/>
      <c r="AH80" s="449"/>
      <c r="AI80" s="449"/>
      <c r="AJ80" s="449"/>
      <c r="AK80" s="449"/>
      <c r="AL80" s="449"/>
      <c r="AM80" s="449"/>
      <c r="AN80" s="449"/>
      <c r="AO80" s="449"/>
    </row>
    <row r="81" spans="1:41" s="432" customFormat="1" ht="15" customHeight="1">
      <c r="A81" s="926"/>
      <c r="C81" s="848" t="s">
        <v>2048</v>
      </c>
      <c r="D81" s="848"/>
      <c r="E81" s="848"/>
      <c r="F81" s="848"/>
      <c r="G81" s="848"/>
      <c r="H81" s="848"/>
      <c r="I81" s="848"/>
      <c r="J81" s="848"/>
      <c r="K81" s="848"/>
      <c r="L81" s="848"/>
      <c r="M81" s="848"/>
      <c r="N81" s="848"/>
      <c r="O81" s="848"/>
      <c r="P81" s="848"/>
      <c r="Q81" s="848"/>
      <c r="R81" s="848"/>
      <c r="S81" s="848"/>
      <c r="T81" s="857"/>
      <c r="V81" s="434"/>
      <c r="W81" s="449"/>
      <c r="X81" s="449"/>
      <c r="Y81" s="449"/>
      <c r="Z81" s="449"/>
      <c r="AA81" s="449"/>
      <c r="AB81" s="449"/>
      <c r="AC81" s="449"/>
      <c r="AD81" s="449"/>
      <c r="AE81" s="449"/>
      <c r="AF81" s="449"/>
      <c r="AG81" s="449"/>
      <c r="AH81" s="449"/>
      <c r="AI81" s="449"/>
      <c r="AJ81" s="449"/>
      <c r="AK81" s="449"/>
      <c r="AL81" s="449"/>
      <c r="AM81" s="449"/>
      <c r="AN81" s="449"/>
      <c r="AO81" s="449"/>
    </row>
    <row r="82" spans="1:41" s="432" customFormat="1" ht="15" customHeight="1">
      <c r="A82" s="926"/>
      <c r="B82" s="849"/>
      <c r="C82" s="2497" t="s">
        <v>2051</v>
      </c>
      <c r="D82" s="2497"/>
      <c r="E82" s="2497"/>
      <c r="F82" s="2497"/>
      <c r="G82" s="2497"/>
      <c r="H82" s="2497"/>
      <c r="I82" s="2497"/>
      <c r="J82" s="2497"/>
      <c r="K82" s="2497"/>
      <c r="L82" s="2497"/>
      <c r="M82" s="2497"/>
      <c r="N82" s="2497"/>
      <c r="O82" s="2497"/>
      <c r="P82" s="2497"/>
      <c r="Q82" s="2497"/>
      <c r="R82" s="2497"/>
      <c r="S82" s="2497"/>
      <c r="T82" s="2497"/>
      <c r="V82" s="434"/>
      <c r="W82" s="449"/>
      <c r="X82" s="449"/>
      <c r="Y82" s="449"/>
      <c r="Z82" s="449"/>
      <c r="AA82" s="449"/>
      <c r="AB82" s="449"/>
      <c r="AC82" s="449"/>
      <c r="AD82" s="449"/>
      <c r="AE82" s="449"/>
      <c r="AF82" s="449"/>
      <c r="AG82" s="449"/>
      <c r="AH82" s="449"/>
      <c r="AI82" s="449"/>
      <c r="AJ82" s="449"/>
      <c r="AK82" s="449"/>
      <c r="AL82" s="449"/>
      <c r="AM82" s="449"/>
      <c r="AN82" s="449"/>
      <c r="AO82" s="449"/>
    </row>
    <row r="83" spans="1:41" s="432" customFormat="1" ht="15" customHeight="1">
      <c r="A83" s="926"/>
      <c r="B83" s="849"/>
      <c r="C83" s="2497" t="s">
        <v>2052</v>
      </c>
      <c r="D83" s="2611"/>
      <c r="E83" s="2611"/>
      <c r="F83" s="2611"/>
      <c r="G83" s="2611"/>
      <c r="H83" s="2611"/>
      <c r="I83" s="2611"/>
      <c r="J83" s="2611"/>
      <c r="K83" s="2611"/>
      <c r="L83" s="2611"/>
      <c r="M83" s="2611"/>
      <c r="N83" s="2611"/>
      <c r="O83" s="2611"/>
      <c r="P83" s="2611"/>
      <c r="Q83" s="2611"/>
      <c r="R83" s="2611"/>
      <c r="S83" s="2611"/>
      <c r="T83" s="2611"/>
      <c r="V83" s="434"/>
      <c r="W83" s="449"/>
      <c r="X83" s="449"/>
      <c r="Y83" s="449"/>
      <c r="Z83" s="449"/>
      <c r="AA83" s="449"/>
      <c r="AB83" s="449"/>
      <c r="AC83" s="449"/>
      <c r="AD83" s="449"/>
      <c r="AE83" s="449"/>
      <c r="AF83" s="449"/>
      <c r="AG83" s="449"/>
      <c r="AH83" s="449"/>
      <c r="AI83" s="449"/>
      <c r="AJ83" s="449"/>
      <c r="AK83" s="449"/>
      <c r="AL83" s="449"/>
      <c r="AM83" s="449"/>
      <c r="AN83" s="449"/>
      <c r="AO83" s="449"/>
    </row>
    <row r="84" spans="1:41" s="432" customFormat="1" ht="15" customHeight="1">
      <c r="A84" s="926"/>
      <c r="B84" s="849"/>
      <c r="C84" s="2611"/>
      <c r="D84" s="2611"/>
      <c r="E84" s="2611"/>
      <c r="F84" s="2611"/>
      <c r="G84" s="2611"/>
      <c r="H84" s="2611"/>
      <c r="I84" s="2611"/>
      <c r="J84" s="2611"/>
      <c r="K84" s="2611"/>
      <c r="L84" s="2611"/>
      <c r="M84" s="2611"/>
      <c r="N84" s="2611"/>
      <c r="O84" s="2611"/>
      <c r="P84" s="2611"/>
      <c r="Q84" s="2611"/>
      <c r="R84" s="2611"/>
      <c r="S84" s="2611"/>
      <c r="T84" s="2611"/>
      <c r="V84" s="434"/>
      <c r="W84" s="449"/>
      <c r="X84" s="449"/>
      <c r="Y84" s="449"/>
      <c r="Z84" s="449"/>
      <c r="AA84" s="449"/>
      <c r="AB84" s="449"/>
      <c r="AC84" s="449"/>
      <c r="AD84" s="449"/>
      <c r="AE84" s="449"/>
      <c r="AF84" s="449"/>
      <c r="AG84" s="449"/>
      <c r="AH84" s="449"/>
      <c r="AI84" s="449"/>
      <c r="AJ84" s="449"/>
      <c r="AK84" s="449"/>
      <c r="AL84" s="449"/>
      <c r="AM84" s="449"/>
      <c r="AN84" s="449"/>
      <c r="AO84" s="449"/>
    </row>
    <row r="85" spans="1:41" s="432" customFormat="1" ht="15" customHeight="1">
      <c r="A85" s="788"/>
      <c r="B85" s="848"/>
      <c r="C85" s="2497" t="s">
        <v>1899</v>
      </c>
      <c r="D85" s="2497"/>
      <c r="E85" s="2497"/>
      <c r="F85" s="2497"/>
      <c r="G85" s="2497"/>
      <c r="H85" s="2497"/>
      <c r="I85" s="2497"/>
      <c r="J85" s="2497"/>
      <c r="K85" s="2497"/>
      <c r="L85" s="2497"/>
      <c r="M85" s="2497"/>
      <c r="N85" s="2497"/>
      <c r="O85" s="2497"/>
      <c r="P85" s="2497"/>
      <c r="Q85" s="2497"/>
      <c r="R85" s="2497"/>
      <c r="S85" s="2497"/>
      <c r="T85" s="2497"/>
      <c r="V85" s="434"/>
      <c r="W85" s="449"/>
      <c r="X85" s="449"/>
      <c r="Y85" s="449"/>
      <c r="Z85" s="449"/>
      <c r="AA85" s="449"/>
      <c r="AB85" s="449"/>
      <c r="AC85" s="449"/>
      <c r="AD85" s="449"/>
      <c r="AE85" s="449"/>
      <c r="AF85" s="449"/>
      <c r="AG85" s="449"/>
      <c r="AH85" s="449"/>
      <c r="AI85" s="449"/>
      <c r="AJ85" s="449"/>
      <c r="AK85" s="449"/>
      <c r="AL85" s="449"/>
      <c r="AM85" s="449"/>
      <c r="AN85" s="449"/>
      <c r="AO85" s="449"/>
    </row>
    <row r="86" spans="1:41" s="432" customFormat="1" ht="15" customHeight="1">
      <c r="A86" s="2610" t="s">
        <v>601</v>
      </c>
      <c r="B86" s="2610"/>
      <c r="C86" s="2612" t="s">
        <v>1948</v>
      </c>
      <c r="D86" s="2612"/>
      <c r="E86" s="2612"/>
      <c r="F86" s="2612"/>
      <c r="G86" s="2612"/>
      <c r="H86" s="2612"/>
      <c r="I86" s="2612"/>
      <c r="J86" s="2612"/>
      <c r="K86" s="2612"/>
      <c r="L86" s="2612"/>
      <c r="M86" s="2612"/>
      <c r="N86" s="2612"/>
      <c r="O86" s="2612"/>
      <c r="P86" s="2612"/>
      <c r="Q86" s="2612"/>
      <c r="R86" s="2612"/>
      <c r="S86" s="2612"/>
      <c r="T86" s="2612"/>
      <c r="W86" s="434"/>
      <c r="X86" s="434"/>
      <c r="Y86" s="858"/>
      <c r="Z86" s="858"/>
    </row>
    <row r="87" spans="1:41" s="432" customFormat="1" ht="15" customHeight="1">
      <c r="A87" s="2610"/>
      <c r="B87" s="2610"/>
      <c r="C87" s="2612"/>
      <c r="D87" s="2612"/>
      <c r="E87" s="2612"/>
      <c r="F87" s="2612"/>
      <c r="G87" s="2612"/>
      <c r="H87" s="2612"/>
      <c r="I87" s="2612"/>
      <c r="J87" s="2612"/>
      <c r="K87" s="2612"/>
      <c r="L87" s="2612"/>
      <c r="M87" s="2612"/>
      <c r="N87" s="2612"/>
      <c r="O87" s="2612"/>
      <c r="P87" s="2612"/>
      <c r="Q87" s="2612"/>
      <c r="R87" s="2612"/>
      <c r="S87" s="2612"/>
      <c r="T87" s="2612"/>
      <c r="W87" s="434"/>
      <c r="X87" s="434"/>
      <c r="Y87" s="858"/>
      <c r="Z87" s="858"/>
    </row>
    <row r="88" spans="1:41" s="432" customFormat="1" ht="15" customHeight="1">
      <c r="A88" s="2610" t="s">
        <v>635</v>
      </c>
      <c r="B88" s="2610"/>
      <c r="C88" s="2612" t="s">
        <v>1900</v>
      </c>
      <c r="D88" s="2612"/>
      <c r="E88" s="2612"/>
      <c r="F88" s="2612"/>
      <c r="G88" s="2612"/>
      <c r="H88" s="2612"/>
      <c r="I88" s="2612"/>
      <c r="J88" s="2612"/>
      <c r="K88" s="2612"/>
      <c r="L88" s="2612"/>
      <c r="M88" s="2612"/>
      <c r="N88" s="2612"/>
      <c r="O88" s="2612"/>
      <c r="P88" s="2612"/>
      <c r="Q88" s="2612"/>
      <c r="R88" s="2612"/>
      <c r="S88" s="2612"/>
      <c r="T88" s="2612"/>
      <c r="W88" s="434"/>
      <c r="X88" s="434"/>
      <c r="Y88" s="858"/>
      <c r="Z88" s="858"/>
    </row>
    <row r="89" spans="1:41" s="432" customFormat="1" ht="15" customHeight="1">
      <c r="A89" s="2610"/>
      <c r="B89" s="2610"/>
      <c r="C89" s="2612"/>
      <c r="D89" s="2612"/>
      <c r="E89" s="2612"/>
      <c r="F89" s="2612"/>
      <c r="G89" s="2612"/>
      <c r="H89" s="2612"/>
      <c r="I89" s="2612"/>
      <c r="J89" s="2612"/>
      <c r="K89" s="2612"/>
      <c r="L89" s="2612"/>
      <c r="M89" s="2612"/>
      <c r="N89" s="2612"/>
      <c r="O89" s="2612"/>
      <c r="P89" s="2612"/>
      <c r="Q89" s="2612"/>
      <c r="R89" s="2612"/>
      <c r="S89" s="2612"/>
      <c r="T89" s="2612"/>
      <c r="W89" s="434"/>
      <c r="X89" s="434"/>
      <c r="Y89" s="858"/>
      <c r="Z89" s="858"/>
    </row>
    <row r="90" spans="1:41" s="432" customFormat="1" ht="15" customHeight="1">
      <c r="A90" s="2610" t="s">
        <v>655</v>
      </c>
      <c r="B90" s="2610"/>
      <c r="C90" s="2497" t="s">
        <v>1901</v>
      </c>
      <c r="D90" s="2497"/>
      <c r="E90" s="2497"/>
      <c r="F90" s="2497"/>
      <c r="G90" s="2497"/>
      <c r="H90" s="2497"/>
      <c r="I90" s="2497"/>
      <c r="J90" s="2497"/>
      <c r="K90" s="2497"/>
      <c r="L90" s="2497"/>
      <c r="M90" s="2497"/>
      <c r="N90" s="2497"/>
      <c r="O90" s="2497"/>
      <c r="P90" s="2497"/>
      <c r="Q90" s="2497"/>
      <c r="R90" s="2497"/>
      <c r="S90" s="2497"/>
      <c r="T90" s="2497"/>
      <c r="V90" s="434"/>
      <c r="W90" s="449"/>
      <c r="X90" s="449"/>
      <c r="Y90" s="449"/>
      <c r="Z90" s="449"/>
      <c r="AA90" s="449"/>
      <c r="AB90" s="449"/>
      <c r="AC90" s="449"/>
      <c r="AD90" s="449"/>
      <c r="AE90" s="449"/>
      <c r="AF90" s="449"/>
      <c r="AG90" s="449"/>
      <c r="AH90" s="449"/>
      <c r="AI90" s="449"/>
      <c r="AJ90" s="449"/>
      <c r="AK90" s="449"/>
      <c r="AL90" s="449"/>
      <c r="AM90" s="449"/>
      <c r="AN90" s="449"/>
      <c r="AO90" s="449"/>
    </row>
    <row r="91" spans="1:41" s="432" customFormat="1" ht="15" customHeight="1">
      <c r="A91" s="2610"/>
      <c r="B91" s="2610"/>
      <c r="C91" s="2497"/>
      <c r="D91" s="2497"/>
      <c r="E91" s="2497"/>
      <c r="F91" s="2497"/>
      <c r="G91" s="2497"/>
      <c r="H91" s="2497"/>
      <c r="I91" s="2497"/>
      <c r="J91" s="2497"/>
      <c r="K91" s="2497"/>
      <c r="L91" s="2497"/>
      <c r="M91" s="2497"/>
      <c r="N91" s="2497"/>
      <c r="O91" s="2497"/>
      <c r="P91" s="2497"/>
      <c r="Q91" s="2497"/>
      <c r="R91" s="2497"/>
      <c r="S91" s="2497"/>
      <c r="T91" s="2497"/>
      <c r="V91" s="434"/>
      <c r="W91" s="449"/>
      <c r="X91" s="449"/>
      <c r="Y91" s="449"/>
      <c r="Z91" s="449"/>
      <c r="AA91" s="449"/>
      <c r="AB91" s="449"/>
      <c r="AC91" s="449"/>
      <c r="AD91" s="449"/>
      <c r="AE91" s="449"/>
      <c r="AF91" s="449"/>
      <c r="AG91" s="449"/>
      <c r="AH91" s="449"/>
      <c r="AI91" s="449"/>
      <c r="AJ91" s="449"/>
      <c r="AK91" s="449"/>
      <c r="AL91" s="449"/>
      <c r="AM91" s="449"/>
      <c r="AN91" s="449"/>
      <c r="AO91" s="449"/>
    </row>
    <row r="92" spans="1:41" s="119" customFormat="1" ht="15" customHeight="1">
      <c r="A92" s="119" t="s">
        <v>1467</v>
      </c>
      <c r="B92" s="120"/>
      <c r="C92" s="120"/>
    </row>
    <row r="93" spans="1:41" s="119" customFormat="1" ht="15" customHeight="1">
      <c r="A93" s="132" t="s">
        <v>599</v>
      </c>
      <c r="B93" s="2692" t="s">
        <v>1468</v>
      </c>
      <c r="C93" s="2692"/>
      <c r="D93" s="2692"/>
      <c r="E93" s="2692"/>
      <c r="F93" s="2692"/>
      <c r="G93" s="2692"/>
      <c r="H93" s="2692"/>
      <c r="I93" s="2692"/>
      <c r="J93" s="2692"/>
      <c r="K93" s="2692"/>
      <c r="L93" s="2692"/>
      <c r="M93" s="2692"/>
      <c r="N93" s="2692"/>
      <c r="O93" s="2692"/>
      <c r="P93" s="2692"/>
      <c r="Q93" s="2692"/>
      <c r="R93" s="2692"/>
      <c r="S93" s="2692"/>
      <c r="T93" s="2692"/>
    </row>
    <row r="94" spans="1:41" s="119" customFormat="1" ht="15" customHeight="1">
      <c r="B94" s="2692"/>
      <c r="C94" s="2692"/>
      <c r="D94" s="2692"/>
      <c r="E94" s="2692"/>
      <c r="F94" s="2692"/>
      <c r="G94" s="2692"/>
      <c r="H94" s="2692"/>
      <c r="I94" s="2692"/>
      <c r="J94" s="2692"/>
      <c r="K94" s="2692"/>
      <c r="L94" s="2692"/>
      <c r="M94" s="2692"/>
      <c r="N94" s="2692"/>
      <c r="O94" s="2692"/>
      <c r="P94" s="2692"/>
      <c r="Q94" s="2692"/>
      <c r="R94" s="2692"/>
      <c r="S94" s="2692"/>
      <c r="T94" s="2692"/>
    </row>
    <row r="95" spans="1:41" s="119" customFormat="1" ht="15" customHeight="1">
      <c r="B95" s="2692"/>
      <c r="C95" s="2692"/>
      <c r="D95" s="2692"/>
      <c r="E95" s="2692"/>
      <c r="F95" s="2692"/>
      <c r="G95" s="2692"/>
      <c r="H95" s="2692"/>
      <c r="I95" s="2692"/>
      <c r="J95" s="2692"/>
      <c r="K95" s="2692"/>
      <c r="L95" s="2692"/>
      <c r="M95" s="2692"/>
      <c r="N95" s="2692"/>
      <c r="O95" s="2692"/>
      <c r="P95" s="2692"/>
      <c r="Q95" s="2692"/>
      <c r="R95" s="2692"/>
      <c r="S95" s="2692"/>
      <c r="T95" s="2692"/>
    </row>
    <row r="96" spans="1:41" s="119" customFormat="1" ht="15" customHeight="1">
      <c r="A96" s="132" t="s">
        <v>601</v>
      </c>
      <c r="B96" s="2692" t="s">
        <v>1619</v>
      </c>
      <c r="C96" s="2692"/>
      <c r="D96" s="2692"/>
      <c r="E96" s="2692"/>
      <c r="F96" s="2692"/>
      <c r="G96" s="2692"/>
      <c r="H96" s="2692"/>
      <c r="I96" s="2692"/>
      <c r="J96" s="2692"/>
      <c r="K96" s="2692"/>
      <c r="L96" s="2692"/>
      <c r="M96" s="2692"/>
      <c r="N96" s="2692"/>
      <c r="O96" s="2692"/>
      <c r="P96" s="2692"/>
      <c r="Q96" s="2692"/>
      <c r="R96" s="2692"/>
      <c r="S96" s="2692"/>
      <c r="T96" s="2692"/>
    </row>
    <row r="97" spans="1:20" s="119" customFormat="1" ht="15" customHeight="1">
      <c r="A97" s="132" t="s">
        <v>981</v>
      </c>
      <c r="B97" s="2692" t="s">
        <v>1620</v>
      </c>
      <c r="C97" s="2692"/>
      <c r="D97" s="2692"/>
      <c r="E97" s="2692"/>
      <c r="F97" s="2692"/>
      <c r="G97" s="2692"/>
      <c r="H97" s="2692"/>
      <c r="I97" s="2692"/>
      <c r="J97" s="2692"/>
      <c r="K97" s="2692"/>
      <c r="L97" s="2692"/>
      <c r="M97" s="2692"/>
      <c r="N97" s="2692"/>
      <c r="O97" s="2692"/>
      <c r="P97" s="2692"/>
      <c r="Q97" s="2692"/>
      <c r="R97" s="2692"/>
      <c r="S97" s="2692"/>
      <c r="T97" s="2692"/>
    </row>
    <row r="98" spans="1:20" s="119" customFormat="1" ht="15" customHeight="1">
      <c r="B98" s="2692"/>
      <c r="C98" s="2692"/>
      <c r="D98" s="2692"/>
      <c r="E98" s="2692"/>
      <c r="F98" s="2692"/>
      <c r="G98" s="2692"/>
      <c r="H98" s="2692"/>
      <c r="I98" s="2692"/>
      <c r="J98" s="2692"/>
      <c r="K98" s="2692"/>
      <c r="L98" s="2692"/>
      <c r="M98" s="2692"/>
      <c r="N98" s="2692"/>
      <c r="O98" s="2692"/>
      <c r="P98" s="2692"/>
      <c r="Q98" s="2692"/>
      <c r="R98" s="2692"/>
      <c r="S98" s="2692"/>
      <c r="T98" s="2692"/>
    </row>
    <row r="99" spans="1:20" s="119" customFormat="1" ht="15" customHeight="1">
      <c r="A99" s="129" t="s">
        <v>75</v>
      </c>
      <c r="B99" s="131" t="s">
        <v>449</v>
      </c>
      <c r="C99" s="131"/>
      <c r="D99" s="131"/>
      <c r="E99" s="131"/>
      <c r="F99" s="131"/>
      <c r="G99" s="131"/>
      <c r="H99" s="131"/>
      <c r="I99" s="131"/>
      <c r="J99" s="131"/>
      <c r="K99" s="131"/>
      <c r="L99" s="131"/>
      <c r="M99" s="131"/>
      <c r="N99" s="131"/>
      <c r="O99" s="131"/>
      <c r="P99" s="131"/>
      <c r="Q99" s="592"/>
      <c r="R99" s="592"/>
      <c r="S99" s="592"/>
      <c r="T99" s="592"/>
    </row>
    <row r="100" spans="1:20" s="119" customFormat="1" ht="15" customHeight="1">
      <c r="A100" s="129"/>
      <c r="B100" s="131"/>
      <c r="C100" s="131"/>
      <c r="D100" s="131"/>
      <c r="E100" s="131"/>
      <c r="F100" s="131"/>
      <c r="G100" s="131"/>
      <c r="H100" s="131"/>
      <c r="I100" s="131"/>
      <c r="J100" s="131"/>
      <c r="K100" s="131"/>
      <c r="L100" s="131"/>
      <c r="M100" s="131"/>
      <c r="N100" s="131"/>
      <c r="O100" s="131"/>
      <c r="P100" s="131"/>
      <c r="Q100" s="592"/>
      <c r="R100" s="592"/>
      <c r="S100" s="592"/>
      <c r="T100" s="592"/>
    </row>
    <row r="101" spans="1:20" s="119" customFormat="1" ht="15" customHeight="1">
      <c r="A101" s="119" t="str">
        <f>DBCS("　令和"&amp;【マスター】!D4&amp;"年　"&amp;【マスター】!F4&amp;"月　"&amp;【マスター】!H4&amp;"日")</f>
        <v>　令和６年　６月　１日</v>
      </c>
      <c r="B101" s="120"/>
      <c r="C101" s="130"/>
      <c r="D101" s="130"/>
      <c r="E101" s="130"/>
      <c r="F101" s="130"/>
      <c r="G101" s="130"/>
      <c r="H101" s="130"/>
      <c r="I101" s="130"/>
      <c r="J101" s="130"/>
      <c r="K101" s="130"/>
      <c r="L101" s="130"/>
      <c r="M101" s="130"/>
      <c r="N101" s="130"/>
      <c r="O101" s="130"/>
      <c r="P101" s="130"/>
      <c r="Q101" s="130"/>
      <c r="R101" s="130"/>
      <c r="S101" s="130"/>
      <c r="T101" s="130"/>
    </row>
    <row r="102" spans="1:20" s="119" customFormat="1" ht="15" customHeight="1">
      <c r="B102" s="120"/>
      <c r="C102" s="120" t="s">
        <v>489</v>
      </c>
      <c r="D102" s="130"/>
      <c r="E102" s="130"/>
      <c r="F102" s="130"/>
      <c r="G102" s="130"/>
      <c r="H102" s="116" t="s">
        <v>490</v>
      </c>
      <c r="I102" s="116"/>
      <c r="K102" s="2700" t="str">
        <f>DBCS(【マスター】!F22&amp;【マスター】!C23)</f>
        <v>愛知県豊川市大堀町２９３番地</v>
      </c>
      <c r="L102" s="2700"/>
      <c r="M102" s="2700"/>
      <c r="N102" s="2700"/>
      <c r="O102" s="2700"/>
      <c r="P102" s="2700"/>
      <c r="Q102" s="2700"/>
      <c r="R102" s="2700"/>
      <c r="S102" s="2700"/>
      <c r="T102" s="2700"/>
    </row>
    <row r="103" spans="1:20" s="119" customFormat="1" ht="15" customHeight="1">
      <c r="B103" s="120"/>
      <c r="C103" s="120"/>
      <c r="H103" s="116" t="s">
        <v>491</v>
      </c>
      <c r="I103" s="116"/>
      <c r="K103" s="2699" t="str">
        <f>【マスター】!C21</f>
        <v>株式会社ケアサポート</v>
      </c>
      <c r="L103" s="2699"/>
      <c r="M103" s="2699"/>
      <c r="N103" s="2699"/>
      <c r="O103" s="2699"/>
      <c r="P103" s="2699"/>
      <c r="Q103" s="2699"/>
      <c r="R103" s="2699"/>
      <c r="S103" s="2699"/>
      <c r="T103" s="2699"/>
    </row>
    <row r="104" spans="1:20" s="119" customFormat="1" ht="15" customHeight="1">
      <c r="B104" s="120"/>
      <c r="C104" s="120"/>
      <c r="H104" s="116" t="s">
        <v>492</v>
      </c>
      <c r="I104" s="116"/>
      <c r="K104" s="2699" t="str">
        <f>【マスター】!C25&amp;"　"&amp;【マスター】!I25</f>
        <v>代表取締役　本多康夫</v>
      </c>
      <c r="L104" s="2699"/>
      <c r="M104" s="2699"/>
      <c r="N104" s="2699"/>
      <c r="O104" s="2699"/>
      <c r="P104" s="2699"/>
      <c r="Q104" s="2699"/>
      <c r="R104" s="2699"/>
      <c r="S104" s="2699"/>
      <c r="T104" s="2699"/>
    </row>
    <row r="105" spans="1:20" s="119" customFormat="1" ht="15" customHeight="1">
      <c r="B105" s="120"/>
      <c r="C105" s="130"/>
      <c r="D105" s="130"/>
      <c r="E105" s="130"/>
      <c r="F105" s="130"/>
      <c r="G105" s="130"/>
      <c r="H105" s="117" t="s">
        <v>78</v>
      </c>
      <c r="I105" s="174"/>
      <c r="J105" s="130"/>
      <c r="K105" s="2699" t="str">
        <f>【マスター】!C7&amp;【マスター】!E7</f>
        <v>デイサービスさつきの湯</v>
      </c>
      <c r="L105" s="2699"/>
      <c r="M105" s="2699"/>
      <c r="N105" s="2699"/>
      <c r="O105" s="2699"/>
      <c r="P105" s="2699"/>
      <c r="Q105" s="2699"/>
      <c r="R105" s="2699"/>
      <c r="S105" s="2699"/>
      <c r="T105" s="175"/>
    </row>
  </sheetData>
  <sheetProtection selectLockedCells="1"/>
  <mergeCells count="88">
    <mergeCell ref="D48:I51"/>
    <mergeCell ref="D38:I39"/>
    <mergeCell ref="D40:I41"/>
    <mergeCell ref="J40:T41"/>
    <mergeCell ref="J38:T39"/>
    <mergeCell ref="J42:T44"/>
    <mergeCell ref="D45:I47"/>
    <mergeCell ref="J45:T47"/>
    <mergeCell ref="J48:T51"/>
    <mergeCell ref="K105:S105"/>
    <mergeCell ref="B69:T70"/>
    <mergeCell ref="B72:T73"/>
    <mergeCell ref="B74:T76"/>
    <mergeCell ref="B93:T95"/>
    <mergeCell ref="K102:T102"/>
    <mergeCell ref="K103:T103"/>
    <mergeCell ref="K104:T104"/>
    <mergeCell ref="C83:T84"/>
    <mergeCell ref="C85:T85"/>
    <mergeCell ref="C86:T87"/>
    <mergeCell ref="C88:T89"/>
    <mergeCell ref="C90:T91"/>
    <mergeCell ref="A79:B80"/>
    <mergeCell ref="A86:B87"/>
    <mergeCell ref="A88:B89"/>
    <mergeCell ref="A66:T66"/>
    <mergeCell ref="B96:T96"/>
    <mergeCell ref="B97:T98"/>
    <mergeCell ref="I63:J63"/>
    <mergeCell ref="K63:T63"/>
    <mergeCell ref="F61:H63"/>
    <mergeCell ref="B78:T78"/>
    <mergeCell ref="C79:T80"/>
    <mergeCell ref="C82:T82"/>
    <mergeCell ref="A90:B91"/>
    <mergeCell ref="E55:O55"/>
    <mergeCell ref="A59:A63"/>
    <mergeCell ref="B59:E63"/>
    <mergeCell ref="F59:J59"/>
    <mergeCell ref="K59:T59"/>
    <mergeCell ref="F60:J60"/>
    <mergeCell ref="K60:T60"/>
    <mergeCell ref="I61:J61"/>
    <mergeCell ref="K61:T61"/>
    <mergeCell ref="I62:J62"/>
    <mergeCell ref="K62:T62"/>
    <mergeCell ref="H22:J22"/>
    <mergeCell ref="K22:T22"/>
    <mergeCell ref="B28:F28"/>
    <mergeCell ref="H28:T28"/>
    <mergeCell ref="B30:F30"/>
    <mergeCell ref="H30:N30"/>
    <mergeCell ref="H27:J27"/>
    <mergeCell ref="B20:F22"/>
    <mergeCell ref="H20:J20"/>
    <mergeCell ref="K20:T20"/>
    <mergeCell ref="K27:T27"/>
    <mergeCell ref="B24:F24"/>
    <mergeCell ref="B25:F27"/>
    <mergeCell ref="D35:I37"/>
    <mergeCell ref="B31:F31"/>
    <mergeCell ref="H31:N31"/>
    <mergeCell ref="J35:T37"/>
    <mergeCell ref="D33:I34"/>
    <mergeCell ref="J33:T34"/>
    <mergeCell ref="A2:T3"/>
    <mergeCell ref="B5:T8"/>
    <mergeCell ref="B10:T13"/>
    <mergeCell ref="B14:T15"/>
    <mergeCell ref="B18:F18"/>
    <mergeCell ref="H18:P18"/>
    <mergeCell ref="Q18:T18"/>
    <mergeCell ref="A45:C47"/>
    <mergeCell ref="A48:C51"/>
    <mergeCell ref="B19:F19"/>
    <mergeCell ref="H19:T19"/>
    <mergeCell ref="A40:C41"/>
    <mergeCell ref="A42:C44"/>
    <mergeCell ref="K21:T21"/>
    <mergeCell ref="H25:J25"/>
    <mergeCell ref="K25:T25"/>
    <mergeCell ref="H26:J26"/>
    <mergeCell ref="K26:T26"/>
    <mergeCell ref="H21:J21"/>
    <mergeCell ref="H24:T24"/>
    <mergeCell ref="A33:C34"/>
    <mergeCell ref="A35:C37"/>
    <mergeCell ref="A38:C39"/>
  </mergeCells>
  <phoneticPr fontId="17"/>
  <dataValidations count="1">
    <dataValidation imeMode="fullAlpha" allowBlank="1" showInputMessage="1" showErrorMessage="1" sqref="H31" xr:uid="{00000000-0002-0000-1D00-000000000000}"/>
  </dataValidations>
  <printOptions horizontalCentered="1" verticalCentered="1"/>
  <pageMargins left="0.70866141732283472" right="0.70866141732283472" top="0.55118110236220474" bottom="0.55118110236220474" header="0.31496062992125984" footer="0.31496062992125984"/>
  <pageSetup paperSize="9" scale="95" fitToHeight="0" orientation="portrait" r:id="rId1"/>
  <headerFooter>
    <oddFooter>&amp;L【通所介護】BMC&amp;C&amp;P</oddFooter>
  </headerFooter>
  <rowBreaks count="1" manualBreakCount="1">
    <brk id="57" max="1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tabColor rgb="FFFFFF00"/>
    <pageSetUpPr fitToPage="1"/>
  </sheetPr>
  <dimension ref="A1:AO306"/>
  <sheetViews>
    <sheetView workbookViewId="0"/>
  </sheetViews>
  <sheetFormatPr defaultColWidth="9" defaultRowHeight="13.5"/>
  <cols>
    <col min="1" max="1" width="4.625" style="133" customWidth="1"/>
    <col min="2" max="3" width="4.625" style="134" customWidth="1"/>
    <col min="4" max="20" width="4.625" style="133" customWidth="1"/>
    <col min="21" max="22" width="9" style="133" customWidth="1"/>
    <col min="23" max="23" width="9" style="118"/>
    <col min="24" max="16384" width="9" style="133"/>
  </cols>
  <sheetData>
    <row r="1" spans="1:23" ht="13.35" customHeight="1">
      <c r="T1" s="153"/>
    </row>
    <row r="2" spans="1:23" ht="15" customHeight="1">
      <c r="A2" s="2615" t="str">
        <f>【マスター】!C7&amp;【マスター】!E7</f>
        <v>デイサービスさつきの湯</v>
      </c>
      <c r="B2" s="2615"/>
      <c r="C2" s="2615"/>
      <c r="D2" s="2615"/>
      <c r="E2" s="2615"/>
      <c r="F2" s="2615"/>
      <c r="G2" s="2615"/>
      <c r="H2" s="2615"/>
      <c r="I2" s="2615"/>
      <c r="J2" s="2615"/>
      <c r="K2" s="2615"/>
      <c r="L2" s="2615"/>
      <c r="M2" s="2615"/>
      <c r="N2" s="2615"/>
      <c r="O2" s="2615"/>
      <c r="P2" s="2615"/>
      <c r="Q2" s="2615"/>
      <c r="R2" s="2615"/>
      <c r="S2" s="2615"/>
      <c r="T2" s="2615"/>
    </row>
    <row r="3" spans="1:23" ht="15" customHeight="1" thickBot="1">
      <c r="A3" s="2616"/>
      <c r="B3" s="2616"/>
      <c r="C3" s="2616"/>
      <c r="D3" s="2616"/>
      <c r="E3" s="2616"/>
      <c r="F3" s="2616"/>
      <c r="G3" s="2616"/>
      <c r="H3" s="2616"/>
      <c r="I3" s="2616"/>
      <c r="J3" s="2616"/>
      <c r="K3" s="2616"/>
      <c r="L3" s="2616"/>
      <c r="M3" s="2616"/>
      <c r="N3" s="2616"/>
      <c r="O3" s="2616"/>
      <c r="P3" s="2616"/>
      <c r="Q3" s="2616"/>
      <c r="R3" s="2616"/>
      <c r="S3" s="2616"/>
      <c r="T3" s="2616"/>
    </row>
    <row r="4" spans="1:23" ht="15" customHeight="1">
      <c r="A4" s="2617" t="s">
        <v>1621</v>
      </c>
      <c r="B4" s="2617"/>
      <c r="C4" s="2617"/>
      <c r="D4" s="2617"/>
      <c r="E4" s="2617"/>
      <c r="F4" s="2617"/>
      <c r="G4" s="2617"/>
      <c r="H4" s="2617"/>
      <c r="I4" s="2617"/>
      <c r="J4" s="2617"/>
      <c r="K4" s="2617"/>
      <c r="L4" s="2617"/>
      <c r="M4" s="2617"/>
      <c r="N4" s="2617"/>
      <c r="O4" s="2617"/>
      <c r="P4" s="2617"/>
      <c r="Q4" s="2617"/>
      <c r="R4" s="2617"/>
      <c r="S4" s="2617"/>
      <c r="T4" s="2617"/>
      <c r="V4" s="479"/>
    </row>
    <row r="5" spans="1:23" ht="15" customHeight="1">
      <c r="A5" s="2615"/>
      <c r="B5" s="2615"/>
      <c r="C5" s="2615"/>
      <c r="D5" s="2615"/>
      <c r="E5" s="2615"/>
      <c r="F5" s="2615"/>
      <c r="G5" s="2615"/>
      <c r="H5" s="2615"/>
      <c r="I5" s="2615"/>
      <c r="J5" s="2615"/>
      <c r="K5" s="2615"/>
      <c r="L5" s="2615"/>
      <c r="M5" s="2615"/>
      <c r="N5" s="2615"/>
      <c r="O5" s="2615"/>
      <c r="P5" s="2615"/>
      <c r="Q5" s="2615"/>
      <c r="R5" s="2615"/>
      <c r="S5" s="2615"/>
      <c r="T5" s="2615"/>
    </row>
    <row r="6" spans="1:23" ht="15" customHeight="1">
      <c r="A6" s="154"/>
      <c r="B6" s="154"/>
      <c r="C6" s="154"/>
      <c r="D6" s="154"/>
      <c r="E6" s="154"/>
      <c r="F6" s="154"/>
      <c r="G6" s="154"/>
      <c r="H6" s="154"/>
      <c r="I6" s="154"/>
      <c r="J6" s="154"/>
      <c r="K6" s="154"/>
      <c r="L6" s="154"/>
      <c r="M6" s="154"/>
      <c r="N6" s="154"/>
      <c r="O6" s="154"/>
      <c r="P6" s="154"/>
      <c r="Q6" s="154"/>
      <c r="R6" s="154"/>
      <c r="S6" s="154"/>
      <c r="T6" s="154"/>
    </row>
    <row r="7" spans="1:23" s="94" customFormat="1" ht="15" customHeight="1">
      <c r="A7" s="94" t="s">
        <v>1439</v>
      </c>
      <c r="B7" s="135"/>
      <c r="C7" s="135"/>
      <c r="W7" s="128"/>
    </row>
    <row r="8" spans="1:23" s="94" customFormat="1" ht="15" customHeight="1">
      <c r="A8" s="94" t="s">
        <v>567</v>
      </c>
      <c r="B8" s="135"/>
      <c r="C8" s="2618" t="str">
        <f>"　"&amp;【マスター】!C21&amp;"が開設する"&amp;【マスター】!C7&amp;""&amp;【マスター】!E7&amp;"(以下「事業所」という。）が行う介護サポートサービス事業（以下「事業」という。）の適正な運営を確保するために人員及び管理運営に関する事項を定め、事業所毎に置くべき介護サポートサービス従業者（以下「従業者」という。）が、要介護状態にある高齢者に対し、適正な介護サポートサービスを提供することを目的とする。"</f>
        <v>　株式会社ケアサポートが開設するデイサービスさつきの湯(以下「事業所」という。）が行う介護サポートサービス事業（以下「事業」という。）の適正な運営を確保するために人員及び管理運営に関する事項を定め、事業所毎に置くべき介護サポートサービス従業者（以下「従業者」という。）が、要介護状態にある高齢者に対し、適正な介護サポートサービスを提供することを目的とする。</v>
      </c>
      <c r="D8" s="2618"/>
      <c r="E8" s="2618"/>
      <c r="F8" s="2618"/>
      <c r="G8" s="2618"/>
      <c r="H8" s="2618"/>
      <c r="I8" s="2618"/>
      <c r="J8" s="2618"/>
      <c r="K8" s="2618"/>
      <c r="L8" s="2618"/>
      <c r="M8" s="2618"/>
      <c r="N8" s="2618"/>
      <c r="O8" s="2618"/>
      <c r="P8" s="2618"/>
      <c r="Q8" s="2618"/>
      <c r="R8" s="2618"/>
      <c r="S8" s="2618"/>
      <c r="T8" s="2618"/>
      <c r="W8" s="128"/>
    </row>
    <row r="9" spans="1:23" s="94" customFormat="1" ht="15" customHeight="1">
      <c r="B9" s="135"/>
      <c r="C9" s="2618"/>
      <c r="D9" s="2618"/>
      <c r="E9" s="2618"/>
      <c r="F9" s="2618"/>
      <c r="G9" s="2618"/>
      <c r="H9" s="2618"/>
      <c r="I9" s="2618"/>
      <c r="J9" s="2618"/>
      <c r="K9" s="2618"/>
      <c r="L9" s="2618"/>
      <c r="M9" s="2618"/>
      <c r="N9" s="2618"/>
      <c r="O9" s="2618"/>
      <c r="P9" s="2618"/>
      <c r="Q9" s="2618"/>
      <c r="R9" s="2618"/>
      <c r="S9" s="2618"/>
      <c r="T9" s="2618"/>
      <c r="W9" s="128"/>
    </row>
    <row r="10" spans="1:23" s="94" customFormat="1" ht="15" customHeight="1">
      <c r="B10" s="135"/>
      <c r="C10" s="2618"/>
      <c r="D10" s="2618"/>
      <c r="E10" s="2618"/>
      <c r="F10" s="2618"/>
      <c r="G10" s="2618"/>
      <c r="H10" s="2618"/>
      <c r="I10" s="2618"/>
      <c r="J10" s="2618"/>
      <c r="K10" s="2618"/>
      <c r="L10" s="2618"/>
      <c r="M10" s="2618"/>
      <c r="N10" s="2618"/>
      <c r="O10" s="2618"/>
      <c r="P10" s="2618"/>
      <c r="Q10" s="2618"/>
      <c r="R10" s="2618"/>
      <c r="S10" s="2618"/>
      <c r="T10" s="2618"/>
      <c r="W10" s="128"/>
    </row>
    <row r="11" spans="1:23" s="94" customFormat="1" ht="15" customHeight="1">
      <c r="B11" s="135"/>
      <c r="C11" s="2618"/>
      <c r="D11" s="2618"/>
      <c r="E11" s="2618"/>
      <c r="F11" s="2618"/>
      <c r="G11" s="2618"/>
      <c r="H11" s="2618"/>
      <c r="I11" s="2618"/>
      <c r="J11" s="2618"/>
      <c r="K11" s="2618"/>
      <c r="L11" s="2618"/>
      <c r="M11" s="2618"/>
      <c r="N11" s="2618"/>
      <c r="O11" s="2618"/>
      <c r="P11" s="2618"/>
      <c r="Q11" s="2618"/>
      <c r="R11" s="2618"/>
      <c r="S11" s="2618"/>
      <c r="T11" s="2618"/>
      <c r="W11" s="128"/>
    </row>
    <row r="12" spans="1:23" s="94" customFormat="1" ht="15" customHeight="1">
      <c r="B12" s="135"/>
      <c r="C12" s="2618"/>
      <c r="D12" s="2618"/>
      <c r="E12" s="2618"/>
      <c r="F12" s="2618"/>
      <c r="G12" s="2618"/>
      <c r="H12" s="2618"/>
      <c r="I12" s="2618"/>
      <c r="J12" s="2618"/>
      <c r="K12" s="2618"/>
      <c r="L12" s="2618"/>
      <c r="M12" s="2618"/>
      <c r="N12" s="2618"/>
      <c r="O12" s="2618"/>
      <c r="P12" s="2618"/>
      <c r="Q12" s="2618"/>
      <c r="R12" s="2618"/>
      <c r="S12" s="2618"/>
      <c r="T12" s="2618"/>
      <c r="W12" s="128"/>
    </row>
    <row r="13" spans="1:23" s="94" customFormat="1" ht="15" customHeight="1">
      <c r="B13" s="135"/>
      <c r="C13" s="135"/>
      <c r="W13" s="128"/>
    </row>
    <row r="14" spans="1:23" s="94" customFormat="1" ht="15" customHeight="1">
      <c r="A14" s="94" t="s">
        <v>1440</v>
      </c>
      <c r="B14" s="135"/>
      <c r="C14" s="135"/>
      <c r="W14" s="128"/>
    </row>
    <row r="15" spans="1:23" s="94" customFormat="1" ht="15" customHeight="1">
      <c r="A15" s="94" t="s">
        <v>574</v>
      </c>
      <c r="B15" s="135"/>
      <c r="C15" s="2618" t="s">
        <v>1622</v>
      </c>
      <c r="D15" s="2618"/>
      <c r="E15" s="2618"/>
      <c r="F15" s="2618"/>
      <c r="G15" s="2618"/>
      <c r="H15" s="2618"/>
      <c r="I15" s="2618"/>
      <c r="J15" s="2618"/>
      <c r="K15" s="2618"/>
      <c r="L15" s="2618"/>
      <c r="M15" s="2618"/>
      <c r="N15" s="2618"/>
      <c r="O15" s="2618"/>
      <c r="P15" s="2618"/>
      <c r="Q15" s="2618"/>
      <c r="R15" s="2618"/>
      <c r="S15" s="2618"/>
      <c r="T15" s="2618"/>
      <c r="W15" s="128"/>
    </row>
    <row r="16" spans="1:23" s="94" customFormat="1" ht="15" customHeight="1">
      <c r="B16" s="135"/>
      <c r="C16" s="2618"/>
      <c r="D16" s="2618"/>
      <c r="E16" s="2618"/>
      <c r="F16" s="2618"/>
      <c r="G16" s="2618"/>
      <c r="H16" s="2618"/>
      <c r="I16" s="2618"/>
      <c r="J16" s="2618"/>
      <c r="K16" s="2618"/>
      <c r="L16" s="2618"/>
      <c r="M16" s="2618"/>
      <c r="N16" s="2618"/>
      <c r="O16" s="2618"/>
      <c r="P16" s="2618"/>
      <c r="Q16" s="2618"/>
      <c r="R16" s="2618"/>
      <c r="S16" s="2618"/>
      <c r="T16" s="2618"/>
      <c r="W16" s="128"/>
    </row>
    <row r="17" spans="2:24" s="94" customFormat="1" ht="15" customHeight="1">
      <c r="B17" s="135"/>
      <c r="C17" s="2618"/>
      <c r="D17" s="2618"/>
      <c r="E17" s="2618"/>
      <c r="F17" s="2618"/>
      <c r="G17" s="2618"/>
      <c r="H17" s="2618"/>
      <c r="I17" s="2618"/>
      <c r="J17" s="2618"/>
      <c r="K17" s="2618"/>
      <c r="L17" s="2618"/>
      <c r="M17" s="2618"/>
      <c r="N17" s="2618"/>
      <c r="O17" s="2618"/>
      <c r="P17" s="2618"/>
      <c r="Q17" s="2618"/>
      <c r="R17" s="2618"/>
      <c r="S17" s="2618"/>
      <c r="T17" s="2618"/>
      <c r="W17" s="128"/>
    </row>
    <row r="18" spans="2:24" s="94" customFormat="1" ht="15" customHeight="1">
      <c r="B18" s="135"/>
      <c r="C18" s="2618"/>
      <c r="D18" s="2618"/>
      <c r="E18" s="2618"/>
      <c r="F18" s="2618"/>
      <c r="G18" s="2618"/>
      <c r="H18" s="2618"/>
      <c r="I18" s="2618"/>
      <c r="J18" s="2618"/>
      <c r="K18" s="2618"/>
      <c r="L18" s="2618"/>
      <c r="M18" s="2618"/>
      <c r="N18" s="2618"/>
      <c r="O18" s="2618"/>
      <c r="P18" s="2618"/>
      <c r="Q18" s="2618"/>
      <c r="R18" s="2618"/>
      <c r="S18" s="2618"/>
      <c r="T18" s="2618"/>
      <c r="W18" s="128"/>
    </row>
    <row r="19" spans="2:24" s="94" customFormat="1" ht="15" customHeight="1">
      <c r="B19" s="135" t="s">
        <v>570</v>
      </c>
      <c r="C19" s="2618" t="s">
        <v>1474</v>
      </c>
      <c r="D19" s="2618"/>
      <c r="E19" s="2618"/>
      <c r="F19" s="2618"/>
      <c r="G19" s="2618"/>
      <c r="H19" s="2618"/>
      <c r="I19" s="2618"/>
      <c r="J19" s="2618"/>
      <c r="K19" s="2618"/>
      <c r="L19" s="2618"/>
      <c r="M19" s="2618"/>
      <c r="N19" s="2618"/>
      <c r="O19" s="2618"/>
      <c r="P19" s="2618"/>
      <c r="Q19" s="2618"/>
      <c r="R19" s="2618"/>
      <c r="S19" s="2618"/>
      <c r="T19" s="2618"/>
      <c r="W19" s="128"/>
    </row>
    <row r="20" spans="2:24" s="94" customFormat="1" ht="15" customHeight="1">
      <c r="B20" s="135" t="s">
        <v>595</v>
      </c>
      <c r="C20" s="2618" t="s">
        <v>1475</v>
      </c>
      <c r="D20" s="2618"/>
      <c r="E20" s="2618"/>
      <c r="F20" s="2618"/>
      <c r="G20" s="2618"/>
      <c r="H20" s="2618"/>
      <c r="I20" s="2618"/>
      <c r="J20" s="2618"/>
      <c r="K20" s="2618"/>
      <c r="L20" s="2618"/>
      <c r="M20" s="2618"/>
      <c r="N20" s="2618"/>
      <c r="O20" s="2618"/>
      <c r="P20" s="2618"/>
      <c r="Q20" s="2618"/>
      <c r="R20" s="2618"/>
      <c r="S20" s="2618"/>
      <c r="T20" s="2618"/>
      <c r="W20" s="128"/>
    </row>
    <row r="21" spans="2:24" s="94" customFormat="1" ht="15" customHeight="1">
      <c r="B21" s="135"/>
      <c r="C21" s="2618"/>
      <c r="D21" s="2618"/>
      <c r="E21" s="2618"/>
      <c r="F21" s="2618"/>
      <c r="G21" s="2618"/>
      <c r="H21" s="2618"/>
      <c r="I21" s="2618"/>
      <c r="J21" s="2618"/>
      <c r="K21" s="2618"/>
      <c r="L21" s="2618"/>
      <c r="M21" s="2618"/>
      <c r="N21" s="2618"/>
      <c r="O21" s="2618"/>
      <c r="P21" s="2618"/>
      <c r="Q21" s="2618"/>
      <c r="R21" s="2618"/>
      <c r="S21" s="2618"/>
      <c r="T21" s="2618"/>
      <c r="W21" s="128"/>
    </row>
    <row r="22" spans="2:24" s="94" customFormat="1" ht="15" customHeight="1">
      <c r="B22" s="135" t="s">
        <v>597</v>
      </c>
      <c r="C22" s="2618" t="s">
        <v>1476</v>
      </c>
      <c r="D22" s="2618"/>
      <c r="E22" s="2618"/>
      <c r="F22" s="2618"/>
      <c r="G22" s="2618"/>
      <c r="H22" s="2618"/>
      <c r="I22" s="2618"/>
      <c r="J22" s="2618"/>
      <c r="K22" s="2618"/>
      <c r="L22" s="2618"/>
      <c r="M22" s="2618"/>
      <c r="N22" s="2618"/>
      <c r="O22" s="2618"/>
      <c r="P22" s="2618"/>
      <c r="Q22" s="2618"/>
      <c r="R22" s="2618"/>
      <c r="S22" s="2618"/>
      <c r="T22" s="2618"/>
      <c r="W22" s="128"/>
      <c r="X22" s="128"/>
    </row>
    <row r="23" spans="2:24" s="94" customFormat="1" ht="15" customHeight="1">
      <c r="B23" s="135"/>
      <c r="C23" s="2618"/>
      <c r="D23" s="2618"/>
      <c r="E23" s="2618"/>
      <c r="F23" s="2618"/>
      <c r="G23" s="2618"/>
      <c r="H23" s="2618"/>
      <c r="I23" s="2618"/>
      <c r="J23" s="2618"/>
      <c r="K23" s="2618"/>
      <c r="L23" s="2618"/>
      <c r="M23" s="2618"/>
      <c r="N23" s="2618"/>
      <c r="O23" s="2618"/>
      <c r="P23" s="2618"/>
      <c r="Q23" s="2618"/>
      <c r="R23" s="2618"/>
      <c r="S23" s="2618"/>
      <c r="T23" s="2618"/>
      <c r="W23" s="128"/>
    </row>
    <row r="24" spans="2:24" s="94" customFormat="1" ht="15" customHeight="1">
      <c r="B24" s="135"/>
      <c r="C24" s="2618"/>
      <c r="D24" s="2618"/>
      <c r="E24" s="2618"/>
      <c r="F24" s="2618"/>
      <c r="G24" s="2618"/>
      <c r="H24" s="2618"/>
      <c r="I24" s="2618"/>
      <c r="J24" s="2618"/>
      <c r="K24" s="2618"/>
      <c r="L24" s="2618"/>
      <c r="M24" s="2618"/>
      <c r="N24" s="2618"/>
      <c r="O24" s="2618"/>
      <c r="P24" s="2618"/>
      <c r="Q24" s="2618"/>
      <c r="R24" s="2618"/>
      <c r="S24" s="2618"/>
      <c r="T24" s="2618"/>
      <c r="W24" s="128"/>
    </row>
    <row r="25" spans="2:24" s="94" customFormat="1" ht="15" customHeight="1">
      <c r="B25" s="135" t="s">
        <v>603</v>
      </c>
      <c r="C25" s="2618" t="s">
        <v>1623</v>
      </c>
      <c r="D25" s="2618"/>
      <c r="E25" s="2618"/>
      <c r="F25" s="2618"/>
      <c r="G25" s="2618"/>
      <c r="H25" s="2618"/>
      <c r="I25" s="2618"/>
      <c r="J25" s="2618"/>
      <c r="K25" s="2618"/>
      <c r="L25" s="2618"/>
      <c r="M25" s="2618"/>
      <c r="N25" s="2618"/>
      <c r="O25" s="2618"/>
      <c r="P25" s="2618"/>
      <c r="Q25" s="2618"/>
      <c r="R25" s="2618"/>
      <c r="S25" s="2618"/>
      <c r="T25" s="2618"/>
      <c r="W25" s="128"/>
    </row>
    <row r="26" spans="2:24" s="94" customFormat="1" ht="15" customHeight="1">
      <c r="B26" s="135"/>
      <c r="C26" s="2618"/>
      <c r="D26" s="2618"/>
      <c r="E26" s="2618"/>
      <c r="F26" s="2618"/>
      <c r="G26" s="2618"/>
      <c r="H26" s="2618"/>
      <c r="I26" s="2618"/>
      <c r="J26" s="2618"/>
      <c r="K26" s="2618"/>
      <c r="L26" s="2618"/>
      <c r="M26" s="2618"/>
      <c r="N26" s="2618"/>
      <c r="O26" s="2618"/>
      <c r="P26" s="2618"/>
      <c r="Q26" s="2618"/>
      <c r="R26" s="2618"/>
      <c r="S26" s="2618"/>
      <c r="T26" s="2618"/>
      <c r="W26" s="128"/>
    </row>
    <row r="27" spans="2:24" s="94" customFormat="1" ht="15" customHeight="1">
      <c r="B27" s="135"/>
      <c r="C27" s="2618"/>
      <c r="D27" s="2618"/>
      <c r="E27" s="2618"/>
      <c r="F27" s="2618"/>
      <c r="G27" s="2618"/>
      <c r="H27" s="2618"/>
      <c r="I27" s="2618"/>
      <c r="J27" s="2618"/>
      <c r="K27" s="2618"/>
      <c r="L27" s="2618"/>
      <c r="M27" s="2618"/>
      <c r="N27" s="2618"/>
      <c r="O27" s="2618"/>
      <c r="P27" s="2618"/>
      <c r="Q27" s="2618"/>
      <c r="R27" s="2618"/>
      <c r="S27" s="2618"/>
      <c r="T27" s="2618"/>
      <c r="W27" s="128"/>
    </row>
    <row r="28" spans="2:24" s="94" customFormat="1" ht="15" customHeight="1">
      <c r="B28" s="135"/>
      <c r="C28" s="2618"/>
      <c r="D28" s="2618"/>
      <c r="E28" s="2618"/>
      <c r="F28" s="2618"/>
      <c r="G28" s="2618"/>
      <c r="H28" s="2618"/>
      <c r="I28" s="2618"/>
      <c r="J28" s="2618"/>
      <c r="K28" s="2618"/>
      <c r="L28" s="2618"/>
      <c r="M28" s="2618"/>
      <c r="N28" s="2618"/>
      <c r="O28" s="2618"/>
      <c r="P28" s="2618"/>
      <c r="Q28" s="2618"/>
      <c r="R28" s="2618"/>
      <c r="S28" s="2618"/>
      <c r="T28" s="2618"/>
      <c r="W28" s="128"/>
    </row>
    <row r="29" spans="2:24" s="94" customFormat="1" ht="18" customHeight="1">
      <c r="B29" s="135" t="s">
        <v>606</v>
      </c>
      <c r="C29" s="2618" t="str">
        <f>DBCS("　前５項の他、"&amp;【マスター】!C19&amp;"に定める内容を遵守し、事業を実施するものとする。")</f>
        <v>　前５項の他、に定める内容を遵守し、事業を実施するものとする。</v>
      </c>
      <c r="D29" s="2618"/>
      <c r="E29" s="2618"/>
      <c r="F29" s="2618"/>
      <c r="G29" s="2618"/>
      <c r="H29" s="2618"/>
      <c r="I29" s="2618"/>
      <c r="J29" s="2618"/>
      <c r="K29" s="2618"/>
      <c r="L29" s="2618"/>
      <c r="M29" s="2618"/>
      <c r="N29" s="2618"/>
      <c r="O29" s="2618"/>
      <c r="P29" s="2618"/>
      <c r="Q29" s="2618"/>
      <c r="R29" s="2618"/>
      <c r="S29" s="2618"/>
      <c r="T29" s="2618"/>
      <c r="W29" s="128"/>
    </row>
    <row r="30" spans="2:24" s="94" customFormat="1" ht="18" customHeight="1">
      <c r="B30" s="135"/>
      <c r="C30" s="2618"/>
      <c r="D30" s="2618"/>
      <c r="E30" s="2618"/>
      <c r="F30" s="2618"/>
      <c r="G30" s="2618"/>
      <c r="H30" s="2618"/>
      <c r="I30" s="2618"/>
      <c r="J30" s="2618"/>
      <c r="K30" s="2618"/>
      <c r="L30" s="2618"/>
      <c r="M30" s="2618"/>
      <c r="N30" s="2618"/>
      <c r="O30" s="2618"/>
      <c r="P30" s="2618"/>
      <c r="Q30" s="2618"/>
      <c r="R30" s="2618"/>
      <c r="S30" s="2618"/>
      <c r="T30" s="2618"/>
      <c r="W30" s="128"/>
    </row>
    <row r="31" spans="2:24" s="94" customFormat="1" ht="18" customHeight="1">
      <c r="B31" s="135"/>
      <c r="C31" s="2618"/>
      <c r="D31" s="2618"/>
      <c r="E31" s="2618"/>
      <c r="F31" s="2618"/>
      <c r="G31" s="2618"/>
      <c r="H31" s="2618"/>
      <c r="I31" s="2618"/>
      <c r="J31" s="2618"/>
      <c r="K31" s="2618"/>
      <c r="L31" s="2618"/>
      <c r="M31" s="2618"/>
      <c r="N31" s="2618"/>
      <c r="O31" s="2618"/>
      <c r="P31" s="2618"/>
      <c r="Q31" s="2618"/>
      <c r="R31" s="2618"/>
      <c r="S31" s="2618"/>
      <c r="T31" s="2618"/>
      <c r="W31" s="128"/>
    </row>
    <row r="32" spans="2:24" s="94" customFormat="1" ht="15" customHeight="1">
      <c r="B32" s="135"/>
      <c r="C32" s="590"/>
      <c r="D32" s="589"/>
      <c r="E32" s="589"/>
      <c r="F32" s="589"/>
      <c r="G32" s="589"/>
      <c r="H32" s="589"/>
      <c r="I32" s="589"/>
      <c r="J32" s="589"/>
      <c r="K32" s="589"/>
      <c r="L32" s="589"/>
      <c r="M32" s="589"/>
      <c r="N32" s="589"/>
      <c r="O32" s="589"/>
      <c r="P32" s="589"/>
      <c r="Q32" s="589"/>
      <c r="R32" s="589"/>
      <c r="S32" s="589"/>
      <c r="T32" s="589"/>
      <c r="W32" s="128"/>
    </row>
    <row r="33" spans="1:23" s="94" customFormat="1" ht="15" customHeight="1">
      <c r="A33" s="94" t="s">
        <v>1478</v>
      </c>
      <c r="B33" s="135"/>
      <c r="C33" s="135"/>
      <c r="W33" s="128"/>
    </row>
    <row r="34" spans="1:23" s="94" customFormat="1" ht="15" customHeight="1">
      <c r="A34" s="94" t="s">
        <v>586</v>
      </c>
      <c r="B34" s="135"/>
      <c r="C34" s="2618" t="s">
        <v>1479</v>
      </c>
      <c r="D34" s="2618"/>
      <c r="E34" s="2618"/>
      <c r="F34" s="2618"/>
      <c r="G34" s="2618"/>
      <c r="H34" s="2618"/>
      <c r="I34" s="2618"/>
      <c r="J34" s="2618"/>
      <c r="K34" s="2618"/>
      <c r="L34" s="2618"/>
      <c r="M34" s="2618"/>
      <c r="N34" s="2618"/>
      <c r="O34" s="2618"/>
      <c r="P34" s="2618"/>
      <c r="Q34" s="2618"/>
      <c r="R34" s="2618"/>
      <c r="S34" s="2618"/>
      <c r="T34" s="2618"/>
      <c r="W34" s="128"/>
    </row>
    <row r="35" spans="1:23" s="94" customFormat="1" ht="15" customHeight="1">
      <c r="B35" s="2613" t="s">
        <v>599</v>
      </c>
      <c r="C35" s="2613"/>
      <c r="D35" s="2614" t="s">
        <v>1480</v>
      </c>
      <c r="E35" s="2614"/>
      <c r="F35" s="2614" t="str">
        <f>【マスター】!C7&amp;【マスター】!E7</f>
        <v>デイサービスさつきの湯</v>
      </c>
      <c r="G35" s="2614"/>
      <c r="H35" s="2614"/>
      <c r="I35" s="2614"/>
      <c r="J35" s="2614"/>
      <c r="K35" s="2614"/>
      <c r="L35" s="2614"/>
      <c r="M35" s="2614"/>
      <c r="N35" s="2614"/>
      <c r="O35" s="2614"/>
      <c r="P35" s="2614"/>
      <c r="Q35" s="2614"/>
      <c r="R35" s="2614"/>
      <c r="S35" s="2614"/>
      <c r="T35" s="2614"/>
      <c r="W35" s="128"/>
    </row>
    <row r="36" spans="1:23" s="94" customFormat="1" ht="15" customHeight="1">
      <c r="B36" s="2619" t="s">
        <v>601</v>
      </c>
      <c r="C36" s="2619"/>
      <c r="D36" s="2614" t="s">
        <v>1481</v>
      </c>
      <c r="E36" s="2614"/>
      <c r="F36" s="2614" t="str">
        <f>DBCS(【マスター】!F8)</f>
        <v>愛知県豊川市八幡町本郷１４番地１</v>
      </c>
      <c r="G36" s="2614"/>
      <c r="H36" s="2614"/>
      <c r="I36" s="2614"/>
      <c r="J36" s="2614"/>
      <c r="K36" s="2614"/>
      <c r="L36" s="2614"/>
      <c r="M36" s="2614"/>
      <c r="N36" s="2614"/>
      <c r="O36" s="2614"/>
      <c r="P36" s="2614"/>
      <c r="Q36" s="2614"/>
      <c r="R36" s="2614"/>
      <c r="S36" s="2614"/>
      <c r="T36" s="2614"/>
      <c r="W36" s="128"/>
    </row>
    <row r="37" spans="1:23" s="94" customFormat="1" ht="15" customHeight="1">
      <c r="B37" s="135"/>
      <c r="C37" s="135"/>
      <c r="W37" s="128"/>
    </row>
    <row r="38" spans="1:23" s="94" customFormat="1" ht="15" customHeight="1">
      <c r="A38" s="94" t="s">
        <v>1482</v>
      </c>
      <c r="B38" s="135"/>
      <c r="C38" s="135"/>
      <c r="W38" s="128"/>
    </row>
    <row r="39" spans="1:23" s="94" customFormat="1" ht="15" customHeight="1">
      <c r="A39" s="94" t="s">
        <v>589</v>
      </c>
      <c r="B39" s="135"/>
      <c r="C39" s="2618" t="s">
        <v>1624</v>
      </c>
      <c r="D39" s="2618"/>
      <c r="E39" s="2618"/>
      <c r="F39" s="2618"/>
      <c r="G39" s="2618"/>
      <c r="H39" s="2618"/>
      <c r="I39" s="2618"/>
      <c r="J39" s="2618"/>
      <c r="K39" s="2618"/>
      <c r="L39" s="2618"/>
      <c r="M39" s="2618"/>
      <c r="N39" s="2618"/>
      <c r="O39" s="2618"/>
      <c r="P39" s="2618"/>
      <c r="Q39" s="2618"/>
      <c r="R39" s="2618"/>
      <c r="S39" s="2618"/>
      <c r="T39" s="2618"/>
      <c r="W39" s="128"/>
    </row>
    <row r="40" spans="1:23" s="94" customFormat="1" ht="15" customHeight="1">
      <c r="B40" s="2613" t="s">
        <v>599</v>
      </c>
      <c r="C40" s="2613"/>
      <c r="D40" s="94" t="s">
        <v>1625</v>
      </c>
      <c r="E40" s="155"/>
      <c r="W40" s="128"/>
    </row>
    <row r="41" spans="1:23" s="94" customFormat="1" ht="15" customHeight="1">
      <c r="B41" s="587"/>
      <c r="C41" s="587"/>
      <c r="D41" s="2618" t="s">
        <v>1626</v>
      </c>
      <c r="E41" s="2618"/>
      <c r="F41" s="2618"/>
      <c r="G41" s="2618"/>
      <c r="H41" s="2618"/>
      <c r="I41" s="2618"/>
      <c r="J41" s="2618"/>
      <c r="K41" s="2618"/>
      <c r="L41" s="2618"/>
      <c r="M41" s="2618"/>
      <c r="N41" s="2618"/>
      <c r="O41" s="2618"/>
      <c r="P41" s="2618"/>
      <c r="Q41" s="2618"/>
      <c r="R41" s="2618"/>
      <c r="S41" s="2618"/>
      <c r="T41" s="2618"/>
      <c r="W41" s="128"/>
    </row>
    <row r="42" spans="1:23" s="94" customFormat="1" ht="15" customHeight="1">
      <c r="B42" s="587"/>
      <c r="C42" s="587"/>
      <c r="D42" s="2618"/>
      <c r="E42" s="2618"/>
      <c r="F42" s="2618"/>
      <c r="G42" s="2618"/>
      <c r="H42" s="2618"/>
      <c r="I42" s="2618"/>
      <c r="J42" s="2618"/>
      <c r="K42" s="2618"/>
      <c r="L42" s="2618"/>
      <c r="M42" s="2618"/>
      <c r="N42" s="2618"/>
      <c r="O42" s="2618"/>
      <c r="P42" s="2618"/>
      <c r="Q42" s="2618"/>
      <c r="R42" s="2618"/>
      <c r="S42" s="2618"/>
      <c r="T42" s="2618"/>
      <c r="W42" s="128"/>
    </row>
    <row r="43" spans="1:23" s="94" customFormat="1" ht="15" customHeight="1">
      <c r="B43" s="587"/>
      <c r="C43" s="587"/>
      <c r="D43" s="94" t="s">
        <v>1627</v>
      </c>
      <c r="E43" s="155"/>
      <c r="F43" s="155"/>
      <c r="G43" s="155"/>
      <c r="H43" s="94" t="s">
        <v>1628</v>
      </c>
      <c r="K43" s="155"/>
      <c r="L43" s="155"/>
      <c r="M43" s="155"/>
      <c r="N43" s="156" t="s">
        <v>1629</v>
      </c>
      <c r="P43" s="155"/>
      <c r="Q43" s="155"/>
      <c r="S43" s="589"/>
      <c r="T43" s="589"/>
      <c r="W43" s="128"/>
    </row>
    <row r="44" spans="1:23" s="94" customFormat="1" ht="15" customHeight="1">
      <c r="B44" s="587"/>
      <c r="C44" s="587"/>
      <c r="D44" s="94" t="s">
        <v>1630</v>
      </c>
      <c r="E44" s="155"/>
      <c r="F44" s="155"/>
      <c r="G44" s="155"/>
      <c r="H44" s="94" t="s">
        <v>1631</v>
      </c>
      <c r="K44" s="155"/>
      <c r="L44" s="155"/>
      <c r="M44" s="155"/>
      <c r="N44" s="94" t="s">
        <v>1632</v>
      </c>
      <c r="P44" s="155"/>
      <c r="Q44" s="155"/>
      <c r="S44" s="589"/>
      <c r="T44" s="589"/>
      <c r="W44" s="128"/>
    </row>
    <row r="45" spans="1:23" s="94" customFormat="1" ht="15" customHeight="1">
      <c r="B45" s="2619" t="s">
        <v>601</v>
      </c>
      <c r="C45" s="2619"/>
      <c r="D45" s="94" t="s">
        <v>1633</v>
      </c>
      <c r="W45" s="128"/>
    </row>
    <row r="46" spans="1:23" s="94" customFormat="1" ht="15" customHeight="1">
      <c r="B46" s="161"/>
      <c r="C46" s="161"/>
      <c r="D46" s="2618" t="s">
        <v>1634</v>
      </c>
      <c r="E46" s="2618"/>
      <c r="F46" s="2618"/>
      <c r="G46" s="2618"/>
      <c r="H46" s="2618"/>
      <c r="I46" s="2618"/>
      <c r="J46" s="2618"/>
      <c r="K46" s="2618"/>
      <c r="L46" s="2618"/>
      <c r="M46" s="2618"/>
      <c r="N46" s="2618"/>
      <c r="O46" s="2618"/>
      <c r="P46" s="2618"/>
      <c r="Q46" s="2618"/>
      <c r="R46" s="2618"/>
      <c r="S46" s="2618"/>
      <c r="T46" s="2618"/>
      <c r="W46" s="128"/>
    </row>
    <row r="47" spans="1:23" s="94" customFormat="1" ht="15" customHeight="1">
      <c r="B47" s="2619" t="s">
        <v>635</v>
      </c>
      <c r="C47" s="2619"/>
      <c r="D47" s="94" t="s">
        <v>1635</v>
      </c>
      <c r="J47" s="94" t="s">
        <v>1636</v>
      </c>
      <c r="W47" s="128"/>
    </row>
    <row r="48" spans="1:23" s="94" customFormat="1" ht="15" customHeight="1">
      <c r="B48" s="161"/>
      <c r="C48" s="161"/>
      <c r="D48" s="2618" t="s">
        <v>1637</v>
      </c>
      <c r="E48" s="2618"/>
      <c r="F48" s="2618"/>
      <c r="G48" s="2618"/>
      <c r="H48" s="2618"/>
      <c r="I48" s="2618"/>
      <c r="J48" s="2618"/>
      <c r="K48" s="2618"/>
      <c r="L48" s="2618"/>
      <c r="M48" s="2618"/>
      <c r="N48" s="2618"/>
      <c r="O48" s="2618"/>
      <c r="P48" s="2618"/>
      <c r="Q48" s="2618"/>
      <c r="R48" s="2618"/>
      <c r="S48" s="2618"/>
      <c r="T48" s="2618"/>
      <c r="W48" s="128"/>
    </row>
    <row r="49" spans="1:24" s="94" customFormat="1" ht="15" customHeight="1">
      <c r="B49" s="161"/>
      <c r="C49" s="161"/>
      <c r="D49" s="589"/>
      <c r="E49" s="589"/>
      <c r="F49" s="589"/>
      <c r="G49" s="589"/>
      <c r="H49" s="589"/>
      <c r="I49" s="589"/>
      <c r="J49" s="589"/>
      <c r="K49" s="589"/>
      <c r="L49" s="589"/>
      <c r="M49" s="589"/>
      <c r="N49" s="589"/>
      <c r="O49" s="589"/>
      <c r="P49" s="589"/>
      <c r="Q49" s="589"/>
      <c r="R49" s="589"/>
      <c r="S49" s="589"/>
      <c r="T49" s="589"/>
      <c r="W49" s="128"/>
    </row>
    <row r="50" spans="1:24" s="94" customFormat="1" ht="15" customHeight="1">
      <c r="A50" s="94" t="s">
        <v>1496</v>
      </c>
      <c r="B50" s="135"/>
      <c r="C50" s="135"/>
      <c r="W50" s="128"/>
    </row>
    <row r="51" spans="1:24" s="94" customFormat="1" ht="15" customHeight="1">
      <c r="A51" s="94" t="s">
        <v>610</v>
      </c>
      <c r="B51" s="135"/>
      <c r="C51" s="135" t="s">
        <v>1638</v>
      </c>
      <c r="W51" s="128"/>
    </row>
    <row r="52" spans="1:24" s="94" customFormat="1" ht="15" customHeight="1">
      <c r="B52" s="2613" t="s">
        <v>599</v>
      </c>
      <c r="C52" s="2613"/>
      <c r="D52" s="94" t="s">
        <v>1498</v>
      </c>
      <c r="J52" s="94" t="str">
        <f>DBCS(【マスター】!K15)</f>
        <v>月曜日～土曜日</v>
      </c>
      <c r="W52" s="128"/>
    </row>
    <row r="53" spans="1:24" s="94" customFormat="1" ht="15" customHeight="1">
      <c r="B53" s="2619" t="s">
        <v>601</v>
      </c>
      <c r="C53" s="2619"/>
      <c r="D53" s="94" t="s">
        <v>1499</v>
      </c>
      <c r="J53" s="94" t="s">
        <v>908</v>
      </c>
      <c r="W53" s="128"/>
    </row>
    <row r="54" spans="1:24" s="94" customFormat="1" ht="15" customHeight="1">
      <c r="B54" s="2619" t="s">
        <v>635</v>
      </c>
      <c r="C54" s="2619"/>
      <c r="D54" s="94" t="s">
        <v>1500</v>
      </c>
      <c r="J54" s="94" t="s">
        <v>908</v>
      </c>
      <c r="W54" s="128"/>
    </row>
    <row r="55" spans="1:24" s="94" customFormat="1" ht="15" customHeight="1">
      <c r="B55" s="135"/>
      <c r="C55" s="135"/>
      <c r="D55" s="94" t="s">
        <v>1639</v>
      </c>
      <c r="J55" s="94" t="str">
        <f>DBCS(【マスター】!I13&amp;【マスター】!J13&amp;"翌朝"&amp;【マスター】!K13)</f>
        <v>～翌朝</v>
      </c>
      <c r="W55" s="128"/>
    </row>
    <row r="56" spans="1:24" s="94" customFormat="1" ht="15" customHeight="1">
      <c r="B56" s="135"/>
      <c r="C56" s="135"/>
      <c r="W56" s="128"/>
    </row>
    <row r="57" spans="1:24" s="94" customFormat="1" ht="15" customHeight="1">
      <c r="A57" s="94" t="s">
        <v>1502</v>
      </c>
      <c r="B57" s="135"/>
      <c r="C57" s="135"/>
      <c r="W57" s="128"/>
    </row>
    <row r="58" spans="1:24" s="94" customFormat="1" ht="15" customHeight="1">
      <c r="A58" s="94" t="s">
        <v>618</v>
      </c>
      <c r="B58" s="135"/>
      <c r="C58" s="94" t="s">
        <v>1640</v>
      </c>
      <c r="W58" s="128"/>
    </row>
    <row r="59" spans="1:24" s="94" customFormat="1" ht="15" customHeight="1">
      <c r="B59" s="135"/>
      <c r="D59" s="94" t="s">
        <v>1641</v>
      </c>
      <c r="J59" s="94" t="str">
        <f>DBCS(【マスター】!H17&amp;【マスター】!I17)</f>
        <v>９名</v>
      </c>
      <c r="W59" s="128"/>
    </row>
    <row r="60" spans="1:24" s="94" customFormat="1" ht="15" customHeight="1">
      <c r="B60" s="135"/>
      <c r="D60" s="94" t="s">
        <v>1642</v>
      </c>
      <c r="J60" s="94" t="s">
        <v>1643</v>
      </c>
      <c r="X60" s="128"/>
    </row>
    <row r="61" spans="1:24" s="94" customFormat="1" ht="15" customHeight="1">
      <c r="B61" s="135"/>
      <c r="W61" s="128"/>
    </row>
    <row r="62" spans="1:24" s="94" customFormat="1" ht="15" customHeight="1">
      <c r="A62" s="94" t="s">
        <v>1644</v>
      </c>
      <c r="B62" s="135"/>
      <c r="C62" s="135"/>
      <c r="W62" s="128"/>
    </row>
    <row r="63" spans="1:24" s="94" customFormat="1" ht="15" customHeight="1">
      <c r="A63" s="94" t="s">
        <v>623</v>
      </c>
      <c r="B63" s="135"/>
      <c r="C63" s="2618" t="s">
        <v>1645</v>
      </c>
      <c r="D63" s="2618"/>
      <c r="E63" s="2618"/>
      <c r="F63" s="2618"/>
      <c r="G63" s="2618"/>
      <c r="H63" s="2618"/>
      <c r="I63" s="2618"/>
      <c r="J63" s="2618"/>
      <c r="K63" s="2618"/>
      <c r="L63" s="2618"/>
      <c r="M63" s="2618"/>
      <c r="N63" s="2618"/>
      <c r="O63" s="2618"/>
      <c r="P63" s="2618"/>
      <c r="Q63" s="2618"/>
      <c r="R63" s="2618"/>
      <c r="S63" s="2618"/>
      <c r="T63" s="2618"/>
      <c r="W63" s="128"/>
    </row>
    <row r="64" spans="1:24" s="94" customFormat="1" ht="15" customHeight="1">
      <c r="B64" s="135"/>
      <c r="C64" s="2618"/>
      <c r="D64" s="2618"/>
      <c r="E64" s="2618"/>
      <c r="F64" s="2618"/>
      <c r="G64" s="2618"/>
      <c r="H64" s="2618"/>
      <c r="I64" s="2618"/>
      <c r="J64" s="2618"/>
      <c r="K64" s="2618"/>
      <c r="L64" s="2618"/>
      <c r="M64" s="2618"/>
      <c r="N64" s="2618"/>
      <c r="O64" s="2618"/>
      <c r="P64" s="2618"/>
      <c r="Q64" s="2618"/>
      <c r="R64" s="2618"/>
      <c r="S64" s="2618"/>
      <c r="T64" s="2618"/>
      <c r="W64" s="128"/>
    </row>
    <row r="65" spans="2:23" s="94" customFormat="1" ht="15" customHeight="1">
      <c r="B65" s="2613" t="s">
        <v>599</v>
      </c>
      <c r="C65" s="2613"/>
      <c r="D65" s="588" t="s">
        <v>1646</v>
      </c>
      <c r="E65" s="589"/>
      <c r="F65" s="589"/>
      <c r="G65" s="589"/>
      <c r="H65" s="589"/>
      <c r="I65" s="589"/>
      <c r="J65" s="589"/>
      <c r="K65" s="589"/>
      <c r="L65" s="589"/>
      <c r="M65" s="589"/>
      <c r="N65" s="589"/>
      <c r="O65" s="589"/>
      <c r="P65" s="589"/>
      <c r="Q65" s="589"/>
      <c r="R65" s="589"/>
      <c r="S65" s="589"/>
      <c r="T65" s="589"/>
      <c r="W65" s="128"/>
    </row>
    <row r="66" spans="2:23" s="94" customFormat="1" ht="15" customHeight="1">
      <c r="B66" s="157"/>
      <c r="C66" s="587" t="s">
        <v>380</v>
      </c>
      <c r="D66" s="2618" t="s">
        <v>1647</v>
      </c>
      <c r="E66" s="2618"/>
      <c r="F66" s="2618"/>
      <c r="G66" s="2618"/>
      <c r="H66" s="2618"/>
      <c r="I66" s="2618"/>
      <c r="J66" s="2618"/>
      <c r="K66" s="2618"/>
      <c r="L66" s="2618"/>
      <c r="M66" s="2618"/>
      <c r="N66" s="2618"/>
      <c r="O66" s="2618"/>
      <c r="P66" s="2618"/>
      <c r="Q66" s="2618"/>
      <c r="R66" s="2618"/>
      <c r="S66" s="2618"/>
      <c r="T66" s="2618"/>
      <c r="W66" s="128"/>
    </row>
    <row r="67" spans="2:23" s="94" customFormat="1" ht="15" customHeight="1">
      <c r="B67" s="135"/>
      <c r="C67" s="588"/>
      <c r="D67" s="2618"/>
      <c r="E67" s="2618"/>
      <c r="F67" s="2618"/>
      <c r="G67" s="2618"/>
      <c r="H67" s="2618"/>
      <c r="I67" s="2618"/>
      <c r="J67" s="2618"/>
      <c r="K67" s="2618"/>
      <c r="L67" s="2618"/>
      <c r="M67" s="2618"/>
      <c r="N67" s="2618"/>
      <c r="O67" s="2618"/>
      <c r="P67" s="2618"/>
      <c r="Q67" s="2618"/>
      <c r="R67" s="2618"/>
      <c r="S67" s="2618"/>
      <c r="T67" s="2618"/>
      <c r="W67" s="128"/>
    </row>
    <row r="68" spans="2:23" s="94" customFormat="1" ht="15" customHeight="1">
      <c r="B68" s="157"/>
      <c r="C68" s="587" t="s">
        <v>382</v>
      </c>
      <c r="D68" s="2618" t="s">
        <v>1648</v>
      </c>
      <c r="E68" s="2618"/>
      <c r="F68" s="2618"/>
      <c r="G68" s="2618"/>
      <c r="H68" s="2618"/>
      <c r="I68" s="2618"/>
      <c r="J68" s="2618"/>
      <c r="K68" s="2618"/>
      <c r="L68" s="2618"/>
      <c r="M68" s="2618"/>
      <c r="N68" s="2618"/>
      <c r="O68" s="2618"/>
      <c r="P68" s="2618"/>
      <c r="Q68" s="2618"/>
      <c r="R68" s="2618"/>
      <c r="S68" s="2618"/>
      <c r="T68" s="2618"/>
      <c r="W68" s="128"/>
    </row>
    <row r="69" spans="2:23" s="94" customFormat="1" ht="15" customHeight="1">
      <c r="B69" s="135"/>
      <c r="C69" s="588"/>
      <c r="D69" s="2618"/>
      <c r="E69" s="2618"/>
      <c r="F69" s="2618"/>
      <c r="G69" s="2618"/>
      <c r="H69" s="2618"/>
      <c r="I69" s="2618"/>
      <c r="J69" s="2618"/>
      <c r="K69" s="2618"/>
      <c r="L69" s="2618"/>
      <c r="M69" s="2618"/>
      <c r="N69" s="2618"/>
      <c r="O69" s="2618"/>
      <c r="P69" s="2618"/>
      <c r="Q69" s="2618"/>
      <c r="R69" s="2618"/>
      <c r="S69" s="2618"/>
      <c r="T69" s="2618"/>
      <c r="W69" s="128"/>
    </row>
    <row r="70" spans="2:23" s="94" customFormat="1" ht="15" customHeight="1">
      <c r="B70" s="157"/>
      <c r="C70" s="587" t="s">
        <v>384</v>
      </c>
      <c r="D70" s="2618" t="s">
        <v>1649</v>
      </c>
      <c r="E70" s="2618"/>
      <c r="F70" s="2618"/>
      <c r="G70" s="2618"/>
      <c r="H70" s="2618"/>
      <c r="I70" s="2618"/>
      <c r="J70" s="2618"/>
      <c r="K70" s="2618"/>
      <c r="L70" s="2618"/>
      <c r="M70" s="2618"/>
      <c r="N70" s="2618"/>
      <c r="O70" s="2618"/>
      <c r="P70" s="2618"/>
      <c r="Q70" s="2618"/>
      <c r="R70" s="2618"/>
      <c r="S70" s="2618"/>
      <c r="T70" s="2618"/>
      <c r="W70" s="128"/>
    </row>
    <row r="71" spans="2:23" s="94" customFormat="1" ht="15" customHeight="1">
      <c r="B71" s="157"/>
      <c r="C71" s="587"/>
      <c r="D71" s="2618"/>
      <c r="E71" s="2618"/>
      <c r="F71" s="2618"/>
      <c r="G71" s="2618"/>
      <c r="H71" s="2618"/>
      <c r="I71" s="2618"/>
      <c r="J71" s="2618"/>
      <c r="K71" s="2618"/>
      <c r="L71" s="2618"/>
      <c r="M71" s="2618"/>
      <c r="N71" s="2618"/>
      <c r="O71" s="2618"/>
      <c r="P71" s="2618"/>
      <c r="Q71" s="2618"/>
      <c r="R71" s="2618"/>
      <c r="S71" s="2618"/>
      <c r="T71" s="2618"/>
      <c r="W71" s="128"/>
    </row>
    <row r="72" spans="2:23" s="94" customFormat="1" ht="15" customHeight="1">
      <c r="B72" s="157"/>
      <c r="C72" s="587" t="s">
        <v>386</v>
      </c>
      <c r="D72" s="2618" t="s">
        <v>1650</v>
      </c>
      <c r="E72" s="2618"/>
      <c r="F72" s="2618"/>
      <c r="G72" s="2618"/>
      <c r="H72" s="2618"/>
      <c r="I72" s="2618"/>
      <c r="J72" s="2618"/>
      <c r="K72" s="2618"/>
      <c r="L72" s="2618"/>
      <c r="M72" s="2618"/>
      <c r="N72" s="2618"/>
      <c r="O72" s="2618"/>
      <c r="P72" s="2618"/>
      <c r="Q72" s="2618"/>
      <c r="R72" s="2618"/>
      <c r="S72" s="2618"/>
      <c r="T72" s="2618"/>
      <c r="W72" s="128"/>
    </row>
    <row r="73" spans="2:23" s="94" customFormat="1" ht="15" customHeight="1">
      <c r="B73" s="157"/>
      <c r="C73" s="587"/>
      <c r="D73" s="2618"/>
      <c r="E73" s="2618"/>
      <c r="F73" s="2618"/>
      <c r="G73" s="2618"/>
      <c r="H73" s="2618"/>
      <c r="I73" s="2618"/>
      <c r="J73" s="2618"/>
      <c r="K73" s="2618"/>
      <c r="L73" s="2618"/>
      <c r="M73" s="2618"/>
      <c r="N73" s="2618"/>
      <c r="O73" s="2618"/>
      <c r="P73" s="2618"/>
      <c r="Q73" s="2618"/>
      <c r="R73" s="2618"/>
      <c r="S73" s="2618"/>
      <c r="T73" s="2618"/>
      <c r="W73" s="128"/>
    </row>
    <row r="74" spans="2:23" s="94" customFormat="1" ht="15" customHeight="1">
      <c r="B74" s="157"/>
      <c r="C74" s="587" t="s">
        <v>388</v>
      </c>
      <c r="D74" s="2618" t="s">
        <v>1651</v>
      </c>
      <c r="E74" s="2618"/>
      <c r="F74" s="2618"/>
      <c r="G74" s="2618"/>
      <c r="H74" s="2618"/>
      <c r="I74" s="2618"/>
      <c r="J74" s="2618"/>
      <c r="K74" s="2618"/>
      <c r="L74" s="2618"/>
      <c r="M74" s="2618"/>
      <c r="N74" s="2618"/>
      <c r="O74" s="2618"/>
      <c r="P74" s="2618"/>
      <c r="Q74" s="2618"/>
      <c r="R74" s="2618"/>
      <c r="S74" s="2618"/>
      <c r="T74" s="2618"/>
      <c r="W74" s="128"/>
    </row>
    <row r="75" spans="2:23" s="94" customFormat="1" ht="15" customHeight="1">
      <c r="B75" s="135"/>
      <c r="C75" s="588"/>
      <c r="D75" s="2618"/>
      <c r="E75" s="2618"/>
      <c r="F75" s="2618"/>
      <c r="G75" s="2618"/>
      <c r="H75" s="2618"/>
      <c r="I75" s="2618"/>
      <c r="J75" s="2618"/>
      <c r="K75" s="2618"/>
      <c r="L75" s="2618"/>
      <c r="M75" s="2618"/>
      <c r="N75" s="2618"/>
      <c r="O75" s="2618"/>
      <c r="P75" s="2618"/>
      <c r="Q75" s="2618"/>
      <c r="R75" s="2618"/>
      <c r="S75" s="2618"/>
      <c r="T75" s="2618"/>
      <c r="W75" s="128"/>
    </row>
    <row r="76" spans="2:23" s="94" customFormat="1" ht="15" customHeight="1">
      <c r="B76" s="2619" t="s">
        <v>601</v>
      </c>
      <c r="C76" s="2619"/>
      <c r="D76" s="588" t="s">
        <v>353</v>
      </c>
      <c r="E76" s="588"/>
      <c r="F76" s="588"/>
      <c r="G76" s="588"/>
      <c r="H76" s="588"/>
      <c r="I76" s="588"/>
      <c r="J76" s="588"/>
      <c r="K76" s="588"/>
      <c r="L76" s="588"/>
      <c r="M76" s="588"/>
      <c r="N76" s="588"/>
      <c r="O76" s="588"/>
      <c r="P76" s="588"/>
      <c r="Q76" s="588"/>
      <c r="R76" s="588"/>
      <c r="S76" s="588"/>
      <c r="T76" s="588"/>
      <c r="W76" s="128"/>
    </row>
    <row r="77" spans="2:23" s="94" customFormat="1" ht="15" customHeight="1">
      <c r="B77" s="135"/>
      <c r="C77" s="587" t="s">
        <v>380</v>
      </c>
      <c r="D77" s="2618" t="s">
        <v>1652</v>
      </c>
      <c r="E77" s="2618"/>
      <c r="F77" s="2618"/>
      <c r="G77" s="2618"/>
      <c r="H77" s="2618"/>
      <c r="I77" s="2618"/>
      <c r="J77" s="2618"/>
      <c r="K77" s="2618"/>
      <c r="L77" s="2618"/>
      <c r="M77" s="2618"/>
      <c r="N77" s="2618"/>
      <c r="O77" s="2618"/>
      <c r="P77" s="2618"/>
      <c r="Q77" s="2618"/>
      <c r="R77" s="2618"/>
      <c r="S77" s="2618"/>
      <c r="T77" s="2618"/>
      <c r="W77" s="128"/>
    </row>
    <row r="78" spans="2:23" s="94" customFormat="1" ht="15" customHeight="1">
      <c r="B78" s="135"/>
      <c r="C78" s="588"/>
      <c r="D78" s="2618"/>
      <c r="E78" s="2618"/>
      <c r="F78" s="2618"/>
      <c r="G78" s="2618"/>
      <c r="H78" s="2618"/>
      <c r="I78" s="2618"/>
      <c r="J78" s="2618"/>
      <c r="K78" s="2618"/>
      <c r="L78" s="2618"/>
      <c r="M78" s="2618"/>
      <c r="N78" s="2618"/>
      <c r="O78" s="2618"/>
      <c r="P78" s="2618"/>
      <c r="Q78" s="2618"/>
      <c r="R78" s="2618"/>
      <c r="S78" s="2618"/>
      <c r="T78" s="2618"/>
      <c r="W78" s="128"/>
    </row>
    <row r="79" spans="2:23" s="94" customFormat="1" ht="15" customHeight="1">
      <c r="B79" s="157"/>
      <c r="C79" s="587" t="s">
        <v>382</v>
      </c>
      <c r="D79" s="2618" t="s">
        <v>1653</v>
      </c>
      <c r="E79" s="2618"/>
      <c r="F79" s="2618"/>
      <c r="G79" s="2618"/>
      <c r="H79" s="2618"/>
      <c r="I79" s="2618"/>
      <c r="J79" s="2618"/>
      <c r="K79" s="2618"/>
      <c r="L79" s="2618"/>
      <c r="M79" s="2618"/>
      <c r="N79" s="2618"/>
      <c r="O79" s="2618"/>
      <c r="P79" s="2618"/>
      <c r="Q79" s="2618"/>
      <c r="R79" s="2618"/>
      <c r="S79" s="2618"/>
      <c r="T79" s="2618"/>
      <c r="W79" s="128"/>
    </row>
    <row r="80" spans="2:23" s="94" customFormat="1" ht="15" customHeight="1">
      <c r="B80" s="2619" t="s">
        <v>635</v>
      </c>
      <c r="C80" s="2619"/>
      <c r="D80" s="588" t="s">
        <v>1654</v>
      </c>
      <c r="E80" s="588"/>
      <c r="F80" s="588"/>
      <c r="G80" s="588"/>
      <c r="H80" s="588"/>
      <c r="I80" s="588"/>
      <c r="J80" s="588"/>
      <c r="K80" s="588"/>
      <c r="L80" s="588"/>
      <c r="M80" s="588"/>
      <c r="N80" s="588"/>
      <c r="O80" s="588"/>
      <c r="P80" s="588"/>
      <c r="Q80" s="588"/>
      <c r="R80" s="588"/>
      <c r="S80" s="588"/>
      <c r="T80" s="588"/>
      <c r="W80" s="128"/>
    </row>
    <row r="81" spans="2:23" s="94" customFormat="1" ht="15" customHeight="1">
      <c r="B81" s="135"/>
      <c r="C81" s="588"/>
      <c r="D81" s="2618" t="s">
        <v>1655</v>
      </c>
      <c r="E81" s="2618"/>
      <c r="F81" s="2618"/>
      <c r="G81" s="2618"/>
      <c r="H81" s="2618"/>
      <c r="I81" s="2618"/>
      <c r="J81" s="2618"/>
      <c r="K81" s="2618"/>
      <c r="L81" s="2618"/>
      <c r="M81" s="2618"/>
      <c r="N81" s="2618"/>
      <c r="O81" s="2618"/>
      <c r="P81" s="2618"/>
      <c r="Q81" s="2618"/>
      <c r="R81" s="2618"/>
      <c r="S81" s="2618"/>
      <c r="T81" s="2618"/>
      <c r="W81" s="128"/>
    </row>
    <row r="82" spans="2:23" s="94" customFormat="1" ht="15" customHeight="1">
      <c r="B82" s="135"/>
      <c r="C82" s="588"/>
      <c r="D82" s="2618"/>
      <c r="E82" s="2618"/>
      <c r="F82" s="2618"/>
      <c r="G82" s="2618"/>
      <c r="H82" s="2618"/>
      <c r="I82" s="2618"/>
      <c r="J82" s="2618"/>
      <c r="K82" s="2618"/>
      <c r="L82" s="2618"/>
      <c r="M82" s="2618"/>
      <c r="N82" s="2618"/>
      <c r="O82" s="2618"/>
      <c r="P82" s="2618"/>
      <c r="Q82" s="2618"/>
      <c r="R82" s="2618"/>
      <c r="S82" s="2618"/>
      <c r="T82" s="2618"/>
      <c r="W82" s="128"/>
    </row>
    <row r="83" spans="2:23" s="94" customFormat="1" ht="15" customHeight="1">
      <c r="B83" s="135"/>
      <c r="C83" s="588"/>
      <c r="D83" s="2618"/>
      <c r="E83" s="2618"/>
      <c r="F83" s="2618"/>
      <c r="G83" s="2618"/>
      <c r="H83" s="2618"/>
      <c r="I83" s="2618"/>
      <c r="J83" s="2618"/>
      <c r="K83" s="2618"/>
      <c r="L83" s="2618"/>
      <c r="M83" s="2618"/>
      <c r="N83" s="2618"/>
      <c r="O83" s="2618"/>
      <c r="P83" s="2618"/>
      <c r="Q83" s="2618"/>
      <c r="R83" s="2618"/>
      <c r="S83" s="2618"/>
      <c r="T83" s="2618"/>
      <c r="W83" s="128"/>
    </row>
    <row r="84" spans="2:23" s="94" customFormat="1" ht="15" customHeight="1">
      <c r="B84" s="2619" t="s">
        <v>655</v>
      </c>
      <c r="C84" s="2619"/>
      <c r="D84" s="588" t="s">
        <v>1656</v>
      </c>
      <c r="E84" s="588"/>
      <c r="F84" s="588"/>
      <c r="G84" s="588"/>
      <c r="H84" s="588"/>
      <c r="I84" s="588"/>
      <c r="J84" s="588"/>
      <c r="K84" s="588"/>
      <c r="L84" s="588"/>
      <c r="M84" s="588"/>
      <c r="N84" s="588"/>
      <c r="O84" s="588"/>
      <c r="P84" s="588"/>
      <c r="Q84" s="588"/>
      <c r="R84" s="588"/>
      <c r="S84" s="588"/>
      <c r="T84" s="588"/>
      <c r="W84" s="128"/>
    </row>
    <row r="85" spans="2:23" s="94" customFormat="1" ht="15" customHeight="1">
      <c r="B85" s="161"/>
      <c r="C85" s="161"/>
      <c r="D85" s="2618" t="s">
        <v>1657</v>
      </c>
      <c r="E85" s="2618"/>
      <c r="F85" s="2618"/>
      <c r="G85" s="2618"/>
      <c r="H85" s="2618"/>
      <c r="I85" s="2618"/>
      <c r="J85" s="2618"/>
      <c r="K85" s="2618"/>
      <c r="L85" s="2618"/>
      <c r="M85" s="2618"/>
      <c r="N85" s="2618"/>
      <c r="O85" s="2618"/>
      <c r="P85" s="2618"/>
      <c r="Q85" s="2618"/>
      <c r="R85" s="2618"/>
      <c r="S85" s="2618"/>
      <c r="T85" s="2618"/>
      <c r="W85" s="128"/>
    </row>
    <row r="86" spans="2:23" s="94" customFormat="1" ht="15" customHeight="1">
      <c r="B86" s="161"/>
      <c r="C86" s="161"/>
      <c r="D86" s="2618"/>
      <c r="E86" s="2618"/>
      <c r="F86" s="2618"/>
      <c r="G86" s="2618"/>
      <c r="H86" s="2618"/>
      <c r="I86" s="2618"/>
      <c r="J86" s="2618"/>
      <c r="K86" s="2618"/>
      <c r="L86" s="2618"/>
      <c r="M86" s="2618"/>
      <c r="N86" s="2618"/>
      <c r="O86" s="2618"/>
      <c r="P86" s="2618"/>
      <c r="Q86" s="2618"/>
      <c r="R86" s="2618"/>
      <c r="S86" s="2618"/>
      <c r="T86" s="2618"/>
      <c r="W86" s="128"/>
    </row>
    <row r="87" spans="2:23" s="94" customFormat="1" ht="15" customHeight="1">
      <c r="B87" s="161"/>
      <c r="C87" s="161"/>
      <c r="D87" s="2618"/>
      <c r="E87" s="2618"/>
      <c r="F87" s="2618"/>
      <c r="G87" s="2618"/>
      <c r="H87" s="2618"/>
      <c r="I87" s="2618"/>
      <c r="J87" s="2618"/>
      <c r="K87" s="2618"/>
      <c r="L87" s="2618"/>
      <c r="M87" s="2618"/>
      <c r="N87" s="2618"/>
      <c r="O87" s="2618"/>
      <c r="P87" s="2618"/>
      <c r="Q87" s="2618"/>
      <c r="R87" s="2618"/>
      <c r="S87" s="2618"/>
      <c r="T87" s="2618"/>
      <c r="W87" s="128"/>
    </row>
    <row r="88" spans="2:23" s="94" customFormat="1" ht="15" customHeight="1">
      <c r="B88" s="2619" t="s">
        <v>657</v>
      </c>
      <c r="C88" s="2619"/>
      <c r="D88" s="588" t="s">
        <v>1518</v>
      </c>
      <c r="E88" s="588"/>
      <c r="F88" s="588"/>
      <c r="G88" s="588"/>
      <c r="H88" s="588"/>
      <c r="I88" s="588"/>
      <c r="J88" s="588"/>
      <c r="K88" s="588"/>
      <c r="L88" s="588"/>
      <c r="M88" s="588"/>
      <c r="N88" s="588"/>
      <c r="O88" s="588"/>
      <c r="P88" s="588"/>
      <c r="Q88" s="588"/>
      <c r="R88" s="588"/>
      <c r="S88" s="588"/>
      <c r="T88" s="588"/>
      <c r="W88" s="128"/>
    </row>
    <row r="89" spans="2:23" s="94" customFormat="1" ht="15" customHeight="1">
      <c r="B89" s="161"/>
      <c r="C89" s="161"/>
      <c r="D89" s="2618" t="s">
        <v>1519</v>
      </c>
      <c r="E89" s="2618"/>
      <c r="F89" s="2618"/>
      <c r="G89" s="2618"/>
      <c r="H89" s="2618"/>
      <c r="I89" s="2618"/>
      <c r="J89" s="2618"/>
      <c r="K89" s="2618"/>
      <c r="L89" s="2618"/>
      <c r="M89" s="2618"/>
      <c r="N89" s="2618"/>
      <c r="O89" s="2618"/>
      <c r="P89" s="2618"/>
      <c r="Q89" s="2618"/>
      <c r="R89" s="2618"/>
      <c r="S89" s="2618"/>
      <c r="T89" s="2618"/>
      <c r="W89" s="128"/>
    </row>
    <row r="90" spans="2:23" s="94" customFormat="1" ht="15" customHeight="1">
      <c r="B90" s="161"/>
      <c r="C90" s="161"/>
      <c r="D90" s="2618"/>
      <c r="E90" s="2618"/>
      <c r="F90" s="2618"/>
      <c r="G90" s="2618"/>
      <c r="H90" s="2618"/>
      <c r="I90" s="2618"/>
      <c r="J90" s="2618"/>
      <c r="K90" s="2618"/>
      <c r="L90" s="2618"/>
      <c r="M90" s="2618"/>
      <c r="N90" s="2618"/>
      <c r="O90" s="2618"/>
      <c r="P90" s="2618"/>
      <c r="Q90" s="2618"/>
      <c r="R90" s="2618"/>
      <c r="S90" s="2618"/>
      <c r="T90" s="2618"/>
      <c r="W90" s="128"/>
    </row>
    <row r="91" spans="2:23" s="94" customFormat="1" ht="15" customHeight="1">
      <c r="B91" s="161"/>
      <c r="C91" s="161"/>
      <c r="D91" s="2618"/>
      <c r="E91" s="2618"/>
      <c r="F91" s="2618"/>
      <c r="G91" s="2618"/>
      <c r="H91" s="2618"/>
      <c r="I91" s="2618"/>
      <c r="J91" s="2618"/>
      <c r="K91" s="2618"/>
      <c r="L91" s="2618"/>
      <c r="M91" s="2618"/>
      <c r="N91" s="2618"/>
      <c r="O91" s="2618"/>
      <c r="P91" s="2618"/>
      <c r="Q91" s="2618"/>
      <c r="R91" s="2618"/>
      <c r="S91" s="2618"/>
      <c r="T91" s="2618"/>
      <c r="W91" s="128"/>
    </row>
    <row r="92" spans="2:23" s="94" customFormat="1" ht="15" customHeight="1">
      <c r="B92" s="161"/>
      <c r="C92" s="161"/>
      <c r="D92" s="2618" t="s">
        <v>1520</v>
      </c>
      <c r="E92" s="2618"/>
      <c r="F92" s="2618"/>
      <c r="G92" s="2618"/>
      <c r="H92" s="2618"/>
      <c r="I92" s="2618"/>
      <c r="J92" s="2618"/>
      <c r="K92" s="2618"/>
      <c r="L92" s="2618"/>
      <c r="M92" s="2618"/>
      <c r="N92" s="2618"/>
      <c r="O92" s="2618"/>
      <c r="P92" s="2618"/>
      <c r="Q92" s="2618"/>
      <c r="R92" s="2618"/>
      <c r="S92" s="2618"/>
      <c r="T92" s="2618"/>
      <c r="W92" s="128"/>
    </row>
    <row r="93" spans="2:23" s="94" customFormat="1" ht="15" customHeight="1">
      <c r="B93" s="2619" t="s">
        <v>1010</v>
      </c>
      <c r="C93" s="2619"/>
      <c r="D93" s="588" t="s">
        <v>141</v>
      </c>
      <c r="E93" s="588"/>
      <c r="F93" s="588"/>
      <c r="G93" s="588"/>
      <c r="H93" s="588"/>
      <c r="I93" s="588"/>
      <c r="J93" s="588"/>
      <c r="K93" s="588"/>
      <c r="L93" s="588"/>
      <c r="M93" s="588"/>
      <c r="N93" s="588"/>
      <c r="O93" s="588"/>
      <c r="P93" s="588"/>
      <c r="Q93" s="588"/>
      <c r="R93" s="588"/>
      <c r="S93" s="588"/>
      <c r="T93" s="588"/>
      <c r="W93" s="128"/>
    </row>
    <row r="94" spans="2:23" s="94" customFormat="1" ht="15" customHeight="1">
      <c r="B94" s="135"/>
      <c r="C94" s="588"/>
      <c r="D94" s="2618" t="s">
        <v>1658</v>
      </c>
      <c r="E94" s="2618"/>
      <c r="F94" s="2618"/>
      <c r="G94" s="2618"/>
      <c r="H94" s="2618"/>
      <c r="I94" s="2618"/>
      <c r="J94" s="2618"/>
      <c r="K94" s="2618"/>
      <c r="L94" s="2618"/>
      <c r="M94" s="2618"/>
      <c r="N94" s="2618"/>
      <c r="O94" s="2618"/>
      <c r="P94" s="2618"/>
      <c r="Q94" s="2618"/>
      <c r="R94" s="2618"/>
      <c r="S94" s="2618"/>
      <c r="T94" s="2618"/>
      <c r="W94" s="128"/>
    </row>
    <row r="95" spans="2:23" s="94" customFormat="1" ht="15" customHeight="1">
      <c r="B95" s="135"/>
      <c r="C95" s="588"/>
      <c r="D95" s="2618"/>
      <c r="E95" s="2618"/>
      <c r="F95" s="2618"/>
      <c r="G95" s="2618"/>
      <c r="H95" s="2618"/>
      <c r="I95" s="2618"/>
      <c r="J95" s="2618"/>
      <c r="K95" s="2618"/>
      <c r="L95" s="2618"/>
      <c r="M95" s="2618"/>
      <c r="N95" s="2618"/>
      <c r="O95" s="2618"/>
      <c r="P95" s="2618"/>
      <c r="Q95" s="2618"/>
      <c r="R95" s="2618"/>
      <c r="S95" s="2618"/>
      <c r="T95" s="2618"/>
      <c r="W95" s="128"/>
    </row>
    <row r="96" spans="2:23" s="94" customFormat="1" ht="15" customHeight="1">
      <c r="B96" s="135"/>
      <c r="C96" s="135"/>
      <c r="W96" s="128"/>
    </row>
    <row r="97" spans="1:24" s="94" customFormat="1" ht="15" customHeight="1">
      <c r="A97" s="94" t="s">
        <v>1659</v>
      </c>
      <c r="B97" s="135"/>
      <c r="C97" s="135"/>
      <c r="W97" s="128"/>
    </row>
    <row r="98" spans="1:24" s="94" customFormat="1" ht="15" customHeight="1">
      <c r="A98" s="94" t="s">
        <v>627</v>
      </c>
      <c r="B98" s="135"/>
      <c r="C98" s="2618" t="s">
        <v>1660</v>
      </c>
      <c r="D98" s="2618"/>
      <c r="E98" s="2618"/>
      <c r="F98" s="2618"/>
      <c r="G98" s="2618"/>
      <c r="H98" s="2618"/>
      <c r="I98" s="2618"/>
      <c r="J98" s="2618"/>
      <c r="K98" s="2618"/>
      <c r="L98" s="2618"/>
      <c r="M98" s="2618"/>
      <c r="N98" s="2618"/>
      <c r="O98" s="2618"/>
      <c r="P98" s="2618"/>
      <c r="Q98" s="2618"/>
      <c r="R98" s="2618"/>
      <c r="S98" s="2618"/>
      <c r="T98" s="2618"/>
      <c r="X98" s="128"/>
    </row>
    <row r="99" spans="1:24" s="94" customFormat="1" ht="15" customHeight="1">
      <c r="B99" s="135"/>
      <c r="C99" s="2618"/>
      <c r="D99" s="2618"/>
      <c r="E99" s="2618"/>
      <c r="F99" s="2618"/>
      <c r="G99" s="2618"/>
      <c r="H99" s="2618"/>
      <c r="I99" s="2618"/>
      <c r="J99" s="2618"/>
      <c r="K99" s="2618"/>
      <c r="L99" s="2618"/>
      <c r="M99" s="2618"/>
      <c r="N99" s="2618"/>
      <c r="O99" s="2618"/>
      <c r="P99" s="2618"/>
      <c r="Q99" s="2618"/>
      <c r="R99" s="2618"/>
      <c r="S99" s="2618"/>
      <c r="T99" s="2618"/>
      <c r="X99" s="128"/>
    </row>
    <row r="100" spans="1:24" s="94" customFormat="1" ht="15" customHeight="1">
      <c r="B100" s="135"/>
      <c r="C100" s="2618"/>
      <c r="D100" s="2618"/>
      <c r="E100" s="2618"/>
      <c r="F100" s="2618"/>
      <c r="G100" s="2618"/>
      <c r="H100" s="2618"/>
      <c r="I100" s="2618"/>
      <c r="J100" s="2618"/>
      <c r="K100" s="2618"/>
      <c r="L100" s="2618"/>
      <c r="M100" s="2618"/>
      <c r="N100" s="2618"/>
      <c r="O100" s="2618"/>
      <c r="P100" s="2618"/>
      <c r="Q100" s="2618"/>
      <c r="R100" s="2618"/>
      <c r="S100" s="2618"/>
      <c r="T100" s="2618"/>
      <c r="W100" s="128"/>
    </row>
    <row r="101" spans="1:24" s="94" customFormat="1" ht="15" customHeight="1">
      <c r="B101" s="135"/>
      <c r="C101" s="2618"/>
      <c r="D101" s="2618"/>
      <c r="E101" s="2618"/>
      <c r="F101" s="2618"/>
      <c r="G101" s="2618"/>
      <c r="H101" s="2618"/>
      <c r="I101" s="2618"/>
      <c r="J101" s="2618"/>
      <c r="K101" s="2618"/>
      <c r="L101" s="2618"/>
      <c r="M101" s="2618"/>
      <c r="N101" s="2618"/>
      <c r="O101" s="2618"/>
      <c r="P101" s="2618"/>
      <c r="Q101" s="2618"/>
      <c r="R101" s="2618"/>
      <c r="S101" s="2618"/>
      <c r="T101" s="2618"/>
      <c r="W101" s="128"/>
    </row>
    <row r="102" spans="1:24" s="94" customFormat="1" ht="15" customHeight="1">
      <c r="B102" s="135" t="s">
        <v>570</v>
      </c>
      <c r="C102" s="2618" t="s">
        <v>1661</v>
      </c>
      <c r="D102" s="2618"/>
      <c r="E102" s="2618"/>
      <c r="F102" s="2618"/>
      <c r="G102" s="2618"/>
      <c r="H102" s="2618"/>
      <c r="I102" s="2618"/>
      <c r="J102" s="2618"/>
      <c r="K102" s="2618"/>
      <c r="L102" s="2618"/>
      <c r="M102" s="2618"/>
      <c r="N102" s="2618"/>
      <c r="O102" s="2618"/>
      <c r="P102" s="2618"/>
      <c r="Q102" s="2618"/>
      <c r="R102" s="2618"/>
      <c r="S102" s="2618"/>
      <c r="T102" s="2618"/>
      <c r="W102" s="128"/>
    </row>
    <row r="103" spans="1:24" s="94" customFormat="1" ht="15" customHeight="1">
      <c r="B103" s="135"/>
      <c r="C103" s="2618"/>
      <c r="D103" s="2618"/>
      <c r="E103" s="2618"/>
      <c r="F103" s="2618"/>
      <c r="G103" s="2618"/>
      <c r="H103" s="2618"/>
      <c r="I103" s="2618"/>
      <c r="J103" s="2618"/>
      <c r="K103" s="2618"/>
      <c r="L103" s="2618"/>
      <c r="M103" s="2618"/>
      <c r="N103" s="2618"/>
      <c r="O103" s="2618"/>
      <c r="P103" s="2618"/>
      <c r="Q103" s="2618"/>
      <c r="R103" s="2618"/>
      <c r="S103" s="2618"/>
      <c r="T103" s="2618"/>
      <c r="W103" s="128"/>
    </row>
    <row r="104" spans="1:24" s="94" customFormat="1" ht="15" customHeight="1">
      <c r="B104" s="135"/>
      <c r="C104" s="135"/>
      <c r="W104" s="128"/>
    </row>
    <row r="105" spans="1:24" s="94" customFormat="1" ht="15" customHeight="1">
      <c r="A105" s="94" t="s">
        <v>1662</v>
      </c>
      <c r="B105" s="135"/>
      <c r="C105" s="135"/>
      <c r="W105" s="128"/>
    </row>
    <row r="106" spans="1:24" s="94" customFormat="1" ht="15" customHeight="1">
      <c r="A106" s="94" t="s">
        <v>631</v>
      </c>
      <c r="B106" s="135"/>
      <c r="C106" s="2622" t="s">
        <v>1663</v>
      </c>
      <c r="D106" s="2622"/>
      <c r="E106" s="2622"/>
      <c r="F106" s="2622"/>
      <c r="G106" s="2622"/>
      <c r="H106" s="2622"/>
      <c r="I106" s="2622"/>
      <c r="J106" s="2622"/>
      <c r="K106" s="2622"/>
      <c r="L106" s="2622"/>
      <c r="M106" s="2622"/>
      <c r="N106" s="2622"/>
      <c r="O106" s="2622"/>
      <c r="P106" s="2622"/>
      <c r="Q106" s="2622"/>
      <c r="R106" s="2622"/>
      <c r="S106" s="2622"/>
      <c r="T106" s="2622"/>
      <c r="W106" s="128"/>
    </row>
    <row r="107" spans="1:24" s="94" customFormat="1" ht="15" customHeight="1">
      <c r="B107" s="135"/>
      <c r="C107" s="2622"/>
      <c r="D107" s="2622"/>
      <c r="E107" s="2622"/>
      <c r="F107" s="2622"/>
      <c r="G107" s="2622"/>
      <c r="H107" s="2622"/>
      <c r="I107" s="2622"/>
      <c r="J107" s="2622"/>
      <c r="K107" s="2622"/>
      <c r="L107" s="2622"/>
      <c r="M107" s="2622"/>
      <c r="N107" s="2622"/>
      <c r="O107" s="2622"/>
      <c r="P107" s="2622"/>
      <c r="Q107" s="2622"/>
      <c r="R107" s="2622"/>
      <c r="S107" s="2622"/>
      <c r="T107" s="2622"/>
      <c r="W107" s="128"/>
    </row>
    <row r="108" spans="1:24" s="94" customFormat="1" ht="15" customHeight="1">
      <c r="B108" s="135" t="s">
        <v>570</v>
      </c>
      <c r="C108" s="2618" t="s">
        <v>1664</v>
      </c>
      <c r="D108" s="2618"/>
      <c r="E108" s="2618"/>
      <c r="F108" s="2618"/>
      <c r="G108" s="2618"/>
      <c r="H108" s="2618"/>
      <c r="I108" s="2618"/>
      <c r="J108" s="2618"/>
      <c r="K108" s="2618"/>
      <c r="L108" s="2618"/>
      <c r="M108" s="2618"/>
      <c r="N108" s="2618"/>
      <c r="O108" s="2618"/>
      <c r="P108" s="2618"/>
      <c r="Q108" s="2618"/>
      <c r="R108" s="2618"/>
      <c r="S108" s="2618"/>
      <c r="T108" s="2618"/>
      <c r="W108" s="128"/>
    </row>
    <row r="109" spans="1:24" s="94" customFormat="1" ht="15" customHeight="1">
      <c r="B109" s="135"/>
      <c r="C109" s="2618"/>
      <c r="D109" s="2618"/>
      <c r="E109" s="2618"/>
      <c r="F109" s="2618"/>
      <c r="G109" s="2618"/>
      <c r="H109" s="2618"/>
      <c r="I109" s="2618"/>
      <c r="J109" s="2618"/>
      <c r="K109" s="2618"/>
      <c r="L109" s="2618"/>
      <c r="M109" s="2618"/>
      <c r="N109" s="2618"/>
      <c r="O109" s="2618"/>
      <c r="P109" s="2618"/>
      <c r="Q109" s="2618"/>
      <c r="R109" s="2618"/>
      <c r="S109" s="2618"/>
      <c r="T109" s="2618"/>
      <c r="W109" s="128"/>
    </row>
    <row r="110" spans="1:24" s="94" customFormat="1" ht="15" customHeight="1">
      <c r="B110" s="135"/>
      <c r="C110" s="135"/>
      <c r="W110" s="128"/>
    </row>
    <row r="111" spans="1:24" s="94" customFormat="1" ht="15" customHeight="1">
      <c r="A111" s="94" t="s">
        <v>1533</v>
      </c>
      <c r="B111" s="135"/>
      <c r="C111" s="135"/>
      <c r="W111" s="128"/>
    </row>
    <row r="112" spans="1:24" s="94" customFormat="1" ht="15" customHeight="1">
      <c r="A112" s="94" t="s">
        <v>639</v>
      </c>
      <c r="B112" s="135"/>
      <c r="C112" s="2618" t="s">
        <v>1665</v>
      </c>
      <c r="D112" s="2618"/>
      <c r="E112" s="2618"/>
      <c r="F112" s="2618"/>
      <c r="G112" s="2618"/>
      <c r="H112" s="2618"/>
      <c r="I112" s="2618"/>
      <c r="J112" s="2618"/>
      <c r="K112" s="2618"/>
      <c r="L112" s="2618"/>
      <c r="M112" s="2618"/>
      <c r="N112" s="2618"/>
      <c r="O112" s="2618"/>
      <c r="P112" s="2618"/>
      <c r="Q112" s="2618"/>
      <c r="R112" s="2618"/>
      <c r="S112" s="2618"/>
      <c r="T112" s="2618"/>
      <c r="W112" s="128"/>
    </row>
    <row r="113" spans="1:25" s="94" customFormat="1" ht="15" customHeight="1">
      <c r="B113" s="135"/>
      <c r="C113" s="2618"/>
      <c r="D113" s="2618"/>
      <c r="E113" s="2618"/>
      <c r="F113" s="2618"/>
      <c r="G113" s="2618"/>
      <c r="H113" s="2618"/>
      <c r="I113" s="2618"/>
      <c r="J113" s="2618"/>
      <c r="K113" s="2618"/>
      <c r="L113" s="2618"/>
      <c r="M113" s="2618"/>
      <c r="N113" s="2618"/>
      <c r="O113" s="2618"/>
      <c r="P113" s="2618"/>
      <c r="Q113" s="2618"/>
      <c r="R113" s="2618"/>
      <c r="S113" s="2618"/>
      <c r="T113" s="2618"/>
      <c r="W113" s="128"/>
    </row>
    <row r="114" spans="1:25" s="94" customFormat="1" ht="15" customHeight="1">
      <c r="B114" s="135"/>
      <c r="C114" s="2618"/>
      <c r="D114" s="2618"/>
      <c r="E114" s="2618"/>
      <c r="F114" s="2618"/>
      <c r="G114" s="2618"/>
      <c r="H114" s="2618"/>
      <c r="I114" s="2618"/>
      <c r="J114" s="2618"/>
      <c r="K114" s="2618"/>
      <c r="L114" s="2618"/>
      <c r="M114" s="2618"/>
      <c r="N114" s="2618"/>
      <c r="O114" s="2618"/>
      <c r="P114" s="2618"/>
      <c r="Q114" s="2618"/>
      <c r="R114" s="2618"/>
      <c r="S114" s="2618"/>
      <c r="T114" s="2618"/>
      <c r="W114" s="128"/>
    </row>
    <row r="115" spans="1:25" s="94" customFormat="1" ht="15" customHeight="1">
      <c r="B115" s="135"/>
      <c r="C115" s="135"/>
      <c r="W115" s="128"/>
    </row>
    <row r="116" spans="1:25" s="94" customFormat="1" ht="15" customHeight="1">
      <c r="A116" s="94" t="s">
        <v>1666</v>
      </c>
      <c r="B116" s="135"/>
      <c r="C116" s="135"/>
      <c r="W116" s="128"/>
    </row>
    <row r="117" spans="1:25" s="94" customFormat="1" ht="15" customHeight="1">
      <c r="A117" s="94" t="s">
        <v>643</v>
      </c>
      <c r="W117" s="128"/>
    </row>
    <row r="118" spans="1:25" s="94" customFormat="1" ht="15" customHeight="1">
      <c r="B118" s="135" t="s">
        <v>1667</v>
      </c>
      <c r="C118" s="94" t="str">
        <f>DBCS("　夜間サポートサービスの費用については、１回あたり"&amp;TEXT(【マスター】!J41,"＃＃＃＃、＃＃０")&amp;"円を徴収する。")</f>
        <v>　夜間サポートサービスの費用については、１回あたり０円を徴収する。</v>
      </c>
      <c r="P118" s="158"/>
      <c r="V118" s="946" t="s">
        <v>2072</v>
      </c>
      <c r="W118" s="128"/>
    </row>
    <row r="119" spans="1:25" s="94" customFormat="1" ht="15" customHeight="1">
      <c r="B119" s="135" t="s">
        <v>570</v>
      </c>
      <c r="C119" s="2618" t="str">
        <f>DBCS("　自費延長サービス及び時間外サービスの費用については合計時間１時間につき"&amp;【マスター】!J42&amp;"円を徴収する。")</f>
        <v>　自費延長サービス及び時間外サービスの費用については合計時間１時間につき３００円を徴収する。</v>
      </c>
      <c r="D119" s="2618"/>
      <c r="E119" s="2618"/>
      <c r="F119" s="2618"/>
      <c r="G119" s="2618"/>
      <c r="H119" s="2618"/>
      <c r="I119" s="2618"/>
      <c r="J119" s="2618"/>
      <c r="K119" s="2618"/>
      <c r="L119" s="2618"/>
      <c r="M119" s="2618"/>
      <c r="N119" s="2618"/>
      <c r="O119" s="2618"/>
      <c r="P119" s="2618"/>
      <c r="Q119" s="2618"/>
      <c r="R119" s="2618"/>
      <c r="S119" s="2618"/>
      <c r="T119" s="2618"/>
      <c r="W119" s="128"/>
      <c r="Y119" s="94" t="s">
        <v>2077</v>
      </c>
    </row>
    <row r="120" spans="1:25" s="94" customFormat="1" ht="15" customHeight="1">
      <c r="B120" s="135"/>
      <c r="C120" s="2618"/>
      <c r="D120" s="2618"/>
      <c r="E120" s="2618"/>
      <c r="F120" s="2618"/>
      <c r="G120" s="2618"/>
      <c r="H120" s="2618"/>
      <c r="I120" s="2618"/>
      <c r="J120" s="2618"/>
      <c r="K120" s="2618"/>
      <c r="L120" s="2618"/>
      <c r="M120" s="2618"/>
      <c r="N120" s="2618"/>
      <c r="O120" s="2618"/>
      <c r="P120" s="2618"/>
      <c r="Q120" s="2618"/>
      <c r="R120" s="2618"/>
      <c r="S120" s="2618"/>
      <c r="T120" s="2618"/>
      <c r="V120" s="946" t="s">
        <v>2072</v>
      </c>
      <c r="W120" s="128"/>
    </row>
    <row r="121" spans="1:25" s="94" customFormat="1" ht="15" customHeight="1">
      <c r="B121" s="135" t="s">
        <v>1538</v>
      </c>
      <c r="C121" s="2618" t="s">
        <v>1668</v>
      </c>
      <c r="D121" s="2618"/>
      <c r="E121" s="2618"/>
      <c r="F121" s="2618"/>
      <c r="G121" s="2618"/>
      <c r="H121" s="2618"/>
      <c r="I121" s="2618"/>
      <c r="J121" s="2618"/>
      <c r="K121" s="2618"/>
      <c r="L121" s="2618"/>
      <c r="M121" s="2618"/>
      <c r="N121" s="2618"/>
      <c r="O121" s="2618"/>
      <c r="P121" s="2618"/>
      <c r="Q121" s="2618"/>
      <c r="R121" s="2618"/>
      <c r="S121" s="2618"/>
      <c r="T121" s="2618"/>
      <c r="W121" s="128"/>
    </row>
    <row r="122" spans="1:25" s="94" customFormat="1" ht="15" customHeight="1">
      <c r="B122" s="135"/>
      <c r="C122" s="589"/>
      <c r="H122" s="588" t="s">
        <v>188</v>
      </c>
      <c r="I122" s="588"/>
      <c r="J122" s="588"/>
      <c r="M122" s="591" t="s">
        <v>1454</v>
      </c>
      <c r="P122" s="949" t="str">
        <f>DBCS(【マスター】!J43)&amp;"円"</f>
        <v>円</v>
      </c>
      <c r="R122" s="588"/>
      <c r="S122" s="588"/>
      <c r="T122" s="588"/>
      <c r="V122" s="946" t="s">
        <v>2072</v>
      </c>
      <c r="W122" s="128"/>
    </row>
    <row r="123" spans="1:25" s="94" customFormat="1" ht="15" customHeight="1">
      <c r="B123" s="135"/>
      <c r="C123" s="589"/>
      <c r="H123" s="588" t="s">
        <v>192</v>
      </c>
      <c r="I123" s="588"/>
      <c r="J123" s="588"/>
      <c r="M123" s="591" t="s">
        <v>1454</v>
      </c>
      <c r="P123" s="949" t="str">
        <f>DBCS(【マスター】!J45)&amp;"円"</f>
        <v>６３０円</v>
      </c>
      <c r="R123" s="588"/>
      <c r="S123" s="588"/>
      <c r="T123" s="588"/>
      <c r="V123" s="946" t="s">
        <v>2072</v>
      </c>
      <c r="W123" s="128"/>
    </row>
    <row r="124" spans="1:25" s="94" customFormat="1" ht="15" customHeight="1">
      <c r="B124" s="135" t="s">
        <v>597</v>
      </c>
      <c r="C124" s="135" t="s">
        <v>1540</v>
      </c>
      <c r="D124" s="135"/>
      <c r="E124" s="135"/>
      <c r="F124" s="135"/>
      <c r="G124" s="135"/>
      <c r="H124" s="135"/>
      <c r="I124" s="589"/>
      <c r="J124" s="589"/>
      <c r="K124" s="589"/>
      <c r="L124" s="589"/>
      <c r="M124" s="589"/>
      <c r="O124" s="589"/>
      <c r="P124" s="589"/>
      <c r="Q124" s="589"/>
      <c r="R124" s="589"/>
      <c r="S124" s="589"/>
      <c r="T124" s="589"/>
      <c r="W124" s="128"/>
    </row>
    <row r="125" spans="1:25" s="94" customFormat="1" ht="15" customHeight="1">
      <c r="A125" s="160"/>
      <c r="B125" s="135"/>
      <c r="H125" s="135" t="s">
        <v>1611</v>
      </c>
      <c r="M125" s="160" t="s">
        <v>1454</v>
      </c>
      <c r="P125" s="949" t="str">
        <f>DBCS(【マスター】!J46)&amp;"円"</f>
        <v>１００円</v>
      </c>
      <c r="R125" s="135"/>
      <c r="S125" s="135"/>
      <c r="V125" s="946" t="s">
        <v>2072</v>
      </c>
      <c r="W125" s="128"/>
    </row>
    <row r="126" spans="1:25" s="94" customFormat="1" ht="15" customHeight="1">
      <c r="A126" s="160"/>
      <c r="B126" s="135"/>
      <c r="H126" s="135" t="s">
        <v>266</v>
      </c>
      <c r="J126" s="160"/>
      <c r="M126" s="160" t="s">
        <v>1454</v>
      </c>
      <c r="P126" s="949" t="str">
        <f>DBCS(【マスター】!J47)&amp;"円"</f>
        <v>５０円</v>
      </c>
      <c r="V126" s="946" t="s">
        <v>2072</v>
      </c>
      <c r="W126" s="128"/>
    </row>
    <row r="127" spans="1:25" s="94" customFormat="1" ht="15" customHeight="1">
      <c r="B127" s="135" t="s">
        <v>1669</v>
      </c>
      <c r="C127" s="94" t="str">
        <f>DBCS("　付き添いサービスについては、１時間あたり"&amp;TEXT(【マスター】!J48,"＃＃＃＃、＃＃０")&amp;"円を徴収する。")</f>
        <v>　付き添いサービスについては、１時間あたり２，０００円を徴収する。</v>
      </c>
      <c r="D127" s="135"/>
      <c r="E127" s="157"/>
      <c r="F127" s="157"/>
      <c r="H127" s="162"/>
      <c r="I127" s="135"/>
      <c r="J127" s="589"/>
      <c r="K127" s="589"/>
      <c r="L127" s="589"/>
      <c r="M127" s="589"/>
      <c r="O127" s="589"/>
      <c r="P127" s="589"/>
      <c r="Q127" s="589"/>
      <c r="R127" s="589"/>
      <c r="S127" s="589"/>
      <c r="T127" s="589"/>
      <c r="V127" s="946" t="s">
        <v>2072</v>
      </c>
      <c r="W127" s="128"/>
    </row>
    <row r="128" spans="1:25" s="94" customFormat="1" ht="15" customHeight="1">
      <c r="B128" s="135" t="s">
        <v>1670</v>
      </c>
      <c r="C128" s="2618" t="s">
        <v>1671</v>
      </c>
      <c r="D128" s="2618"/>
      <c r="E128" s="2618"/>
      <c r="F128" s="2618"/>
      <c r="G128" s="2618"/>
      <c r="H128" s="2618"/>
      <c r="I128" s="2618"/>
      <c r="J128" s="2618"/>
      <c r="K128" s="2618"/>
      <c r="L128" s="2618"/>
      <c r="M128" s="2618"/>
      <c r="N128" s="2618"/>
      <c r="O128" s="2618"/>
      <c r="P128" s="2618"/>
      <c r="Q128" s="2618"/>
      <c r="R128" s="2618"/>
      <c r="S128" s="2618"/>
      <c r="T128" s="2618"/>
      <c r="W128" s="128"/>
    </row>
    <row r="129" spans="1:24" s="94" customFormat="1" ht="15" customHeight="1">
      <c r="B129" s="135"/>
      <c r="C129" s="2618"/>
      <c r="D129" s="2618"/>
      <c r="E129" s="2618"/>
      <c r="F129" s="2618"/>
      <c r="G129" s="2618"/>
      <c r="H129" s="2618"/>
      <c r="I129" s="2618"/>
      <c r="J129" s="2618"/>
      <c r="K129" s="2618"/>
      <c r="L129" s="2618"/>
      <c r="M129" s="2618"/>
      <c r="N129" s="2618"/>
      <c r="O129" s="2618"/>
      <c r="P129" s="2618"/>
      <c r="Q129" s="2618"/>
      <c r="R129" s="2618"/>
      <c r="S129" s="2618"/>
      <c r="T129" s="2618"/>
      <c r="W129" s="128"/>
    </row>
    <row r="130" spans="1:24" s="94" customFormat="1" ht="15" customHeight="1">
      <c r="B130" s="135"/>
      <c r="C130" s="2618"/>
      <c r="D130" s="2618"/>
      <c r="E130" s="2618"/>
      <c r="F130" s="2618"/>
      <c r="G130" s="2618"/>
      <c r="H130" s="2618"/>
      <c r="I130" s="2618"/>
      <c r="J130" s="2618"/>
      <c r="K130" s="2618"/>
      <c r="L130" s="2618"/>
      <c r="M130" s="2618"/>
      <c r="N130" s="2618"/>
      <c r="O130" s="2618"/>
      <c r="P130" s="2618"/>
      <c r="Q130" s="2618"/>
      <c r="R130" s="2618"/>
      <c r="S130" s="2618"/>
      <c r="T130" s="2618"/>
      <c r="W130" s="128"/>
    </row>
    <row r="131" spans="1:24" s="94" customFormat="1" ht="15" customHeight="1">
      <c r="B131" s="135" t="s">
        <v>1672</v>
      </c>
      <c r="C131" s="2618" t="s">
        <v>1542</v>
      </c>
      <c r="D131" s="2618"/>
      <c r="E131" s="2618"/>
      <c r="F131" s="2618"/>
      <c r="G131" s="2618"/>
      <c r="H131" s="2618"/>
      <c r="I131" s="2618"/>
      <c r="J131" s="2618"/>
      <c r="K131" s="2618"/>
      <c r="L131" s="2618"/>
      <c r="M131" s="2618"/>
      <c r="N131" s="2618"/>
      <c r="O131" s="2618"/>
      <c r="P131" s="2618"/>
      <c r="Q131" s="2618"/>
      <c r="R131" s="2618"/>
      <c r="S131" s="2618"/>
      <c r="T131" s="2618"/>
      <c r="W131" s="128"/>
    </row>
    <row r="132" spans="1:24" s="94" customFormat="1" ht="15" customHeight="1">
      <c r="B132" s="135"/>
      <c r="C132" s="2618"/>
      <c r="D132" s="2618"/>
      <c r="E132" s="2618"/>
      <c r="F132" s="2618"/>
      <c r="G132" s="2618"/>
      <c r="H132" s="2618"/>
      <c r="I132" s="2618"/>
      <c r="J132" s="2618"/>
      <c r="K132" s="2618"/>
      <c r="L132" s="2618"/>
      <c r="M132" s="2618"/>
      <c r="N132" s="2618"/>
      <c r="O132" s="2618"/>
      <c r="P132" s="2618"/>
      <c r="Q132" s="2618"/>
      <c r="R132" s="2618"/>
      <c r="S132" s="2618"/>
      <c r="T132" s="2618"/>
      <c r="W132" s="128"/>
    </row>
    <row r="133" spans="1:24" s="94" customFormat="1" ht="15" customHeight="1">
      <c r="B133" s="135" t="s">
        <v>665</v>
      </c>
      <c r="C133" s="2618" t="s">
        <v>1673</v>
      </c>
      <c r="D133" s="2618"/>
      <c r="E133" s="2618"/>
      <c r="F133" s="2618"/>
      <c r="G133" s="2618"/>
      <c r="H133" s="2618"/>
      <c r="I133" s="2618"/>
      <c r="J133" s="2618"/>
      <c r="K133" s="2618"/>
      <c r="L133" s="2618"/>
      <c r="M133" s="2618"/>
      <c r="N133" s="2618"/>
      <c r="O133" s="2618"/>
      <c r="P133" s="2618"/>
      <c r="Q133" s="2618"/>
      <c r="R133" s="2618"/>
      <c r="S133" s="2618"/>
      <c r="T133" s="2618"/>
      <c r="W133" s="128"/>
    </row>
    <row r="134" spans="1:24" s="94" customFormat="1" ht="15" customHeight="1">
      <c r="C134" s="2618"/>
      <c r="D134" s="2618"/>
      <c r="E134" s="2618"/>
      <c r="F134" s="2618"/>
      <c r="G134" s="2618"/>
      <c r="H134" s="2618"/>
      <c r="I134" s="2618"/>
      <c r="J134" s="2618"/>
      <c r="K134" s="2618"/>
      <c r="L134" s="2618"/>
      <c r="M134" s="2618"/>
      <c r="N134" s="2618"/>
      <c r="O134" s="2618"/>
      <c r="P134" s="2618"/>
      <c r="Q134" s="2618"/>
      <c r="R134" s="2618"/>
      <c r="S134" s="2618"/>
      <c r="T134" s="2618"/>
      <c r="W134" s="128"/>
    </row>
    <row r="135" spans="1:24" s="94" customFormat="1" ht="15" customHeight="1">
      <c r="B135" s="135" t="s">
        <v>667</v>
      </c>
      <c r="C135" s="2618" t="s">
        <v>1544</v>
      </c>
      <c r="D135" s="2618"/>
      <c r="E135" s="2618"/>
      <c r="F135" s="2618"/>
      <c r="G135" s="2618"/>
      <c r="H135" s="2618"/>
      <c r="I135" s="2618"/>
      <c r="J135" s="2618"/>
      <c r="K135" s="2618"/>
      <c r="L135" s="2618"/>
      <c r="M135" s="2618"/>
      <c r="N135" s="2618"/>
      <c r="O135" s="2618"/>
      <c r="P135" s="2618"/>
      <c r="Q135" s="2618"/>
      <c r="R135" s="2618"/>
      <c r="S135" s="2618"/>
      <c r="T135" s="2618"/>
      <c r="W135" s="128"/>
    </row>
    <row r="136" spans="1:24" s="94" customFormat="1" ht="15" customHeight="1">
      <c r="C136" s="2618"/>
      <c r="D136" s="2618"/>
      <c r="E136" s="2618"/>
      <c r="F136" s="2618"/>
      <c r="G136" s="2618"/>
      <c r="H136" s="2618"/>
      <c r="I136" s="2618"/>
      <c r="J136" s="2618"/>
      <c r="K136" s="2618"/>
      <c r="L136" s="2618"/>
      <c r="M136" s="2618"/>
      <c r="N136" s="2618"/>
      <c r="O136" s="2618"/>
      <c r="P136" s="2618"/>
      <c r="Q136" s="2618"/>
      <c r="R136" s="2618"/>
      <c r="S136" s="2618"/>
      <c r="T136" s="2618"/>
      <c r="W136" s="128"/>
    </row>
    <row r="137" spans="1:24" s="94" customFormat="1" ht="15" customHeight="1">
      <c r="B137" s="135" t="s">
        <v>1545</v>
      </c>
      <c r="C137" s="2618" t="s">
        <v>1674</v>
      </c>
      <c r="D137" s="2618"/>
      <c r="E137" s="2618"/>
      <c r="F137" s="2618"/>
      <c r="G137" s="2618"/>
      <c r="H137" s="2618"/>
      <c r="I137" s="2618"/>
      <c r="J137" s="2618"/>
      <c r="K137" s="2618"/>
      <c r="L137" s="2618"/>
      <c r="M137" s="2618"/>
      <c r="N137" s="2618"/>
      <c r="O137" s="2618"/>
      <c r="P137" s="2618"/>
      <c r="Q137" s="2618"/>
      <c r="R137" s="2618"/>
      <c r="S137" s="2618"/>
      <c r="T137" s="2618"/>
      <c r="W137" s="128"/>
    </row>
    <row r="138" spans="1:24" s="94" customFormat="1" ht="15" customHeight="1">
      <c r="B138" s="135"/>
      <c r="C138" s="2618"/>
      <c r="D138" s="2618"/>
      <c r="E138" s="2618"/>
      <c r="F138" s="2618"/>
      <c r="G138" s="2618"/>
      <c r="H138" s="2618"/>
      <c r="I138" s="2618"/>
      <c r="J138" s="2618"/>
      <c r="K138" s="2618"/>
      <c r="L138" s="2618"/>
      <c r="M138" s="2618"/>
      <c r="N138" s="2618"/>
      <c r="O138" s="2618"/>
      <c r="P138" s="2618"/>
      <c r="Q138" s="2618"/>
      <c r="R138" s="2618"/>
      <c r="S138" s="2618"/>
      <c r="T138" s="2618"/>
      <c r="W138" s="128"/>
    </row>
    <row r="139" spans="1:24" s="94" customFormat="1" ht="15" customHeight="1">
      <c r="B139" s="135"/>
      <c r="C139" s="589"/>
      <c r="D139" s="589"/>
      <c r="E139" s="589"/>
      <c r="F139" s="589"/>
      <c r="G139" s="589"/>
      <c r="H139" s="589"/>
      <c r="I139" s="589"/>
      <c r="J139" s="589"/>
      <c r="K139" s="589"/>
      <c r="L139" s="589"/>
      <c r="M139" s="589"/>
      <c r="N139" s="589"/>
      <c r="O139" s="589"/>
      <c r="P139" s="589"/>
      <c r="Q139" s="589"/>
      <c r="R139" s="589"/>
      <c r="S139" s="589"/>
      <c r="T139" s="589"/>
      <c r="W139" s="128"/>
    </row>
    <row r="140" spans="1:24" s="94" customFormat="1" ht="15" customHeight="1">
      <c r="A140" s="94" t="s">
        <v>1549</v>
      </c>
      <c r="B140" s="135"/>
      <c r="C140" s="135"/>
      <c r="W140" s="128"/>
    </row>
    <row r="141" spans="1:24" s="94" customFormat="1" ht="15" customHeight="1">
      <c r="A141" s="94" t="s">
        <v>646</v>
      </c>
      <c r="B141" s="135"/>
      <c r="C141" s="2618" t="s">
        <v>1675</v>
      </c>
      <c r="D141" s="2618"/>
      <c r="E141" s="2618"/>
      <c r="F141" s="2618"/>
      <c r="G141" s="2618"/>
      <c r="H141" s="2618"/>
      <c r="I141" s="2618"/>
      <c r="J141" s="2618"/>
      <c r="K141" s="2618"/>
      <c r="L141" s="2618"/>
      <c r="M141" s="2618"/>
      <c r="N141" s="2618"/>
      <c r="O141" s="2618"/>
      <c r="P141" s="2618"/>
      <c r="Q141" s="2618"/>
      <c r="R141" s="2618"/>
      <c r="S141" s="2618"/>
      <c r="T141" s="2618"/>
      <c r="W141" s="128"/>
      <c r="X141" s="128"/>
    </row>
    <row r="142" spans="1:24" s="94" customFormat="1" ht="15" customHeight="1">
      <c r="B142" s="135"/>
      <c r="C142" s="135"/>
      <c r="W142" s="128"/>
    </row>
    <row r="143" spans="1:24" s="94" customFormat="1" ht="15" customHeight="1">
      <c r="A143" s="94" t="s">
        <v>1552</v>
      </c>
      <c r="B143" s="135"/>
      <c r="C143" s="135"/>
      <c r="W143" s="128"/>
    </row>
    <row r="144" spans="1:24" s="94" customFormat="1" ht="15" customHeight="1">
      <c r="A144" s="94" t="s">
        <v>671</v>
      </c>
      <c r="B144" s="135"/>
      <c r="C144" s="2622" t="s">
        <v>1676</v>
      </c>
      <c r="D144" s="2622"/>
      <c r="E144" s="2622"/>
      <c r="F144" s="2622"/>
      <c r="G144" s="2622"/>
      <c r="H144" s="2622"/>
      <c r="I144" s="2622"/>
      <c r="J144" s="2622"/>
      <c r="K144" s="2622"/>
      <c r="L144" s="2622"/>
      <c r="M144" s="2622"/>
      <c r="N144" s="2622"/>
      <c r="O144" s="2622"/>
      <c r="P144" s="2622"/>
      <c r="Q144" s="2622"/>
      <c r="R144" s="2622"/>
      <c r="S144" s="2622"/>
      <c r="T144" s="2622"/>
      <c r="W144" s="128"/>
    </row>
    <row r="145" spans="1:23" s="94" customFormat="1" ht="15" customHeight="1">
      <c r="B145" s="135"/>
      <c r="C145" s="2622"/>
      <c r="D145" s="2622"/>
      <c r="E145" s="2622"/>
      <c r="F145" s="2622"/>
      <c r="G145" s="2622"/>
      <c r="H145" s="2622"/>
      <c r="I145" s="2622"/>
      <c r="J145" s="2622"/>
      <c r="K145" s="2622"/>
      <c r="L145" s="2622"/>
      <c r="M145" s="2622"/>
      <c r="N145" s="2622"/>
      <c r="O145" s="2622"/>
      <c r="P145" s="2622"/>
      <c r="Q145" s="2622"/>
      <c r="R145" s="2622"/>
      <c r="S145" s="2622"/>
      <c r="T145" s="2622"/>
      <c r="W145" s="128"/>
    </row>
    <row r="146" spans="1:23" s="94" customFormat="1" ht="15" customHeight="1">
      <c r="B146" s="135"/>
      <c r="C146" s="2622"/>
      <c r="D146" s="2622"/>
      <c r="E146" s="2622"/>
      <c r="F146" s="2622"/>
      <c r="G146" s="2622"/>
      <c r="H146" s="2622"/>
      <c r="I146" s="2622"/>
      <c r="J146" s="2622"/>
      <c r="K146" s="2622"/>
      <c r="L146" s="2622"/>
      <c r="M146" s="2622"/>
      <c r="N146" s="2622"/>
      <c r="O146" s="2622"/>
      <c r="P146" s="2622"/>
      <c r="Q146" s="2622"/>
      <c r="R146" s="2622"/>
      <c r="S146" s="2622"/>
      <c r="T146" s="2622"/>
      <c r="W146" s="128"/>
    </row>
    <row r="147" spans="1:23" s="94" customFormat="1" ht="15" customHeight="1">
      <c r="B147" s="135"/>
      <c r="C147" s="135"/>
      <c r="W147" s="128"/>
    </row>
    <row r="148" spans="1:23" s="94" customFormat="1" ht="15" customHeight="1">
      <c r="A148" s="94" t="s">
        <v>642</v>
      </c>
      <c r="B148" s="135"/>
      <c r="C148" s="135"/>
      <c r="W148" s="128"/>
    </row>
    <row r="149" spans="1:23" s="94" customFormat="1" ht="15" customHeight="1">
      <c r="A149" s="94" t="s">
        <v>677</v>
      </c>
      <c r="B149" s="135"/>
      <c r="C149" s="2622" t="s">
        <v>1677</v>
      </c>
      <c r="D149" s="2622"/>
      <c r="E149" s="2622"/>
      <c r="F149" s="2622"/>
      <c r="G149" s="2622"/>
      <c r="H149" s="2622"/>
      <c r="I149" s="2622"/>
      <c r="J149" s="2622"/>
      <c r="K149" s="2622"/>
      <c r="L149" s="2622"/>
      <c r="M149" s="2622"/>
      <c r="N149" s="2622"/>
      <c r="O149" s="2622"/>
      <c r="P149" s="2622"/>
      <c r="Q149" s="2622"/>
      <c r="R149" s="2622"/>
      <c r="S149" s="2622"/>
      <c r="T149" s="2622"/>
      <c r="W149" s="128"/>
    </row>
    <row r="150" spans="1:23" s="94" customFormat="1" ht="15" customHeight="1">
      <c r="B150" s="135"/>
      <c r="C150" s="2622"/>
      <c r="D150" s="2622"/>
      <c r="E150" s="2622"/>
      <c r="F150" s="2622"/>
      <c r="G150" s="2622"/>
      <c r="H150" s="2622"/>
      <c r="I150" s="2622"/>
      <c r="J150" s="2622"/>
      <c r="K150" s="2622"/>
      <c r="L150" s="2622"/>
      <c r="M150" s="2622"/>
      <c r="N150" s="2622"/>
      <c r="O150" s="2622"/>
      <c r="P150" s="2622"/>
      <c r="Q150" s="2622"/>
      <c r="R150" s="2622"/>
      <c r="S150" s="2622"/>
      <c r="T150" s="2622"/>
      <c r="W150" s="128"/>
    </row>
    <row r="151" spans="1:23" s="94" customFormat="1" ht="15" customHeight="1">
      <c r="B151" s="135"/>
      <c r="C151" s="2622"/>
      <c r="D151" s="2622"/>
      <c r="E151" s="2622"/>
      <c r="F151" s="2622"/>
      <c r="G151" s="2622"/>
      <c r="H151" s="2622"/>
      <c r="I151" s="2622"/>
      <c r="J151" s="2622"/>
      <c r="K151" s="2622"/>
      <c r="L151" s="2622"/>
      <c r="M151" s="2622"/>
      <c r="N151" s="2622"/>
      <c r="O151" s="2622"/>
      <c r="P151" s="2622"/>
      <c r="Q151" s="2622"/>
      <c r="R151" s="2622"/>
      <c r="S151" s="2622"/>
      <c r="T151" s="2622"/>
      <c r="W151" s="128"/>
    </row>
    <row r="152" spans="1:23" s="94" customFormat="1" ht="15" customHeight="1">
      <c r="B152" s="135"/>
      <c r="C152" s="2622"/>
      <c r="D152" s="2622"/>
      <c r="E152" s="2622"/>
      <c r="F152" s="2622"/>
      <c r="G152" s="2622"/>
      <c r="H152" s="2622"/>
      <c r="I152" s="2622"/>
      <c r="J152" s="2622"/>
      <c r="K152" s="2622"/>
      <c r="L152" s="2622"/>
      <c r="M152" s="2622"/>
      <c r="N152" s="2622"/>
      <c r="O152" s="2622"/>
      <c r="P152" s="2622"/>
      <c r="Q152" s="2622"/>
      <c r="R152" s="2622"/>
      <c r="S152" s="2622"/>
      <c r="T152" s="2622"/>
      <c r="W152" s="128"/>
    </row>
    <row r="153" spans="1:23" s="94" customFormat="1" ht="15" customHeight="1">
      <c r="B153" s="135" t="s">
        <v>570</v>
      </c>
      <c r="C153" s="2622" t="s">
        <v>1678</v>
      </c>
      <c r="D153" s="2622"/>
      <c r="E153" s="2622"/>
      <c r="F153" s="2622"/>
      <c r="G153" s="2622"/>
      <c r="H153" s="2622"/>
      <c r="I153" s="2622"/>
      <c r="J153" s="2622"/>
      <c r="K153" s="2622"/>
      <c r="L153" s="2622"/>
      <c r="M153" s="2622"/>
      <c r="N153" s="2622"/>
      <c r="O153" s="2622"/>
      <c r="P153" s="2622"/>
      <c r="Q153" s="2622"/>
      <c r="R153" s="2622"/>
      <c r="S153" s="2622"/>
      <c r="T153" s="2622"/>
      <c r="W153" s="128"/>
    </row>
    <row r="154" spans="1:23" s="94" customFormat="1" ht="15" customHeight="1">
      <c r="C154" s="2622"/>
      <c r="D154" s="2622"/>
      <c r="E154" s="2622"/>
      <c r="F154" s="2622"/>
      <c r="G154" s="2622"/>
      <c r="H154" s="2622"/>
      <c r="I154" s="2622"/>
      <c r="J154" s="2622"/>
      <c r="K154" s="2622"/>
      <c r="L154" s="2622"/>
      <c r="M154" s="2622"/>
      <c r="N154" s="2622"/>
      <c r="O154" s="2622"/>
      <c r="P154" s="2622"/>
      <c r="Q154" s="2622"/>
      <c r="R154" s="2622"/>
      <c r="S154" s="2622"/>
      <c r="T154" s="2622"/>
      <c r="W154" s="128"/>
    </row>
    <row r="155" spans="1:23" s="94" customFormat="1" ht="15" customHeight="1">
      <c r="B155" s="135" t="s">
        <v>1538</v>
      </c>
      <c r="C155" s="2622" t="s">
        <v>1679</v>
      </c>
      <c r="D155" s="2622"/>
      <c r="E155" s="2622"/>
      <c r="F155" s="2622"/>
      <c r="G155" s="2622"/>
      <c r="H155" s="2622"/>
      <c r="I155" s="2622"/>
      <c r="J155" s="2622"/>
      <c r="K155" s="2622"/>
      <c r="L155" s="2622"/>
      <c r="M155" s="2622"/>
      <c r="N155" s="2622"/>
      <c r="O155" s="2622"/>
      <c r="P155" s="2622"/>
      <c r="Q155" s="2622"/>
      <c r="R155" s="2622"/>
      <c r="S155" s="2622"/>
      <c r="T155" s="2622"/>
      <c r="W155" s="128"/>
    </row>
    <row r="156" spans="1:23" s="94" customFormat="1" ht="15" customHeight="1">
      <c r="B156" s="135"/>
      <c r="C156" s="2622"/>
      <c r="D156" s="2622"/>
      <c r="E156" s="2622"/>
      <c r="F156" s="2622"/>
      <c r="G156" s="2622"/>
      <c r="H156" s="2622"/>
      <c r="I156" s="2622"/>
      <c r="J156" s="2622"/>
      <c r="K156" s="2622"/>
      <c r="L156" s="2622"/>
      <c r="M156" s="2622"/>
      <c r="N156" s="2622"/>
      <c r="O156" s="2622"/>
      <c r="P156" s="2622"/>
      <c r="Q156" s="2622"/>
      <c r="R156" s="2622"/>
      <c r="S156" s="2622"/>
      <c r="T156" s="2622"/>
      <c r="W156" s="128"/>
    </row>
    <row r="157" spans="1:23" s="94" customFormat="1" ht="15" customHeight="1">
      <c r="B157" s="135"/>
      <c r="C157" s="2622"/>
      <c r="D157" s="2622"/>
      <c r="E157" s="2622"/>
      <c r="F157" s="2622"/>
      <c r="G157" s="2622"/>
      <c r="H157" s="2622"/>
      <c r="I157" s="2622"/>
      <c r="J157" s="2622"/>
      <c r="K157" s="2622"/>
      <c r="L157" s="2622"/>
      <c r="M157" s="2622"/>
      <c r="N157" s="2622"/>
      <c r="O157" s="2622"/>
      <c r="P157" s="2622"/>
      <c r="Q157" s="2622"/>
      <c r="R157" s="2622"/>
      <c r="S157" s="2622"/>
      <c r="T157" s="2622"/>
      <c r="W157" s="128"/>
    </row>
    <row r="158" spans="1:23" s="94" customFormat="1" ht="15" customHeight="1">
      <c r="B158" s="135" t="s">
        <v>597</v>
      </c>
      <c r="C158" s="2622" t="s">
        <v>1680</v>
      </c>
      <c r="D158" s="2622"/>
      <c r="E158" s="2622"/>
      <c r="F158" s="2622"/>
      <c r="G158" s="2622"/>
      <c r="H158" s="2622"/>
      <c r="I158" s="2622"/>
      <c r="J158" s="2622"/>
      <c r="K158" s="2622"/>
      <c r="L158" s="2622"/>
      <c r="M158" s="2622"/>
      <c r="N158" s="2622"/>
      <c r="O158" s="2622"/>
      <c r="P158" s="2622"/>
      <c r="Q158" s="2622"/>
      <c r="R158" s="2622"/>
      <c r="S158" s="2622"/>
      <c r="T158" s="2622"/>
      <c r="W158" s="128"/>
    </row>
    <row r="159" spans="1:23" s="94" customFormat="1" ht="15" customHeight="1">
      <c r="C159" s="2622"/>
      <c r="D159" s="2622"/>
      <c r="E159" s="2622"/>
      <c r="F159" s="2622"/>
      <c r="G159" s="2622"/>
      <c r="H159" s="2622"/>
      <c r="I159" s="2622"/>
      <c r="J159" s="2622"/>
      <c r="K159" s="2622"/>
      <c r="L159" s="2622"/>
      <c r="M159" s="2622"/>
      <c r="N159" s="2622"/>
      <c r="O159" s="2622"/>
      <c r="P159" s="2622"/>
      <c r="Q159" s="2622"/>
      <c r="R159" s="2622"/>
      <c r="S159" s="2622"/>
      <c r="T159" s="2622"/>
      <c r="W159" s="128"/>
    </row>
    <row r="160" spans="1:23" s="94" customFormat="1" ht="15" customHeight="1">
      <c r="B160" s="135"/>
      <c r="C160" s="590"/>
      <c r="D160" s="590"/>
      <c r="E160" s="590"/>
      <c r="F160" s="590"/>
      <c r="G160" s="590"/>
      <c r="H160" s="590"/>
      <c r="I160" s="590"/>
      <c r="J160" s="590"/>
      <c r="K160" s="590"/>
      <c r="L160" s="590"/>
      <c r="M160" s="590"/>
      <c r="N160" s="590"/>
      <c r="O160" s="590"/>
      <c r="P160" s="590"/>
      <c r="Q160" s="590"/>
      <c r="R160" s="590"/>
      <c r="S160" s="590"/>
      <c r="T160" s="590"/>
      <c r="W160" s="128"/>
    </row>
    <row r="161" spans="1:23" s="94" customFormat="1" ht="15" customHeight="1">
      <c r="A161" s="94" t="s">
        <v>1558</v>
      </c>
      <c r="B161" s="135"/>
      <c r="C161" s="590"/>
      <c r="D161" s="590"/>
      <c r="E161" s="590"/>
      <c r="F161" s="590"/>
      <c r="G161" s="590"/>
      <c r="H161" s="590"/>
      <c r="I161" s="590"/>
      <c r="J161" s="590"/>
      <c r="K161" s="590"/>
      <c r="L161" s="590"/>
      <c r="M161" s="590"/>
      <c r="N161" s="590"/>
      <c r="O161" s="590"/>
      <c r="P161" s="590"/>
      <c r="Q161" s="590"/>
      <c r="R161" s="590"/>
      <c r="S161" s="590"/>
      <c r="T161" s="590"/>
      <c r="W161" s="128"/>
    </row>
    <row r="162" spans="1:23" s="94" customFormat="1" ht="15" customHeight="1">
      <c r="A162" s="94" t="s">
        <v>685</v>
      </c>
      <c r="B162" s="135"/>
      <c r="C162" s="2622" t="s">
        <v>1681</v>
      </c>
      <c r="D162" s="2622"/>
      <c r="E162" s="2622"/>
      <c r="F162" s="2622"/>
      <c r="G162" s="2622"/>
      <c r="H162" s="2622"/>
      <c r="I162" s="2622"/>
      <c r="J162" s="2622"/>
      <c r="K162" s="2622"/>
      <c r="L162" s="2622"/>
      <c r="M162" s="2622"/>
      <c r="N162" s="2622"/>
      <c r="O162" s="2622"/>
      <c r="P162" s="2622"/>
      <c r="Q162" s="2622"/>
      <c r="R162" s="2622"/>
      <c r="S162" s="2622"/>
      <c r="T162" s="2622"/>
      <c r="W162" s="128"/>
    </row>
    <row r="163" spans="1:23" s="94" customFormat="1" ht="15" customHeight="1">
      <c r="B163" s="135"/>
      <c r="C163" s="2622"/>
      <c r="D163" s="2622"/>
      <c r="E163" s="2622"/>
      <c r="F163" s="2622"/>
      <c r="G163" s="2622"/>
      <c r="H163" s="2622"/>
      <c r="I163" s="2622"/>
      <c r="J163" s="2622"/>
      <c r="K163" s="2622"/>
      <c r="L163" s="2622"/>
      <c r="M163" s="2622"/>
      <c r="N163" s="2622"/>
      <c r="O163" s="2622"/>
      <c r="P163" s="2622"/>
      <c r="Q163" s="2622"/>
      <c r="R163" s="2622"/>
      <c r="S163" s="2622"/>
      <c r="T163" s="2622"/>
      <c r="W163" s="128"/>
    </row>
    <row r="164" spans="1:23" s="94" customFormat="1" ht="15" customHeight="1">
      <c r="B164" s="135"/>
      <c r="C164" s="590"/>
      <c r="D164" s="163" t="s">
        <v>1560</v>
      </c>
      <c r="E164" s="163"/>
      <c r="F164" s="163"/>
      <c r="H164" s="590"/>
      <c r="J164" s="164" t="s">
        <v>1561</v>
      </c>
      <c r="K164" s="590"/>
      <c r="L164" s="590"/>
      <c r="M164" s="590"/>
      <c r="N164" s="590"/>
      <c r="O164" s="590"/>
      <c r="P164" s="590"/>
      <c r="Q164" s="590"/>
      <c r="R164" s="590"/>
      <c r="S164" s="590"/>
      <c r="T164" s="590"/>
      <c r="W164" s="128"/>
    </row>
    <row r="165" spans="1:23" s="94" customFormat="1" ht="15" customHeight="1">
      <c r="B165" s="135"/>
      <c r="C165" s="590"/>
      <c r="D165" s="163" t="s">
        <v>1682</v>
      </c>
      <c r="E165" s="163"/>
      <c r="F165" s="163"/>
      <c r="H165" s="590"/>
      <c r="J165" s="165" t="s">
        <v>1563</v>
      </c>
      <c r="K165" s="590"/>
      <c r="L165" s="590"/>
      <c r="M165" s="590"/>
      <c r="N165" s="590"/>
      <c r="O165" s="590"/>
      <c r="P165" s="590"/>
      <c r="Q165" s="590"/>
      <c r="R165" s="590"/>
      <c r="S165" s="590"/>
      <c r="T165" s="590"/>
      <c r="W165" s="128"/>
    </row>
    <row r="166" spans="1:23" s="94" customFormat="1" ht="15" customHeight="1">
      <c r="B166" s="135"/>
      <c r="C166" s="135"/>
      <c r="W166" s="128"/>
    </row>
    <row r="167" spans="1:23" s="94" customFormat="1" ht="15" customHeight="1">
      <c r="A167" s="94" t="s">
        <v>1683</v>
      </c>
      <c r="B167" s="135"/>
      <c r="C167" s="135"/>
      <c r="W167" s="128"/>
    </row>
    <row r="168" spans="1:23" s="94" customFormat="1" ht="15" customHeight="1">
      <c r="A168" s="94" t="s">
        <v>688</v>
      </c>
      <c r="B168" s="135"/>
      <c r="C168" s="2622" t="s">
        <v>1684</v>
      </c>
      <c r="D168" s="2622"/>
      <c r="E168" s="2622"/>
      <c r="F168" s="2622"/>
      <c r="G168" s="2622"/>
      <c r="H168" s="2622"/>
      <c r="I168" s="2622"/>
      <c r="J168" s="2622"/>
      <c r="K168" s="2622"/>
      <c r="L168" s="2622"/>
      <c r="M168" s="2622"/>
      <c r="N168" s="2622"/>
      <c r="O168" s="2622"/>
      <c r="P168" s="2622"/>
      <c r="Q168" s="2622"/>
      <c r="R168" s="2622"/>
      <c r="S168" s="2622"/>
      <c r="T168" s="2622"/>
      <c r="W168" s="128"/>
    </row>
    <row r="169" spans="1:23" s="94" customFormat="1" ht="15" customHeight="1">
      <c r="B169" s="135"/>
      <c r="C169" s="2622"/>
      <c r="D169" s="2622"/>
      <c r="E169" s="2622"/>
      <c r="F169" s="2622"/>
      <c r="G169" s="2622"/>
      <c r="H169" s="2622"/>
      <c r="I169" s="2622"/>
      <c r="J169" s="2622"/>
      <c r="K169" s="2622"/>
      <c r="L169" s="2622"/>
      <c r="M169" s="2622"/>
      <c r="N169" s="2622"/>
      <c r="O169" s="2622"/>
      <c r="P169" s="2622"/>
      <c r="Q169" s="2622"/>
      <c r="R169" s="2622"/>
      <c r="S169" s="2622"/>
      <c r="T169" s="2622"/>
      <c r="W169" s="128"/>
    </row>
    <row r="170" spans="1:23" s="94" customFormat="1" ht="15" customHeight="1">
      <c r="B170" s="135" t="s">
        <v>570</v>
      </c>
      <c r="C170" s="2622" t="s">
        <v>1685</v>
      </c>
      <c r="D170" s="2622"/>
      <c r="E170" s="2622"/>
      <c r="F170" s="2622"/>
      <c r="G170" s="2622"/>
      <c r="H170" s="2622"/>
      <c r="I170" s="2622"/>
      <c r="J170" s="2622"/>
      <c r="K170" s="2622"/>
      <c r="L170" s="2622"/>
      <c r="M170" s="2622"/>
      <c r="N170" s="2622"/>
      <c r="O170" s="2622"/>
      <c r="P170" s="2622"/>
      <c r="Q170" s="2622"/>
      <c r="R170" s="2622"/>
      <c r="S170" s="2622"/>
      <c r="T170" s="2622"/>
      <c r="W170" s="128"/>
    </row>
    <row r="171" spans="1:23" s="94" customFormat="1" ht="15" customHeight="1">
      <c r="B171" s="135"/>
      <c r="C171" s="135"/>
      <c r="W171" s="128"/>
    </row>
    <row r="172" spans="1:23" s="94" customFormat="1" ht="15" customHeight="1">
      <c r="A172" s="94" t="s">
        <v>1568</v>
      </c>
      <c r="B172" s="135"/>
      <c r="C172" s="135"/>
      <c r="W172" s="128"/>
    </row>
    <row r="173" spans="1:23" s="94" customFormat="1" ht="15" customHeight="1">
      <c r="A173" s="94" t="s">
        <v>692</v>
      </c>
      <c r="B173" s="135"/>
      <c r="C173" s="2622" t="s">
        <v>1686</v>
      </c>
      <c r="D173" s="2622"/>
      <c r="E173" s="2622"/>
      <c r="F173" s="2622"/>
      <c r="G173" s="2622"/>
      <c r="H173" s="2622"/>
      <c r="I173" s="2622"/>
      <c r="J173" s="2622"/>
      <c r="K173" s="2622"/>
      <c r="L173" s="2622"/>
      <c r="M173" s="2622"/>
      <c r="N173" s="2622"/>
      <c r="O173" s="2622"/>
      <c r="P173" s="2622"/>
      <c r="Q173" s="2622"/>
      <c r="R173" s="2622"/>
      <c r="S173" s="2622"/>
      <c r="T173" s="2622"/>
      <c r="W173" s="128"/>
    </row>
    <row r="174" spans="1:23" s="94" customFormat="1" ht="15" customHeight="1">
      <c r="B174" s="135"/>
      <c r="C174" s="2622"/>
      <c r="D174" s="2622"/>
      <c r="E174" s="2622"/>
      <c r="F174" s="2622"/>
      <c r="G174" s="2622"/>
      <c r="H174" s="2622"/>
      <c r="I174" s="2622"/>
      <c r="J174" s="2622"/>
      <c r="K174" s="2622"/>
      <c r="L174" s="2622"/>
      <c r="M174" s="2622"/>
      <c r="N174" s="2622"/>
      <c r="O174" s="2622"/>
      <c r="P174" s="2622"/>
      <c r="Q174" s="2622"/>
      <c r="R174" s="2622"/>
      <c r="S174" s="2622"/>
      <c r="T174" s="2622"/>
      <c r="W174" s="128"/>
    </row>
    <row r="175" spans="1:23" s="94" customFormat="1" ht="15" customHeight="1">
      <c r="B175" s="135" t="s">
        <v>570</v>
      </c>
      <c r="C175" s="2622" t="s">
        <v>1687</v>
      </c>
      <c r="D175" s="2622"/>
      <c r="E175" s="2622"/>
      <c r="F175" s="2622"/>
      <c r="G175" s="2622"/>
      <c r="H175" s="2622"/>
      <c r="I175" s="2622"/>
      <c r="J175" s="2622"/>
      <c r="K175" s="2622"/>
      <c r="L175" s="2622"/>
      <c r="M175" s="2622"/>
      <c r="N175" s="2622"/>
      <c r="O175" s="2622"/>
      <c r="P175" s="2622"/>
      <c r="Q175" s="2622"/>
      <c r="R175" s="2622"/>
      <c r="S175" s="2622"/>
      <c r="T175" s="2622"/>
      <c r="W175" s="128"/>
    </row>
    <row r="176" spans="1:23" s="94" customFormat="1" ht="15" customHeight="1">
      <c r="B176" s="135"/>
      <c r="C176" s="2622"/>
      <c r="D176" s="2622"/>
      <c r="E176" s="2622"/>
      <c r="F176" s="2622"/>
      <c r="G176" s="2622"/>
      <c r="H176" s="2622"/>
      <c r="I176" s="2622"/>
      <c r="J176" s="2622"/>
      <c r="K176" s="2622"/>
      <c r="L176" s="2622"/>
      <c r="M176" s="2622"/>
      <c r="N176" s="2622"/>
      <c r="O176" s="2622"/>
      <c r="P176" s="2622"/>
      <c r="Q176" s="2622"/>
      <c r="R176" s="2622"/>
      <c r="S176" s="2622"/>
      <c r="T176" s="2622"/>
      <c r="W176" s="128"/>
    </row>
    <row r="177" spans="1:23" s="94" customFormat="1" ht="15" customHeight="1">
      <c r="B177" s="135" t="s">
        <v>595</v>
      </c>
      <c r="C177" s="2622" t="s">
        <v>1570</v>
      </c>
      <c r="D177" s="2622"/>
      <c r="E177" s="2622"/>
      <c r="F177" s="2622"/>
      <c r="G177" s="2622"/>
      <c r="H177" s="2622"/>
      <c r="I177" s="2622"/>
      <c r="J177" s="2622"/>
      <c r="K177" s="2622"/>
      <c r="L177" s="2622"/>
      <c r="M177" s="2622"/>
      <c r="N177" s="2622"/>
      <c r="O177" s="2622"/>
      <c r="P177" s="2622"/>
      <c r="Q177" s="2622"/>
      <c r="R177" s="2622"/>
      <c r="S177" s="2622"/>
      <c r="T177" s="2622"/>
      <c r="W177" s="128"/>
    </row>
    <row r="178" spans="1:23" s="94" customFormat="1" ht="15" customHeight="1">
      <c r="B178" s="135"/>
      <c r="C178" s="2622"/>
      <c r="D178" s="2622"/>
      <c r="E178" s="2622"/>
      <c r="F178" s="2622"/>
      <c r="G178" s="2622"/>
      <c r="H178" s="2622"/>
      <c r="I178" s="2622"/>
      <c r="J178" s="2622"/>
      <c r="K178" s="2622"/>
      <c r="L178" s="2622"/>
      <c r="M178" s="2622"/>
      <c r="N178" s="2622"/>
      <c r="O178" s="2622"/>
      <c r="P178" s="2622"/>
      <c r="Q178" s="2622"/>
      <c r="R178" s="2622"/>
      <c r="S178" s="2622"/>
      <c r="T178" s="2622"/>
      <c r="W178" s="128"/>
    </row>
    <row r="179" spans="1:23" s="94" customFormat="1" ht="15" customHeight="1">
      <c r="B179" s="135"/>
      <c r="C179" s="135"/>
      <c r="W179" s="128"/>
    </row>
    <row r="180" spans="1:23" s="94" customFormat="1" ht="15" customHeight="1">
      <c r="A180" s="94" t="s">
        <v>1571</v>
      </c>
      <c r="B180" s="135"/>
      <c r="C180" s="135"/>
      <c r="W180" s="128"/>
    </row>
    <row r="181" spans="1:23" s="94" customFormat="1" ht="15" customHeight="1">
      <c r="A181" s="94" t="s">
        <v>706</v>
      </c>
      <c r="B181" s="135"/>
      <c r="C181" s="2622" t="s">
        <v>1572</v>
      </c>
      <c r="D181" s="2622"/>
      <c r="E181" s="2622"/>
      <c r="F181" s="2622"/>
      <c r="G181" s="2622"/>
      <c r="H181" s="2622"/>
      <c r="I181" s="2622"/>
      <c r="J181" s="2622"/>
      <c r="K181" s="2622"/>
      <c r="L181" s="2622"/>
      <c r="M181" s="2622"/>
      <c r="N181" s="2622"/>
      <c r="O181" s="2622"/>
      <c r="P181" s="2622"/>
      <c r="Q181" s="2622"/>
      <c r="R181" s="2622"/>
      <c r="S181" s="2622"/>
      <c r="T181" s="2622"/>
      <c r="W181" s="128"/>
    </row>
    <row r="182" spans="1:23" s="94" customFormat="1" ht="15" customHeight="1">
      <c r="B182" s="135"/>
      <c r="C182" s="2622"/>
      <c r="D182" s="2622"/>
      <c r="E182" s="2622"/>
      <c r="F182" s="2622"/>
      <c r="G182" s="2622"/>
      <c r="H182" s="2622"/>
      <c r="I182" s="2622"/>
      <c r="J182" s="2622"/>
      <c r="K182" s="2622"/>
      <c r="L182" s="2622"/>
      <c r="M182" s="2622"/>
      <c r="N182" s="2622"/>
      <c r="O182" s="2622"/>
      <c r="P182" s="2622"/>
      <c r="Q182" s="2622"/>
      <c r="R182" s="2622"/>
      <c r="S182" s="2622"/>
      <c r="T182" s="2622"/>
      <c r="W182" s="128"/>
    </row>
    <row r="183" spans="1:23" s="94" customFormat="1" ht="15" customHeight="1">
      <c r="B183" s="135" t="s">
        <v>570</v>
      </c>
      <c r="C183" s="2622" t="s">
        <v>1688</v>
      </c>
      <c r="D183" s="2622"/>
      <c r="E183" s="2622"/>
      <c r="F183" s="2622"/>
      <c r="G183" s="2622"/>
      <c r="H183" s="2622"/>
      <c r="I183" s="2622"/>
      <c r="J183" s="2622"/>
      <c r="K183" s="2622"/>
      <c r="L183" s="2622"/>
      <c r="M183" s="2622"/>
      <c r="N183" s="2622"/>
      <c r="O183" s="2622"/>
      <c r="P183" s="2622"/>
      <c r="Q183" s="2622"/>
      <c r="R183" s="2622"/>
      <c r="S183" s="2622"/>
      <c r="T183" s="2622"/>
      <c r="W183" s="128"/>
    </row>
    <row r="184" spans="1:23" s="94" customFormat="1" ht="15" customHeight="1">
      <c r="B184" s="135"/>
      <c r="C184" s="2622"/>
      <c r="D184" s="2622"/>
      <c r="E184" s="2622"/>
      <c r="F184" s="2622"/>
      <c r="G184" s="2622"/>
      <c r="H184" s="2622"/>
      <c r="I184" s="2622"/>
      <c r="J184" s="2622"/>
      <c r="K184" s="2622"/>
      <c r="L184" s="2622"/>
      <c r="M184" s="2622"/>
      <c r="N184" s="2622"/>
      <c r="O184" s="2622"/>
      <c r="P184" s="2622"/>
      <c r="Q184" s="2622"/>
      <c r="R184" s="2622"/>
      <c r="S184" s="2622"/>
      <c r="T184" s="2622"/>
      <c r="W184" s="128"/>
    </row>
    <row r="185" spans="1:23" s="94" customFormat="1" ht="15" customHeight="1">
      <c r="B185" s="135"/>
      <c r="C185" s="2622"/>
      <c r="D185" s="2622"/>
      <c r="E185" s="2622"/>
      <c r="F185" s="2622"/>
      <c r="G185" s="2622"/>
      <c r="H185" s="2622"/>
      <c r="I185" s="2622"/>
      <c r="J185" s="2622"/>
      <c r="K185" s="2622"/>
      <c r="L185" s="2622"/>
      <c r="M185" s="2622"/>
      <c r="N185" s="2622"/>
      <c r="O185" s="2622"/>
      <c r="P185" s="2622"/>
      <c r="Q185" s="2622"/>
      <c r="R185" s="2622"/>
      <c r="S185" s="2622"/>
      <c r="T185" s="2622"/>
      <c r="W185" s="128"/>
    </row>
    <row r="186" spans="1:23" s="94" customFormat="1" ht="15" customHeight="1">
      <c r="B186" s="135"/>
      <c r="C186" s="135"/>
      <c r="W186" s="128"/>
    </row>
    <row r="187" spans="1:23" s="94" customFormat="1" ht="15" customHeight="1">
      <c r="A187" s="94" t="s">
        <v>1579</v>
      </c>
      <c r="B187" s="135"/>
      <c r="C187" s="135"/>
      <c r="W187" s="128"/>
    </row>
    <row r="188" spans="1:23" s="94" customFormat="1" ht="15" customHeight="1">
      <c r="A188" s="94" t="s">
        <v>716</v>
      </c>
      <c r="B188" s="135"/>
      <c r="C188" s="2622" t="s">
        <v>1689</v>
      </c>
      <c r="D188" s="2622"/>
      <c r="E188" s="2622"/>
      <c r="F188" s="2622"/>
      <c r="G188" s="2622"/>
      <c r="H188" s="2622"/>
      <c r="I188" s="2622"/>
      <c r="J188" s="2622"/>
      <c r="K188" s="2622"/>
      <c r="L188" s="2622"/>
      <c r="M188" s="2622"/>
      <c r="N188" s="2622"/>
      <c r="O188" s="2622"/>
      <c r="P188" s="2622"/>
      <c r="Q188" s="2622"/>
      <c r="R188" s="2622"/>
      <c r="S188" s="2622"/>
      <c r="T188" s="2622"/>
      <c r="W188" s="128"/>
    </row>
    <row r="189" spans="1:23" s="94" customFormat="1" ht="15" customHeight="1">
      <c r="B189" s="135"/>
      <c r="C189" s="2622"/>
      <c r="D189" s="2622"/>
      <c r="E189" s="2622"/>
      <c r="F189" s="2622"/>
      <c r="G189" s="2622"/>
      <c r="H189" s="2622"/>
      <c r="I189" s="2622"/>
      <c r="J189" s="2622"/>
      <c r="K189" s="2622"/>
      <c r="L189" s="2622"/>
      <c r="M189" s="2622"/>
      <c r="N189" s="2622"/>
      <c r="O189" s="2622"/>
      <c r="P189" s="2622"/>
      <c r="Q189" s="2622"/>
      <c r="R189" s="2622"/>
      <c r="S189" s="2622"/>
      <c r="T189" s="2622"/>
      <c r="W189" s="128"/>
    </row>
    <row r="190" spans="1:23" s="94" customFormat="1" ht="15" customHeight="1">
      <c r="B190" s="135"/>
      <c r="C190" s="2622"/>
      <c r="D190" s="2622"/>
      <c r="E190" s="2622"/>
      <c r="F190" s="2622"/>
      <c r="G190" s="2622"/>
      <c r="H190" s="2622"/>
      <c r="I190" s="2622"/>
      <c r="J190" s="2622"/>
      <c r="K190" s="2622"/>
      <c r="L190" s="2622"/>
      <c r="M190" s="2622"/>
      <c r="N190" s="2622"/>
      <c r="O190" s="2622"/>
      <c r="P190" s="2622"/>
      <c r="Q190" s="2622"/>
      <c r="R190" s="2622"/>
      <c r="S190" s="2622"/>
      <c r="T190" s="2622"/>
      <c r="W190" s="128"/>
    </row>
    <row r="191" spans="1:23" s="94" customFormat="1" ht="15" customHeight="1">
      <c r="B191" s="135" t="s">
        <v>570</v>
      </c>
      <c r="C191" s="2622" t="s">
        <v>1690</v>
      </c>
      <c r="D191" s="2622"/>
      <c r="E191" s="2622"/>
      <c r="F191" s="2622"/>
      <c r="G191" s="2622"/>
      <c r="H191" s="2622"/>
      <c r="I191" s="2622"/>
      <c r="J191" s="2622"/>
      <c r="K191" s="2622"/>
      <c r="L191" s="2622"/>
      <c r="M191" s="2622"/>
      <c r="N191" s="2622"/>
      <c r="O191" s="2622"/>
      <c r="P191" s="2622"/>
      <c r="Q191" s="2622"/>
      <c r="R191" s="2622"/>
      <c r="S191" s="2622"/>
      <c r="T191" s="2622"/>
      <c r="W191" s="128"/>
    </row>
    <row r="192" spans="1:23" s="94" customFormat="1" ht="15" customHeight="1">
      <c r="B192" s="135"/>
      <c r="C192" s="2622"/>
      <c r="D192" s="2622"/>
      <c r="E192" s="2622"/>
      <c r="F192" s="2622"/>
      <c r="G192" s="2622"/>
      <c r="H192" s="2622"/>
      <c r="I192" s="2622"/>
      <c r="J192" s="2622"/>
      <c r="K192" s="2622"/>
      <c r="L192" s="2622"/>
      <c r="M192" s="2622"/>
      <c r="N192" s="2622"/>
      <c r="O192" s="2622"/>
      <c r="P192" s="2622"/>
      <c r="Q192" s="2622"/>
      <c r="R192" s="2622"/>
      <c r="S192" s="2622"/>
      <c r="T192" s="2622"/>
      <c r="W192" s="128"/>
    </row>
    <row r="193" spans="1:23" s="94" customFormat="1" ht="15" customHeight="1">
      <c r="B193" s="135"/>
      <c r="C193" s="2622"/>
      <c r="D193" s="2622"/>
      <c r="E193" s="2622"/>
      <c r="F193" s="2622"/>
      <c r="G193" s="2622"/>
      <c r="H193" s="2622"/>
      <c r="I193" s="2622"/>
      <c r="J193" s="2622"/>
      <c r="K193" s="2622"/>
      <c r="L193" s="2622"/>
      <c r="M193" s="2622"/>
      <c r="N193" s="2622"/>
      <c r="O193" s="2622"/>
      <c r="P193" s="2622"/>
      <c r="Q193" s="2622"/>
      <c r="R193" s="2622"/>
      <c r="S193" s="2622"/>
      <c r="T193" s="2622"/>
      <c r="W193" s="128"/>
    </row>
    <row r="194" spans="1:23" s="94" customFormat="1" ht="15" customHeight="1">
      <c r="B194" s="135"/>
      <c r="C194" s="590"/>
      <c r="D194" s="590"/>
      <c r="E194" s="590"/>
      <c r="F194" s="590"/>
      <c r="G194" s="590"/>
      <c r="H194" s="590"/>
      <c r="I194" s="590"/>
      <c r="J194" s="590"/>
      <c r="K194" s="590"/>
      <c r="L194" s="590"/>
      <c r="M194" s="590"/>
      <c r="N194" s="590"/>
      <c r="O194" s="590"/>
      <c r="P194" s="590"/>
      <c r="Q194" s="590"/>
      <c r="R194" s="590"/>
      <c r="S194" s="590"/>
      <c r="T194" s="590"/>
      <c r="W194" s="128"/>
    </row>
    <row r="195" spans="1:23" s="94" customFormat="1" ht="15" customHeight="1">
      <c r="A195" s="94" t="s">
        <v>1691</v>
      </c>
      <c r="B195" s="135"/>
      <c r="C195" s="135"/>
      <c r="W195" s="128"/>
    </row>
    <row r="196" spans="1:23" s="94" customFormat="1" ht="15" customHeight="1">
      <c r="A196" s="94" t="s">
        <v>720</v>
      </c>
      <c r="B196" s="135"/>
      <c r="C196" s="2622" t="s">
        <v>1692</v>
      </c>
      <c r="D196" s="2622"/>
      <c r="E196" s="2622"/>
      <c r="F196" s="2622"/>
      <c r="G196" s="2622"/>
      <c r="H196" s="2622"/>
      <c r="I196" s="2622"/>
      <c r="J196" s="2622"/>
      <c r="K196" s="2622"/>
      <c r="L196" s="2622"/>
      <c r="M196" s="2622"/>
      <c r="N196" s="2622"/>
      <c r="O196" s="2622"/>
      <c r="P196" s="2622"/>
      <c r="Q196" s="2622"/>
      <c r="R196" s="2622"/>
      <c r="S196" s="2622"/>
      <c r="T196" s="2622"/>
      <c r="W196" s="128"/>
    </row>
    <row r="197" spans="1:23" s="94" customFormat="1" ht="15" customHeight="1">
      <c r="B197" s="135"/>
      <c r="C197" s="2622"/>
      <c r="D197" s="2622"/>
      <c r="E197" s="2622"/>
      <c r="F197" s="2622"/>
      <c r="G197" s="2622"/>
      <c r="H197" s="2622"/>
      <c r="I197" s="2622"/>
      <c r="J197" s="2622"/>
      <c r="K197" s="2622"/>
      <c r="L197" s="2622"/>
      <c r="M197" s="2622"/>
      <c r="N197" s="2622"/>
      <c r="O197" s="2622"/>
      <c r="P197" s="2622"/>
      <c r="Q197" s="2622"/>
      <c r="R197" s="2622"/>
      <c r="S197" s="2622"/>
      <c r="T197" s="2622"/>
      <c r="W197" s="128"/>
    </row>
    <row r="198" spans="1:23" s="94" customFormat="1" ht="15" customHeight="1">
      <c r="B198" s="135" t="s">
        <v>570</v>
      </c>
      <c r="C198" s="2622" t="s">
        <v>1693</v>
      </c>
      <c r="D198" s="2622"/>
      <c r="E198" s="2622"/>
      <c r="F198" s="2622"/>
      <c r="G198" s="2622"/>
      <c r="H198" s="2622"/>
      <c r="I198" s="2622"/>
      <c r="J198" s="2622"/>
      <c r="K198" s="2622"/>
      <c r="L198" s="2622"/>
      <c r="M198" s="2622"/>
      <c r="N198" s="2622"/>
      <c r="O198" s="2622"/>
      <c r="P198" s="2622"/>
      <c r="Q198" s="2622"/>
      <c r="R198" s="2622"/>
      <c r="S198" s="2622"/>
      <c r="T198" s="2622"/>
      <c r="W198" s="128"/>
    </row>
    <row r="199" spans="1:23" s="94" customFormat="1" ht="15" customHeight="1">
      <c r="B199" s="135"/>
      <c r="C199" s="2622"/>
      <c r="D199" s="2622"/>
      <c r="E199" s="2622"/>
      <c r="F199" s="2622"/>
      <c r="G199" s="2622"/>
      <c r="H199" s="2622"/>
      <c r="I199" s="2622"/>
      <c r="J199" s="2622"/>
      <c r="K199" s="2622"/>
      <c r="L199" s="2622"/>
      <c r="M199" s="2622"/>
      <c r="N199" s="2622"/>
      <c r="O199" s="2622"/>
      <c r="P199" s="2622"/>
      <c r="Q199" s="2622"/>
      <c r="R199" s="2622"/>
      <c r="S199" s="2622"/>
      <c r="T199" s="2622"/>
      <c r="W199" s="128"/>
    </row>
    <row r="200" spans="1:23" s="94" customFormat="1" ht="15" customHeight="1">
      <c r="B200" s="135" t="s">
        <v>595</v>
      </c>
      <c r="C200" s="2622" t="s">
        <v>1694</v>
      </c>
      <c r="D200" s="2622"/>
      <c r="E200" s="2622"/>
      <c r="F200" s="2622"/>
      <c r="G200" s="2622"/>
      <c r="H200" s="2622"/>
      <c r="I200" s="2622"/>
      <c r="J200" s="2622"/>
      <c r="K200" s="2622"/>
      <c r="L200" s="2622"/>
      <c r="M200" s="2622"/>
      <c r="N200" s="2622"/>
      <c r="O200" s="2622"/>
      <c r="P200" s="2622"/>
      <c r="Q200" s="2622"/>
      <c r="R200" s="2622"/>
      <c r="S200" s="2622"/>
      <c r="T200" s="2622"/>
      <c r="W200" s="128"/>
    </row>
    <row r="201" spans="1:23" s="94" customFormat="1" ht="15" customHeight="1">
      <c r="B201" s="135"/>
      <c r="C201" s="2622"/>
      <c r="D201" s="2622"/>
      <c r="E201" s="2622"/>
      <c r="F201" s="2622"/>
      <c r="G201" s="2622"/>
      <c r="H201" s="2622"/>
      <c r="I201" s="2622"/>
      <c r="J201" s="2622"/>
      <c r="K201" s="2622"/>
      <c r="L201" s="2622"/>
      <c r="M201" s="2622"/>
      <c r="N201" s="2622"/>
      <c r="O201" s="2622"/>
      <c r="P201" s="2622"/>
      <c r="Q201" s="2622"/>
      <c r="R201" s="2622"/>
      <c r="S201" s="2622"/>
      <c r="T201" s="2622"/>
      <c r="W201" s="128"/>
    </row>
    <row r="202" spans="1:23" s="94" customFormat="1" ht="15" customHeight="1">
      <c r="B202" s="135"/>
      <c r="C202" s="2622"/>
      <c r="D202" s="2622"/>
      <c r="E202" s="2622"/>
      <c r="F202" s="2622"/>
      <c r="G202" s="2622"/>
      <c r="H202" s="2622"/>
      <c r="I202" s="2622"/>
      <c r="J202" s="2622"/>
      <c r="K202" s="2622"/>
      <c r="L202" s="2622"/>
      <c r="M202" s="2622"/>
      <c r="N202" s="2622"/>
      <c r="O202" s="2622"/>
      <c r="P202" s="2622"/>
      <c r="Q202" s="2622"/>
      <c r="R202" s="2622"/>
      <c r="S202" s="2622"/>
      <c r="T202" s="2622"/>
      <c r="W202" s="128"/>
    </row>
    <row r="203" spans="1:23" s="94" customFormat="1" ht="15" customHeight="1">
      <c r="B203" s="135"/>
      <c r="C203" s="135"/>
      <c r="W203" s="128"/>
    </row>
    <row r="204" spans="1:23" s="94" customFormat="1" ht="15" customHeight="1">
      <c r="A204" s="94" t="s">
        <v>1695</v>
      </c>
      <c r="B204" s="135"/>
      <c r="C204" s="135"/>
      <c r="W204" s="128"/>
    </row>
    <row r="205" spans="1:23" s="94" customFormat="1" ht="15" customHeight="1">
      <c r="A205" s="94" t="s">
        <v>725</v>
      </c>
      <c r="B205" s="135"/>
      <c r="C205" s="2622" t="s">
        <v>1696</v>
      </c>
      <c r="D205" s="2622"/>
      <c r="E205" s="2622"/>
      <c r="F205" s="2622"/>
      <c r="G205" s="2622"/>
      <c r="H205" s="2622"/>
      <c r="I205" s="2622"/>
      <c r="J205" s="2622"/>
      <c r="K205" s="2622"/>
      <c r="L205" s="2622"/>
      <c r="M205" s="2622"/>
      <c r="N205" s="2622"/>
      <c r="O205" s="2622"/>
      <c r="P205" s="2622"/>
      <c r="Q205" s="2622"/>
      <c r="R205" s="2622"/>
      <c r="S205" s="2622"/>
      <c r="T205" s="2622"/>
      <c r="W205" s="128"/>
    </row>
    <row r="206" spans="1:23" s="94" customFormat="1" ht="15" customHeight="1">
      <c r="B206" s="135"/>
      <c r="C206" s="2622"/>
      <c r="D206" s="2622"/>
      <c r="E206" s="2622"/>
      <c r="F206" s="2622"/>
      <c r="G206" s="2622"/>
      <c r="H206" s="2622"/>
      <c r="I206" s="2622"/>
      <c r="J206" s="2622"/>
      <c r="K206" s="2622"/>
      <c r="L206" s="2622"/>
      <c r="M206" s="2622"/>
      <c r="N206" s="2622"/>
      <c r="O206" s="2622"/>
      <c r="P206" s="2622"/>
      <c r="Q206" s="2622"/>
      <c r="R206" s="2622"/>
      <c r="S206" s="2622"/>
      <c r="T206" s="2622"/>
      <c r="W206" s="128"/>
    </row>
    <row r="207" spans="1:23" s="94" customFormat="1" ht="15" customHeight="1">
      <c r="B207" s="135"/>
      <c r="C207" s="2622"/>
      <c r="D207" s="2622"/>
      <c r="E207" s="2622"/>
      <c r="F207" s="2622"/>
      <c r="G207" s="2622"/>
      <c r="H207" s="2622"/>
      <c r="I207" s="2622"/>
      <c r="J207" s="2622"/>
      <c r="K207" s="2622"/>
      <c r="L207" s="2622"/>
      <c r="M207" s="2622"/>
      <c r="N207" s="2622"/>
      <c r="O207" s="2622"/>
      <c r="P207" s="2622"/>
      <c r="Q207" s="2622"/>
      <c r="R207" s="2622"/>
      <c r="S207" s="2622"/>
      <c r="T207" s="2622"/>
      <c r="W207" s="128"/>
    </row>
    <row r="208" spans="1:23" s="94" customFormat="1" ht="15" customHeight="1">
      <c r="B208" s="135"/>
      <c r="C208" s="135"/>
      <c r="W208" s="128"/>
    </row>
    <row r="209" spans="1:41" s="94" customFormat="1" ht="15" customHeight="1">
      <c r="A209" s="135" t="s">
        <v>1880</v>
      </c>
      <c r="B209" s="470"/>
      <c r="C209" s="470"/>
      <c r="D209" s="470"/>
      <c r="E209" s="470"/>
      <c r="F209" s="850"/>
      <c r="G209" s="850"/>
      <c r="H209" s="850"/>
      <c r="I209" s="850"/>
      <c r="J209" s="850"/>
      <c r="K209" s="850"/>
      <c r="L209" s="850"/>
      <c r="M209" s="850"/>
      <c r="N209" s="850"/>
      <c r="O209" s="850"/>
      <c r="P209" s="850"/>
      <c r="Q209" s="850"/>
      <c r="R209" s="850"/>
      <c r="S209" s="850"/>
      <c r="T209" s="130"/>
      <c r="U209" s="128" t="s">
        <v>1840</v>
      </c>
      <c r="W209" s="128"/>
      <c r="X209" s="589"/>
      <c r="Y209" s="589"/>
    </row>
    <row r="210" spans="1:41" s="94" customFormat="1" ht="15" customHeight="1">
      <c r="A210" s="94" t="s">
        <v>728</v>
      </c>
      <c r="B210" s="135"/>
      <c r="C210" s="2625" t="s">
        <v>1995</v>
      </c>
      <c r="D210" s="2625"/>
      <c r="E210" s="2625"/>
      <c r="F210" s="2625"/>
      <c r="G210" s="2625"/>
      <c r="H210" s="2625"/>
      <c r="I210" s="2625"/>
      <c r="J210" s="2625"/>
      <c r="K210" s="2625"/>
      <c r="L210" s="2625"/>
      <c r="M210" s="2625"/>
      <c r="N210" s="2625"/>
      <c r="O210" s="2625"/>
      <c r="P210" s="2625"/>
      <c r="Q210" s="2625"/>
      <c r="R210" s="2625"/>
      <c r="S210" s="2625"/>
      <c r="T210" s="2625"/>
      <c r="V210" s="128"/>
      <c r="W210" s="155"/>
      <c r="X210" s="155"/>
      <c r="Y210" s="155"/>
      <c r="Z210" s="155"/>
      <c r="AA210" s="155"/>
      <c r="AB210" s="155"/>
      <c r="AC210" s="155"/>
      <c r="AD210" s="155"/>
      <c r="AE210" s="155"/>
      <c r="AF210" s="155"/>
      <c r="AG210" s="155"/>
      <c r="AH210" s="155"/>
      <c r="AI210" s="155"/>
      <c r="AJ210" s="155"/>
      <c r="AK210" s="155"/>
      <c r="AL210" s="155"/>
      <c r="AM210" s="155"/>
      <c r="AN210" s="155"/>
    </row>
    <row r="211" spans="1:41" s="94" customFormat="1" ht="15" customHeight="1">
      <c r="C211" s="2625"/>
      <c r="D211" s="2625"/>
      <c r="E211" s="2625"/>
      <c r="F211" s="2625"/>
      <c r="G211" s="2625"/>
      <c r="H211" s="2625"/>
      <c r="I211" s="2625"/>
      <c r="J211" s="2625"/>
      <c r="K211" s="2625"/>
      <c r="L211" s="2625"/>
      <c r="M211" s="2625"/>
      <c r="N211" s="2625"/>
      <c r="O211" s="2625"/>
      <c r="P211" s="2625"/>
      <c r="Q211" s="2625"/>
      <c r="R211" s="2625"/>
      <c r="S211" s="2625"/>
      <c r="T211" s="2625"/>
      <c r="W211" s="128"/>
    </row>
    <row r="212" spans="1:41" s="94" customFormat="1" ht="15" customHeight="1">
      <c r="A212" s="851"/>
      <c r="B212" s="852"/>
      <c r="C212" s="2625" t="s">
        <v>1996</v>
      </c>
      <c r="D212" s="2625"/>
      <c r="E212" s="2625"/>
      <c r="F212" s="2625"/>
      <c r="G212" s="2625"/>
      <c r="H212" s="2625"/>
      <c r="I212" s="2625"/>
      <c r="J212" s="2625"/>
      <c r="K212" s="2625"/>
      <c r="L212" s="2625"/>
      <c r="M212" s="2625"/>
      <c r="N212" s="2625"/>
      <c r="O212" s="2625"/>
      <c r="P212" s="2625"/>
      <c r="Q212" s="2625"/>
      <c r="R212" s="2625"/>
      <c r="S212" s="2625"/>
      <c r="T212" s="2625"/>
      <c r="V212" s="128"/>
      <c r="W212" s="155"/>
      <c r="X212" s="155"/>
      <c r="Y212" s="155"/>
      <c r="Z212" s="155"/>
      <c r="AA212" s="155"/>
      <c r="AB212" s="155"/>
      <c r="AC212" s="155"/>
      <c r="AD212" s="155"/>
      <c r="AE212" s="155"/>
      <c r="AF212" s="155"/>
      <c r="AG212" s="155"/>
      <c r="AH212" s="155"/>
      <c r="AI212" s="155"/>
      <c r="AJ212" s="155"/>
      <c r="AK212" s="155"/>
      <c r="AL212" s="155"/>
      <c r="AM212" s="155"/>
      <c r="AN212" s="155"/>
      <c r="AO212" s="155"/>
    </row>
    <row r="213" spans="1:41" s="94" customFormat="1" ht="15" customHeight="1">
      <c r="A213" s="851"/>
      <c r="B213" s="852"/>
      <c r="C213" s="2625"/>
      <c r="D213" s="2625"/>
      <c r="E213" s="2625"/>
      <c r="F213" s="2625"/>
      <c r="G213" s="2625"/>
      <c r="H213" s="2625"/>
      <c r="I213" s="2625"/>
      <c r="J213" s="2625"/>
      <c r="K213" s="2625"/>
      <c r="L213" s="2625"/>
      <c r="M213" s="2625"/>
      <c r="N213" s="2625"/>
      <c r="O213" s="2625"/>
      <c r="P213" s="2625"/>
      <c r="Q213" s="2625"/>
      <c r="R213" s="2625"/>
      <c r="S213" s="2625"/>
      <c r="T213" s="2625"/>
      <c r="V213" s="128"/>
      <c r="W213" s="155"/>
      <c r="X213" s="155"/>
      <c r="Y213" s="155"/>
      <c r="Z213" s="155"/>
      <c r="AA213" s="155"/>
      <c r="AB213" s="155"/>
      <c r="AC213" s="155"/>
      <c r="AD213" s="155"/>
      <c r="AE213" s="155"/>
      <c r="AF213" s="155"/>
      <c r="AG213" s="155"/>
      <c r="AH213" s="155"/>
      <c r="AI213" s="155"/>
      <c r="AJ213" s="155"/>
      <c r="AK213" s="155"/>
      <c r="AL213" s="155"/>
      <c r="AM213" s="155"/>
      <c r="AN213" s="155"/>
      <c r="AO213" s="155"/>
    </row>
    <row r="214" spans="1:41" s="94" customFormat="1" ht="15" customHeight="1">
      <c r="A214" s="851"/>
      <c r="C214" s="861" t="s">
        <v>1896</v>
      </c>
      <c r="D214" s="861"/>
      <c r="E214" s="861"/>
      <c r="F214" s="861"/>
      <c r="G214" s="861"/>
      <c r="H214" s="861"/>
      <c r="I214" s="861"/>
      <c r="J214" s="861"/>
      <c r="K214" s="861"/>
      <c r="L214" s="861"/>
      <c r="M214" s="861"/>
      <c r="N214" s="861"/>
      <c r="O214" s="861"/>
      <c r="P214" s="861"/>
      <c r="Q214" s="861"/>
      <c r="R214" s="861"/>
      <c r="S214" s="861"/>
      <c r="T214" s="860"/>
      <c r="V214" s="128"/>
      <c r="W214" s="155"/>
      <c r="X214" s="155"/>
      <c r="Y214" s="155"/>
      <c r="Z214" s="155"/>
      <c r="AA214" s="155"/>
      <c r="AB214" s="155"/>
      <c r="AC214" s="155"/>
      <c r="AD214" s="155"/>
      <c r="AE214" s="155"/>
      <c r="AF214" s="155"/>
      <c r="AG214" s="155"/>
      <c r="AH214" s="155"/>
      <c r="AI214" s="155"/>
      <c r="AJ214" s="155"/>
      <c r="AK214" s="155"/>
      <c r="AL214" s="155"/>
      <c r="AM214" s="155"/>
      <c r="AN214" s="155"/>
      <c r="AO214" s="155"/>
    </row>
    <row r="215" spans="1:41" s="94" customFormat="1" ht="15" customHeight="1">
      <c r="A215" s="851"/>
      <c r="B215" s="853"/>
      <c r="C215" s="2625" t="s">
        <v>1897</v>
      </c>
      <c r="D215" s="2625"/>
      <c r="E215" s="2625"/>
      <c r="F215" s="2625"/>
      <c r="G215" s="2625"/>
      <c r="H215" s="2625"/>
      <c r="I215" s="2625"/>
      <c r="J215" s="2625"/>
      <c r="K215" s="2625"/>
      <c r="L215" s="2625"/>
      <c r="M215" s="2625"/>
      <c r="N215" s="2625"/>
      <c r="O215" s="2625"/>
      <c r="P215" s="2625"/>
      <c r="Q215" s="2625"/>
      <c r="R215" s="2625"/>
      <c r="S215" s="2625"/>
      <c r="T215" s="2625"/>
      <c r="V215" s="128"/>
      <c r="W215" s="155"/>
      <c r="X215" s="155"/>
      <c r="Y215" s="155"/>
      <c r="Z215" s="155"/>
      <c r="AA215" s="155"/>
      <c r="AB215" s="155"/>
      <c r="AC215" s="155"/>
      <c r="AD215" s="155"/>
      <c r="AE215" s="155"/>
      <c r="AF215" s="155"/>
      <c r="AG215" s="155"/>
      <c r="AH215" s="155"/>
      <c r="AI215" s="155"/>
      <c r="AJ215" s="155"/>
      <c r="AK215" s="155"/>
      <c r="AL215" s="155"/>
      <c r="AM215" s="155"/>
      <c r="AN215" s="155"/>
      <c r="AO215" s="155"/>
    </row>
    <row r="216" spans="1:41" s="94" customFormat="1" ht="15" customHeight="1">
      <c r="A216" s="851"/>
      <c r="B216" s="853"/>
      <c r="C216" s="2625"/>
      <c r="D216" s="2625"/>
      <c r="E216" s="2625"/>
      <c r="F216" s="2625"/>
      <c r="G216" s="2625"/>
      <c r="H216" s="2625"/>
      <c r="I216" s="2625"/>
      <c r="J216" s="2625"/>
      <c r="K216" s="2625"/>
      <c r="L216" s="2625"/>
      <c r="M216" s="2625"/>
      <c r="N216" s="2625"/>
      <c r="O216" s="2625"/>
      <c r="P216" s="2625"/>
      <c r="Q216" s="2625"/>
      <c r="R216" s="2625"/>
      <c r="S216" s="2625"/>
      <c r="T216" s="2625"/>
      <c r="V216" s="128"/>
      <c r="W216" s="155"/>
      <c r="X216" s="155"/>
      <c r="Y216" s="155"/>
      <c r="Z216" s="155"/>
      <c r="AA216" s="155"/>
      <c r="AB216" s="155"/>
      <c r="AC216" s="155"/>
      <c r="AD216" s="155"/>
      <c r="AE216" s="155"/>
      <c r="AF216" s="155"/>
      <c r="AG216" s="155"/>
      <c r="AH216" s="155"/>
      <c r="AI216" s="155"/>
      <c r="AJ216" s="155"/>
      <c r="AK216" s="155"/>
      <c r="AL216" s="155"/>
      <c r="AM216" s="155"/>
      <c r="AN216" s="155"/>
      <c r="AO216" s="155"/>
    </row>
    <row r="217" spans="1:41" s="94" customFormat="1" ht="15" customHeight="1">
      <c r="A217" s="851"/>
      <c r="B217" s="853"/>
      <c r="C217" s="2625" t="s">
        <v>1947</v>
      </c>
      <c r="D217" s="2626"/>
      <c r="E217" s="2626"/>
      <c r="F217" s="2626"/>
      <c r="G217" s="2626"/>
      <c r="H217" s="2626"/>
      <c r="I217" s="2626"/>
      <c r="J217" s="2626"/>
      <c r="K217" s="2626"/>
      <c r="L217" s="2626"/>
      <c r="M217" s="2626"/>
      <c r="N217" s="2626"/>
      <c r="O217" s="2626"/>
      <c r="P217" s="2626"/>
      <c r="Q217" s="2626"/>
      <c r="R217" s="2626"/>
      <c r="S217" s="2626"/>
      <c r="T217" s="2626"/>
      <c r="V217" s="128"/>
      <c r="W217" s="155"/>
      <c r="X217" s="155"/>
      <c r="Y217" s="155"/>
      <c r="Z217" s="155"/>
      <c r="AA217" s="155"/>
      <c r="AB217" s="155"/>
      <c r="AC217" s="155"/>
      <c r="AD217" s="155"/>
      <c r="AE217" s="155"/>
      <c r="AF217" s="155"/>
      <c r="AG217" s="155"/>
      <c r="AH217" s="155"/>
      <c r="AI217" s="155"/>
      <c r="AJ217" s="155"/>
      <c r="AK217" s="155"/>
      <c r="AL217" s="155"/>
      <c r="AM217" s="155"/>
      <c r="AN217" s="155"/>
      <c r="AO217" s="155"/>
    </row>
    <row r="218" spans="1:41" s="94" customFormat="1" ht="15" customHeight="1">
      <c r="A218" s="851"/>
      <c r="B218" s="853"/>
      <c r="C218" s="2626"/>
      <c r="D218" s="2626"/>
      <c r="E218" s="2626"/>
      <c r="F218" s="2626"/>
      <c r="G218" s="2626"/>
      <c r="H218" s="2626"/>
      <c r="I218" s="2626"/>
      <c r="J218" s="2626"/>
      <c r="K218" s="2626"/>
      <c r="L218" s="2626"/>
      <c r="M218" s="2626"/>
      <c r="N218" s="2626"/>
      <c r="O218" s="2626"/>
      <c r="P218" s="2626"/>
      <c r="Q218" s="2626"/>
      <c r="R218" s="2626"/>
      <c r="S218" s="2626"/>
      <c r="T218" s="2626"/>
      <c r="V218" s="128"/>
      <c r="W218" s="155"/>
      <c r="X218" s="155"/>
      <c r="Y218" s="155"/>
      <c r="Z218" s="155"/>
      <c r="AA218" s="155"/>
      <c r="AB218" s="155"/>
      <c r="AC218" s="155"/>
      <c r="AD218" s="155"/>
      <c r="AE218" s="155"/>
      <c r="AF218" s="155"/>
      <c r="AG218" s="155"/>
      <c r="AH218" s="155"/>
      <c r="AI218" s="155"/>
      <c r="AJ218" s="155"/>
      <c r="AK218" s="155"/>
      <c r="AL218" s="155"/>
      <c r="AM218" s="155"/>
      <c r="AN218" s="155"/>
      <c r="AO218" s="155"/>
    </row>
    <row r="219" spans="1:41" s="94" customFormat="1" ht="15" customHeight="1">
      <c r="A219" s="854"/>
      <c r="B219" s="861"/>
      <c r="C219" s="2625" t="s">
        <v>1920</v>
      </c>
      <c r="D219" s="2625"/>
      <c r="E219" s="2625"/>
      <c r="F219" s="2625"/>
      <c r="G219" s="2625"/>
      <c r="H219" s="2625"/>
      <c r="I219" s="2625"/>
      <c r="J219" s="2625"/>
      <c r="K219" s="2625"/>
      <c r="L219" s="2625"/>
      <c r="M219" s="2625"/>
      <c r="N219" s="2625"/>
      <c r="O219" s="2625"/>
      <c r="P219" s="2625"/>
      <c r="Q219" s="2625"/>
      <c r="R219" s="2625"/>
      <c r="S219" s="2625"/>
      <c r="T219" s="2625"/>
      <c r="V219" s="128"/>
      <c r="W219" s="155"/>
      <c r="X219" s="155"/>
      <c r="Y219" s="155"/>
      <c r="Z219" s="155"/>
      <c r="AA219" s="155"/>
      <c r="AB219" s="155"/>
      <c r="AC219" s="155"/>
      <c r="AD219" s="155"/>
      <c r="AE219" s="155"/>
      <c r="AF219" s="155"/>
      <c r="AG219" s="155"/>
      <c r="AH219" s="155"/>
      <c r="AI219" s="155"/>
      <c r="AJ219" s="155"/>
      <c r="AK219" s="155"/>
      <c r="AL219" s="155"/>
      <c r="AM219" s="155"/>
      <c r="AN219" s="155"/>
      <c r="AO219" s="155"/>
    </row>
    <row r="220" spans="1:41" s="94" customFormat="1" ht="15" customHeight="1">
      <c r="A220" s="854"/>
      <c r="B220" s="861"/>
      <c r="C220" s="2625"/>
      <c r="D220" s="2625"/>
      <c r="E220" s="2625"/>
      <c r="F220" s="2625"/>
      <c r="G220" s="2625"/>
      <c r="H220" s="2625"/>
      <c r="I220" s="2625"/>
      <c r="J220" s="2625"/>
      <c r="K220" s="2625"/>
      <c r="L220" s="2625"/>
      <c r="M220" s="2625"/>
      <c r="N220" s="2625"/>
      <c r="O220" s="2625"/>
      <c r="P220" s="2625"/>
      <c r="Q220" s="2625"/>
      <c r="R220" s="2625"/>
      <c r="S220" s="2625"/>
      <c r="T220" s="2625"/>
      <c r="V220" s="128"/>
      <c r="W220" s="155"/>
      <c r="X220" s="155"/>
      <c r="Y220" s="155"/>
      <c r="Z220" s="155"/>
      <c r="AA220" s="155"/>
      <c r="AB220" s="155"/>
      <c r="AC220" s="155"/>
      <c r="AD220" s="155"/>
      <c r="AE220" s="155"/>
      <c r="AF220" s="155"/>
      <c r="AG220" s="155"/>
      <c r="AH220" s="155"/>
      <c r="AI220" s="155"/>
      <c r="AJ220" s="155"/>
      <c r="AK220" s="155"/>
      <c r="AL220" s="155"/>
      <c r="AM220" s="155"/>
      <c r="AN220" s="155"/>
      <c r="AO220" s="155"/>
    </row>
    <row r="221" spans="1:41" s="94" customFormat="1" ht="15" customHeight="1">
      <c r="A221" s="135"/>
      <c r="B221" s="934" t="s">
        <v>2053</v>
      </c>
      <c r="C221" s="2627" t="s">
        <v>1997</v>
      </c>
      <c r="D221" s="2627"/>
      <c r="E221" s="2627"/>
      <c r="F221" s="2627"/>
      <c r="G221" s="2627"/>
      <c r="H221" s="2627"/>
      <c r="I221" s="2627"/>
      <c r="J221" s="2627"/>
      <c r="K221" s="2627"/>
      <c r="L221" s="2627"/>
      <c r="M221" s="2627"/>
      <c r="N221" s="2627"/>
      <c r="O221" s="2627"/>
      <c r="P221" s="2627"/>
      <c r="Q221" s="2627"/>
      <c r="R221" s="2627"/>
      <c r="S221" s="2627"/>
      <c r="T221" s="2627"/>
      <c r="W221" s="128"/>
      <c r="X221" s="128"/>
      <c r="Y221" s="589"/>
      <c r="Z221" s="589"/>
    </row>
    <row r="222" spans="1:41" s="94" customFormat="1" ht="15" customHeight="1">
      <c r="A222" s="135"/>
      <c r="B222" s="934"/>
      <c r="C222" s="2627"/>
      <c r="D222" s="2627"/>
      <c r="E222" s="2627"/>
      <c r="F222" s="2627"/>
      <c r="G222" s="2627"/>
      <c r="H222" s="2627"/>
      <c r="I222" s="2627"/>
      <c r="J222" s="2627"/>
      <c r="K222" s="2627"/>
      <c r="L222" s="2627"/>
      <c r="M222" s="2627"/>
      <c r="N222" s="2627"/>
      <c r="O222" s="2627"/>
      <c r="P222" s="2627"/>
      <c r="Q222" s="2627"/>
      <c r="R222" s="2627"/>
      <c r="S222" s="2627"/>
      <c r="T222" s="2627"/>
      <c r="W222" s="128"/>
      <c r="X222" s="128"/>
      <c r="Y222" s="589"/>
      <c r="Z222" s="589"/>
    </row>
    <row r="223" spans="1:41" s="94" customFormat="1" ht="15" customHeight="1">
      <c r="A223" s="135"/>
      <c r="B223" s="934" t="s">
        <v>2054</v>
      </c>
      <c r="C223" s="2627" t="s">
        <v>1921</v>
      </c>
      <c r="D223" s="2627"/>
      <c r="E223" s="2627"/>
      <c r="F223" s="2627"/>
      <c r="G223" s="2627"/>
      <c r="H223" s="2627"/>
      <c r="I223" s="2627"/>
      <c r="J223" s="2627"/>
      <c r="K223" s="2627"/>
      <c r="L223" s="2627"/>
      <c r="M223" s="2627"/>
      <c r="N223" s="2627"/>
      <c r="O223" s="2627"/>
      <c r="P223" s="2627"/>
      <c r="Q223" s="2627"/>
      <c r="R223" s="2627"/>
      <c r="S223" s="2627"/>
      <c r="T223" s="2627"/>
      <c r="W223" s="128"/>
      <c r="X223" s="128"/>
      <c r="Y223" s="589"/>
      <c r="Z223" s="589"/>
    </row>
    <row r="224" spans="1:41" s="94" customFormat="1" ht="15" customHeight="1">
      <c r="A224" s="135"/>
      <c r="B224" s="934"/>
      <c r="C224" s="2627"/>
      <c r="D224" s="2627"/>
      <c r="E224" s="2627"/>
      <c r="F224" s="2627"/>
      <c r="G224" s="2627"/>
      <c r="H224" s="2627"/>
      <c r="I224" s="2627"/>
      <c r="J224" s="2627"/>
      <c r="K224" s="2627"/>
      <c r="L224" s="2627"/>
      <c r="M224" s="2627"/>
      <c r="N224" s="2627"/>
      <c r="O224" s="2627"/>
      <c r="P224" s="2627"/>
      <c r="Q224" s="2627"/>
      <c r="R224" s="2627"/>
      <c r="S224" s="2627"/>
      <c r="T224" s="2627"/>
      <c r="W224" s="128"/>
      <c r="X224" s="128"/>
      <c r="Y224" s="589"/>
      <c r="Z224" s="589"/>
    </row>
    <row r="225" spans="1:41" s="94" customFormat="1" ht="15" customHeight="1">
      <c r="A225" s="135"/>
      <c r="B225" s="934"/>
      <c r="C225" s="2627"/>
      <c r="D225" s="2627"/>
      <c r="E225" s="2627"/>
      <c r="F225" s="2627"/>
      <c r="G225" s="2627"/>
      <c r="H225" s="2627"/>
      <c r="I225" s="2627"/>
      <c r="J225" s="2627"/>
      <c r="K225" s="2627"/>
      <c r="L225" s="2627"/>
      <c r="M225" s="2627"/>
      <c r="N225" s="2627"/>
      <c r="O225" s="2627"/>
      <c r="P225" s="2627"/>
      <c r="Q225" s="2627"/>
      <c r="R225" s="2627"/>
      <c r="S225" s="2627"/>
      <c r="T225" s="2627"/>
      <c r="W225" s="128"/>
      <c r="X225" s="128"/>
      <c r="Y225" s="589"/>
      <c r="Z225" s="589"/>
    </row>
    <row r="226" spans="1:41" s="94" customFormat="1" ht="15" customHeight="1">
      <c r="A226" s="854"/>
      <c r="B226" s="861">
        <v>4</v>
      </c>
      <c r="C226" s="2625" t="s">
        <v>1922</v>
      </c>
      <c r="D226" s="2625"/>
      <c r="E226" s="2625"/>
      <c r="F226" s="2625"/>
      <c r="G226" s="2625"/>
      <c r="H226" s="2625"/>
      <c r="I226" s="2625"/>
      <c r="J226" s="2625"/>
      <c r="K226" s="2625"/>
      <c r="L226" s="2625"/>
      <c r="M226" s="2625"/>
      <c r="N226" s="2625"/>
      <c r="O226" s="2625"/>
      <c r="P226" s="2625"/>
      <c r="Q226" s="2625"/>
      <c r="R226" s="2625"/>
      <c r="S226" s="2625"/>
      <c r="T226" s="2625"/>
      <c r="V226" s="128"/>
      <c r="W226" s="155"/>
      <c r="X226" s="155"/>
      <c r="Y226" s="155"/>
      <c r="Z226" s="155"/>
      <c r="AA226" s="155"/>
      <c r="AB226" s="155"/>
      <c r="AC226" s="155"/>
      <c r="AD226" s="155"/>
      <c r="AE226" s="155"/>
      <c r="AF226" s="155"/>
      <c r="AG226" s="155"/>
      <c r="AH226" s="155"/>
      <c r="AI226" s="155"/>
      <c r="AJ226" s="155"/>
      <c r="AK226" s="155"/>
      <c r="AL226" s="155"/>
      <c r="AM226" s="155"/>
      <c r="AN226" s="155"/>
      <c r="AO226" s="155"/>
    </row>
    <row r="227" spans="1:41" s="94" customFormat="1" ht="15" customHeight="1">
      <c r="A227" s="854"/>
      <c r="B227" s="861"/>
      <c r="C227" s="2625"/>
      <c r="D227" s="2625"/>
      <c r="E227" s="2625"/>
      <c r="F227" s="2625"/>
      <c r="G227" s="2625"/>
      <c r="H227" s="2625"/>
      <c r="I227" s="2625"/>
      <c r="J227" s="2625"/>
      <c r="K227" s="2625"/>
      <c r="L227" s="2625"/>
      <c r="M227" s="2625"/>
      <c r="N227" s="2625"/>
      <c r="O227" s="2625"/>
      <c r="P227" s="2625"/>
      <c r="Q227" s="2625"/>
      <c r="R227" s="2625"/>
      <c r="S227" s="2625"/>
      <c r="T227" s="2625"/>
      <c r="V227" s="128"/>
      <c r="W227" s="155"/>
      <c r="X227" s="155"/>
      <c r="Y227" s="155"/>
      <c r="Z227" s="155"/>
      <c r="AA227" s="155"/>
      <c r="AB227" s="155"/>
      <c r="AC227" s="155"/>
      <c r="AD227" s="155"/>
      <c r="AE227" s="155"/>
      <c r="AF227" s="155"/>
      <c r="AG227" s="155"/>
      <c r="AH227" s="155"/>
      <c r="AI227" s="155"/>
      <c r="AJ227" s="155"/>
      <c r="AK227" s="155"/>
      <c r="AL227" s="155"/>
      <c r="AM227" s="155"/>
      <c r="AN227" s="155"/>
      <c r="AO227" s="155"/>
    </row>
    <row r="228" spans="1:41" s="94" customFormat="1" ht="15" customHeight="1">
      <c r="B228" s="135"/>
      <c r="C228" s="135"/>
    </row>
    <row r="229" spans="1:41" s="94" customFormat="1" ht="15" customHeight="1">
      <c r="A229" s="94" t="s">
        <v>1697</v>
      </c>
      <c r="B229" s="135"/>
      <c r="C229" s="135"/>
      <c r="W229" s="128"/>
    </row>
    <row r="230" spans="1:41" s="94" customFormat="1" ht="15" customHeight="1">
      <c r="A230" s="94" t="s">
        <v>1699</v>
      </c>
      <c r="B230" s="135"/>
      <c r="C230" s="2622" t="s">
        <v>1698</v>
      </c>
      <c r="D230" s="2622"/>
      <c r="E230" s="2622"/>
      <c r="F230" s="2622"/>
      <c r="G230" s="2622"/>
      <c r="H230" s="2622"/>
      <c r="I230" s="2622"/>
      <c r="J230" s="2622"/>
      <c r="K230" s="2622"/>
      <c r="L230" s="2622"/>
      <c r="M230" s="2622"/>
      <c r="N230" s="2622"/>
      <c r="O230" s="2622"/>
      <c r="P230" s="2622"/>
      <c r="Q230" s="2622"/>
      <c r="R230" s="2622"/>
      <c r="S230" s="2622"/>
      <c r="T230" s="2622"/>
      <c r="W230" s="128"/>
    </row>
    <row r="231" spans="1:41" s="94" customFormat="1" ht="15" customHeight="1">
      <c r="B231" s="135"/>
      <c r="C231" s="2622"/>
      <c r="D231" s="2622"/>
      <c r="E231" s="2622"/>
      <c r="F231" s="2622"/>
      <c r="G231" s="2622"/>
      <c r="H231" s="2622"/>
      <c r="I231" s="2622"/>
      <c r="J231" s="2622"/>
      <c r="K231" s="2622"/>
      <c r="L231" s="2622"/>
      <c r="M231" s="2622"/>
      <c r="N231" s="2622"/>
      <c r="O231" s="2622"/>
      <c r="P231" s="2622"/>
      <c r="Q231" s="2622"/>
      <c r="R231" s="2622"/>
      <c r="S231" s="2622"/>
      <c r="T231" s="2622"/>
      <c r="W231" s="128"/>
    </row>
    <row r="232" spans="1:41" s="94" customFormat="1" ht="15" customHeight="1">
      <c r="B232" s="135"/>
      <c r="C232" s="2622"/>
      <c r="D232" s="2622"/>
      <c r="E232" s="2622"/>
      <c r="F232" s="2622"/>
      <c r="G232" s="2622"/>
      <c r="H232" s="2622"/>
      <c r="I232" s="2622"/>
      <c r="J232" s="2622"/>
      <c r="K232" s="2622"/>
      <c r="L232" s="2622"/>
      <c r="M232" s="2622"/>
      <c r="N232" s="2622"/>
      <c r="O232" s="2622"/>
      <c r="P232" s="2622"/>
      <c r="Q232" s="2622"/>
      <c r="R232" s="2622"/>
      <c r="S232" s="2622"/>
      <c r="T232" s="2622"/>
      <c r="W232" s="128"/>
    </row>
    <row r="233" spans="1:41" s="94" customFormat="1" ht="15" customHeight="1">
      <c r="B233" s="135"/>
      <c r="C233" s="135"/>
      <c r="W233" s="128"/>
    </row>
    <row r="234" spans="1:41" s="94" customFormat="1" ht="15" customHeight="1">
      <c r="A234" s="94" t="s">
        <v>1467</v>
      </c>
      <c r="B234" s="135"/>
      <c r="C234" s="135"/>
      <c r="W234" s="128"/>
    </row>
    <row r="235" spans="1:41" s="94" customFormat="1" ht="15" customHeight="1">
      <c r="A235" s="94" t="s">
        <v>1881</v>
      </c>
      <c r="B235" s="135"/>
      <c r="C235" s="2622" t="s">
        <v>1700</v>
      </c>
      <c r="D235" s="2622"/>
      <c r="E235" s="2622"/>
      <c r="F235" s="2622"/>
      <c r="G235" s="2622"/>
      <c r="H235" s="2622"/>
      <c r="I235" s="2622"/>
      <c r="J235" s="2622"/>
      <c r="K235" s="2622"/>
      <c r="L235" s="2622"/>
      <c r="M235" s="2622"/>
      <c r="N235" s="2622"/>
      <c r="O235" s="2622"/>
      <c r="P235" s="2622"/>
      <c r="Q235" s="2622"/>
      <c r="R235" s="2622"/>
      <c r="S235" s="2622"/>
      <c r="T235" s="2622"/>
      <c r="W235" s="128"/>
    </row>
    <row r="236" spans="1:41" s="94" customFormat="1" ht="15" customHeight="1">
      <c r="B236" s="135" t="s">
        <v>570</v>
      </c>
      <c r="C236" s="2622" t="s">
        <v>1701</v>
      </c>
      <c r="D236" s="2622"/>
      <c r="E236" s="2622"/>
      <c r="F236" s="2622"/>
      <c r="G236" s="2622"/>
      <c r="H236" s="2622"/>
      <c r="I236" s="2622"/>
      <c r="J236" s="2622"/>
      <c r="K236" s="2622"/>
      <c r="L236" s="2622"/>
      <c r="M236" s="2622"/>
      <c r="N236" s="2622"/>
      <c r="O236" s="2622"/>
      <c r="P236" s="2622"/>
      <c r="Q236" s="2622"/>
      <c r="R236" s="2622"/>
      <c r="S236" s="2622"/>
      <c r="T236" s="2622"/>
      <c r="W236" s="128"/>
    </row>
    <row r="237" spans="1:41" s="94" customFormat="1" ht="15" customHeight="1">
      <c r="B237" s="135"/>
      <c r="C237" s="2622"/>
      <c r="D237" s="2622"/>
      <c r="E237" s="2622"/>
      <c r="F237" s="2622"/>
      <c r="G237" s="2622"/>
      <c r="H237" s="2622"/>
      <c r="I237" s="2622"/>
      <c r="J237" s="2622"/>
      <c r="K237" s="2622"/>
      <c r="L237" s="2622"/>
      <c r="M237" s="2622"/>
      <c r="N237" s="2622"/>
      <c r="O237" s="2622"/>
      <c r="P237" s="2622"/>
      <c r="Q237" s="2622"/>
      <c r="R237" s="2622"/>
      <c r="S237" s="2622"/>
      <c r="T237" s="2622"/>
      <c r="W237" s="128"/>
    </row>
    <row r="238" spans="1:41" s="94" customFormat="1" ht="15" customHeight="1">
      <c r="B238" s="135" t="s">
        <v>595</v>
      </c>
      <c r="C238" s="2622" t="s">
        <v>1702</v>
      </c>
      <c r="D238" s="2622"/>
      <c r="E238" s="2622"/>
      <c r="F238" s="2622"/>
      <c r="G238" s="2622"/>
      <c r="H238" s="2622"/>
      <c r="I238" s="2622"/>
      <c r="J238" s="2622"/>
      <c r="K238" s="2622"/>
      <c r="L238" s="2622"/>
      <c r="M238" s="2622"/>
      <c r="N238" s="2622"/>
      <c r="O238" s="2622"/>
      <c r="P238" s="2622"/>
      <c r="Q238" s="2622"/>
      <c r="R238" s="2622"/>
      <c r="S238" s="2622"/>
      <c r="T238" s="2622"/>
      <c r="W238" s="128"/>
    </row>
    <row r="239" spans="1:41" s="94" customFormat="1" ht="15" customHeight="1">
      <c r="B239" s="135"/>
      <c r="C239" s="2622"/>
      <c r="D239" s="2622"/>
      <c r="E239" s="2622"/>
      <c r="F239" s="2622"/>
      <c r="G239" s="2622"/>
      <c r="H239" s="2622"/>
      <c r="I239" s="2622"/>
      <c r="J239" s="2622"/>
      <c r="K239" s="2622"/>
      <c r="L239" s="2622"/>
      <c r="M239" s="2622"/>
      <c r="N239" s="2622"/>
      <c r="O239" s="2622"/>
      <c r="P239" s="2622"/>
      <c r="Q239" s="2622"/>
      <c r="R239" s="2622"/>
      <c r="S239" s="2622"/>
      <c r="T239" s="2622"/>
      <c r="W239" s="128"/>
    </row>
    <row r="240" spans="1:41" s="94" customFormat="1" ht="15" customHeight="1">
      <c r="B240" s="135" t="s">
        <v>597</v>
      </c>
      <c r="C240" s="2618" t="s">
        <v>1703</v>
      </c>
      <c r="D240" s="2618"/>
      <c r="E240" s="2618"/>
      <c r="F240" s="2618"/>
      <c r="G240" s="2618"/>
      <c r="H240" s="2618"/>
      <c r="I240" s="2618"/>
      <c r="J240" s="2618"/>
      <c r="K240" s="2618"/>
      <c r="L240" s="2618"/>
      <c r="M240" s="2618"/>
      <c r="N240" s="2618"/>
      <c r="O240" s="2618"/>
      <c r="P240" s="2618"/>
      <c r="Q240" s="2618"/>
      <c r="R240" s="2618"/>
      <c r="S240" s="2618"/>
      <c r="T240" s="2618"/>
      <c r="W240" s="128"/>
    </row>
    <row r="241" spans="1:23" s="94" customFormat="1" ht="15" customHeight="1">
      <c r="B241" s="135"/>
      <c r="C241" s="2618"/>
      <c r="D241" s="2618"/>
      <c r="E241" s="2618"/>
      <c r="F241" s="2618"/>
      <c r="G241" s="2618"/>
      <c r="H241" s="2618"/>
      <c r="I241" s="2618"/>
      <c r="J241" s="2618"/>
      <c r="K241" s="2618"/>
      <c r="L241" s="2618"/>
      <c r="M241" s="2618"/>
      <c r="N241" s="2618"/>
      <c r="O241" s="2618"/>
      <c r="P241" s="2618"/>
      <c r="Q241" s="2618"/>
      <c r="R241" s="2618"/>
      <c r="S241" s="2618"/>
      <c r="T241" s="2618"/>
      <c r="W241" s="128"/>
    </row>
    <row r="242" spans="1:23" s="94" customFormat="1" ht="15" customHeight="1">
      <c r="B242" s="135"/>
      <c r="C242" s="2618"/>
      <c r="D242" s="2618"/>
      <c r="E242" s="2618"/>
      <c r="F242" s="2618"/>
      <c r="G242" s="2618"/>
      <c r="H242" s="2618"/>
      <c r="I242" s="2618"/>
      <c r="J242" s="2618"/>
      <c r="K242" s="2618"/>
      <c r="L242" s="2618"/>
      <c r="M242" s="2618"/>
      <c r="N242" s="2618"/>
      <c r="O242" s="2618"/>
      <c r="P242" s="2618"/>
      <c r="Q242" s="2618"/>
      <c r="R242" s="2618"/>
      <c r="S242" s="2618"/>
      <c r="T242" s="2618"/>
      <c r="W242" s="128"/>
    </row>
    <row r="243" spans="1:23" s="94" customFormat="1" ht="15" customHeight="1">
      <c r="B243" s="135" t="s">
        <v>603</v>
      </c>
      <c r="C243" s="2618" t="str">
        <f>"　この規程の定める事項の他、運営に関する重要事項は、"&amp;【マスター】!C21&amp;"の代表取締役と事業所の管理者との協議に基づき定めるものとする。"</f>
        <v>　この規程の定める事項の他、運営に関する重要事項は、株式会社ケアサポートの代表取締役と事業所の管理者との協議に基づき定めるものとする。</v>
      </c>
      <c r="D243" s="2618"/>
      <c r="E243" s="2618"/>
      <c r="F243" s="2618"/>
      <c r="G243" s="2618"/>
      <c r="H243" s="2618"/>
      <c r="I243" s="2618"/>
      <c r="J243" s="2618"/>
      <c r="K243" s="2618"/>
      <c r="L243" s="2618"/>
      <c r="M243" s="2618"/>
      <c r="N243" s="2618"/>
      <c r="O243" s="2618"/>
      <c r="P243" s="2618"/>
      <c r="Q243" s="2618"/>
      <c r="R243" s="2618"/>
      <c r="S243" s="2618"/>
      <c r="T243" s="2618"/>
      <c r="W243" s="128"/>
    </row>
    <row r="244" spans="1:23" s="94" customFormat="1" ht="15" customHeight="1">
      <c r="B244" s="135"/>
      <c r="C244" s="2618"/>
      <c r="D244" s="2618"/>
      <c r="E244" s="2618"/>
      <c r="F244" s="2618"/>
      <c r="G244" s="2618"/>
      <c r="H244" s="2618"/>
      <c r="I244" s="2618"/>
      <c r="J244" s="2618"/>
      <c r="K244" s="2618"/>
      <c r="L244" s="2618"/>
      <c r="M244" s="2618"/>
      <c r="N244" s="2618"/>
      <c r="O244" s="2618"/>
      <c r="P244" s="2618"/>
      <c r="Q244" s="2618"/>
      <c r="R244" s="2618"/>
      <c r="S244" s="2618"/>
      <c r="T244" s="2618"/>
      <c r="W244" s="128"/>
    </row>
    <row r="245" spans="1:23" s="94" customFormat="1" ht="15" customHeight="1">
      <c r="B245" s="135"/>
      <c r="C245" s="589"/>
      <c r="D245" s="589"/>
      <c r="E245" s="589"/>
      <c r="F245" s="589"/>
      <c r="G245" s="589"/>
      <c r="H245" s="589"/>
      <c r="I245" s="589"/>
      <c r="J245" s="589"/>
      <c r="K245" s="589"/>
      <c r="L245" s="589"/>
      <c r="M245" s="589"/>
      <c r="N245" s="589"/>
      <c r="O245" s="589"/>
      <c r="P245" s="589"/>
      <c r="Q245" s="589"/>
      <c r="R245" s="589"/>
      <c r="S245" s="589"/>
      <c r="T245" s="589"/>
      <c r="W245" s="128"/>
    </row>
    <row r="246" spans="1:23" s="94" customFormat="1" ht="15" customHeight="1">
      <c r="A246" s="94" t="s">
        <v>1603</v>
      </c>
      <c r="B246" s="135"/>
      <c r="C246" s="135"/>
      <c r="W246" s="128"/>
    </row>
    <row r="247" spans="1:23" s="94" customFormat="1" ht="15" customHeight="1">
      <c r="A247" s="87"/>
      <c r="B247" s="87" t="s">
        <v>1604</v>
      </c>
      <c r="C247" s="149"/>
      <c r="D247" s="87"/>
      <c r="E247" s="593" t="str">
        <f>DBCS(【マスター】!D108)</f>
        <v>令和</v>
      </c>
      <c r="F247" s="593" t="str">
        <f>DBCS(【マスター】!E108)</f>
        <v>４</v>
      </c>
      <c r="G247" s="593" t="str">
        <f>DBCS(【マスター】!F108)</f>
        <v>年</v>
      </c>
      <c r="H247" s="593" t="str">
        <f>DBCS(【マスター】!G108)</f>
        <v>１</v>
      </c>
      <c r="I247" s="593" t="str">
        <f>DBCS(【マスター】!H108)</f>
        <v>月</v>
      </c>
      <c r="J247" s="593" t="str">
        <f>DBCS(【マスター】!I108)</f>
        <v>１</v>
      </c>
      <c r="K247" s="593" t="str">
        <f>DBCS(【マスター】!J108)</f>
        <v>日</v>
      </c>
      <c r="L247" s="152" t="s">
        <v>1605</v>
      </c>
      <c r="M247" s="152"/>
      <c r="N247" s="87"/>
      <c r="O247" s="87"/>
      <c r="P247" s="87"/>
      <c r="Q247" s="87"/>
      <c r="R247" s="87"/>
      <c r="S247" s="87"/>
      <c r="T247" s="87"/>
      <c r="W247" s="128"/>
    </row>
    <row r="248" spans="1:23" s="94" customFormat="1" ht="15" customHeight="1">
      <c r="A248" s="87"/>
      <c r="B248" s="149"/>
      <c r="C248" s="149"/>
      <c r="D248" s="87"/>
      <c r="E248" s="593" t="str">
        <f>IF(F248="","",【マスター】!D110)</f>
        <v>令和</v>
      </c>
      <c r="F248" s="593" t="str">
        <f>DBCS(【マスター】!E110)</f>
        <v>４</v>
      </c>
      <c r="G248" s="593" t="str">
        <f>IF(F248="","",【マスター】!F110)</f>
        <v>年</v>
      </c>
      <c r="H248" s="593">
        <f>IF(G248="","",【マスター】!G110)</f>
        <v>8</v>
      </c>
      <c r="I248" s="593" t="str">
        <f>IF(H248="","",【マスター】!H110)</f>
        <v>月</v>
      </c>
      <c r="J248" s="593">
        <f>IF(I248="","",【マスター】!I110)</f>
        <v>1</v>
      </c>
      <c r="K248" s="593" t="str">
        <f>IF(J248="","",【マスター】!J110)</f>
        <v>日</v>
      </c>
      <c r="L248" s="2705" t="str">
        <f>IF(【マスター】!E110=0,"","改訂")</f>
        <v>改訂</v>
      </c>
      <c r="M248" s="2705"/>
      <c r="N248" s="87"/>
      <c r="O248" s="87"/>
      <c r="P248" s="87"/>
      <c r="Q248" s="87"/>
      <c r="R248" s="87"/>
      <c r="S248" s="87"/>
      <c r="T248" s="87"/>
      <c r="U248" s="481"/>
      <c r="W248" s="128"/>
    </row>
    <row r="249" spans="1:23" s="94" customFormat="1" ht="15" customHeight="1">
      <c r="A249" s="87"/>
      <c r="B249" s="149"/>
      <c r="C249" s="149"/>
      <c r="D249" s="87"/>
      <c r="E249" s="593" t="str">
        <f>IF(F249="","",【マスター】!D111)</f>
        <v>令和</v>
      </c>
      <c r="F249" s="593" t="str">
        <f>DBCS(【マスター】!E111)</f>
        <v>４</v>
      </c>
      <c r="G249" s="593" t="str">
        <f>IF(F249="","",【マスター】!F111)</f>
        <v>年</v>
      </c>
      <c r="H249" s="593">
        <f>IF(G249="","",【マスター】!G111)</f>
        <v>10</v>
      </c>
      <c r="I249" s="593" t="str">
        <f>IF(H249="","",【マスター】!H111)</f>
        <v>月</v>
      </c>
      <c r="J249" s="593">
        <f>IF(I249="","",【マスター】!I111)</f>
        <v>1</v>
      </c>
      <c r="K249" s="593" t="str">
        <f>IF(J249="","",【マスター】!J111)</f>
        <v>日</v>
      </c>
      <c r="L249" s="2705" t="str">
        <f>IF(【マスター】!E111=0,"","改訂")</f>
        <v>改訂</v>
      </c>
      <c r="M249" s="2705"/>
      <c r="N249" s="87"/>
      <c r="O249" s="87"/>
      <c r="P249" s="87"/>
      <c r="Q249" s="87"/>
      <c r="R249" s="87"/>
      <c r="S249" s="87"/>
      <c r="T249" s="87"/>
      <c r="W249" s="128"/>
    </row>
    <row r="250" spans="1:23" s="94" customFormat="1" ht="15" customHeight="1">
      <c r="A250" s="87"/>
      <c r="B250" s="149"/>
      <c r="C250" s="149"/>
      <c r="D250" s="87"/>
      <c r="E250" s="593" t="str">
        <f>IF(F250="","",【マスター】!D112)</f>
        <v>令和</v>
      </c>
      <c r="F250" s="593" t="str">
        <f>DBCS(【マスター】!E112)</f>
        <v>５</v>
      </c>
      <c r="G250" s="593" t="str">
        <f>IF(F250="","",【マスター】!F112)</f>
        <v>年</v>
      </c>
      <c r="H250" s="593">
        <f>IF(G250="","",【マスター】!G112)</f>
        <v>4</v>
      </c>
      <c r="I250" s="593" t="str">
        <f>IF(H250="","",【マスター】!H112)</f>
        <v>月</v>
      </c>
      <c r="J250" s="593">
        <f>IF(I250="","",【マスター】!I112)</f>
        <v>1</v>
      </c>
      <c r="K250" s="593" t="str">
        <f>IF(J250="","",【マスター】!J112)</f>
        <v>日</v>
      </c>
      <c r="L250" s="2705" t="str">
        <f>IF(【マスター】!E112=0,"","改訂")</f>
        <v>改訂</v>
      </c>
      <c r="M250" s="2705"/>
      <c r="N250" s="87"/>
      <c r="O250" s="87"/>
      <c r="P250" s="87"/>
      <c r="Q250" s="87"/>
      <c r="R250" s="87"/>
      <c r="S250" s="87"/>
      <c r="T250" s="87"/>
      <c r="W250" s="128"/>
    </row>
    <row r="251" spans="1:23" s="94" customFormat="1" ht="15" customHeight="1">
      <c r="A251" s="87"/>
      <c r="B251" s="149"/>
      <c r="C251" s="149"/>
      <c r="D251" s="87"/>
      <c r="E251" s="593" t="str">
        <f>IF(F251="","",【マスター】!D113)</f>
        <v>令和</v>
      </c>
      <c r="F251" s="593" t="str">
        <f>DBCS(【マスター】!E113)</f>
        <v>６</v>
      </c>
      <c r="G251" s="593" t="str">
        <f>IF(F251="","",【マスター】!F113)</f>
        <v>年</v>
      </c>
      <c r="H251" s="593">
        <f>IF(G251="","",【マスター】!G113)</f>
        <v>4</v>
      </c>
      <c r="I251" s="593" t="str">
        <f>IF(H251="","",【マスター】!H113)</f>
        <v>月</v>
      </c>
      <c r="J251" s="593">
        <f>IF(I251="","",【マスター】!I113)</f>
        <v>1</v>
      </c>
      <c r="K251" s="593" t="str">
        <f>IF(J251="","",【マスター】!J113)</f>
        <v>日</v>
      </c>
      <c r="L251" s="2705" t="str">
        <f>IF(【マスター】!E113=0,"","改訂")</f>
        <v>改訂</v>
      </c>
      <c r="M251" s="2705"/>
      <c r="N251" s="87"/>
      <c r="O251" s="87"/>
      <c r="P251" s="87"/>
      <c r="Q251" s="87"/>
      <c r="R251" s="87"/>
      <c r="S251" s="87"/>
      <c r="T251" s="87"/>
      <c r="W251" s="128"/>
    </row>
    <row r="252" spans="1:23" s="94" customFormat="1" ht="15" customHeight="1">
      <c r="A252" s="87"/>
      <c r="B252" s="149"/>
      <c r="C252" s="149"/>
      <c r="D252" s="87"/>
      <c r="E252" s="593" t="str">
        <f>IF(F252="","",【マスター】!D114)</f>
        <v/>
      </c>
      <c r="F252" s="593" t="str">
        <f>DBCS(【マスター】!E114)</f>
        <v/>
      </c>
      <c r="G252" s="593" t="str">
        <f>IF(F252="","",【マスター】!F114)</f>
        <v/>
      </c>
      <c r="H252" s="593" t="str">
        <f>IF(G252="","",【マスター】!G114)</f>
        <v/>
      </c>
      <c r="I252" s="593" t="str">
        <f>IF(H252="","",【マスター】!H114)</f>
        <v/>
      </c>
      <c r="J252" s="593" t="str">
        <f>IF(I252="","",【マスター】!I114)</f>
        <v/>
      </c>
      <c r="K252" s="593" t="str">
        <f>IF(J252="","",【マスター】!J114)</f>
        <v/>
      </c>
      <c r="L252" s="2705" t="str">
        <f>IF(【マスター】!E114=0,"","改訂")</f>
        <v/>
      </c>
      <c r="M252" s="2705"/>
      <c r="N252" s="87"/>
      <c r="O252" s="87"/>
      <c r="P252" s="87"/>
      <c r="Q252" s="87"/>
      <c r="R252" s="87"/>
      <c r="S252" s="87"/>
      <c r="T252" s="87"/>
      <c r="W252" s="128"/>
    </row>
    <row r="253" spans="1:23" s="94" customFormat="1" ht="15" customHeight="1">
      <c r="A253" s="87"/>
      <c r="B253" s="149"/>
      <c r="C253" s="149"/>
      <c r="D253" s="87"/>
      <c r="E253" s="593" t="str">
        <f>IF(F253="","",【マスター】!D115)</f>
        <v/>
      </c>
      <c r="F253" s="593" t="str">
        <f>DBCS(【マスター】!E115)</f>
        <v/>
      </c>
      <c r="G253" s="593" t="str">
        <f>IF(F253="","",【マスター】!F115)</f>
        <v/>
      </c>
      <c r="H253" s="593" t="str">
        <f>IF(G253="","",【マスター】!G115)</f>
        <v/>
      </c>
      <c r="I253" s="593" t="str">
        <f>IF(H253="","",【マスター】!H115)</f>
        <v/>
      </c>
      <c r="J253" s="593" t="str">
        <f>IF(I253="","",【マスター】!I115)</f>
        <v/>
      </c>
      <c r="K253" s="593" t="str">
        <f>IF(J253="","",【マスター】!J115)</f>
        <v/>
      </c>
      <c r="L253" s="2705" t="str">
        <f>IF(【マスター】!E115=0,"","改訂")</f>
        <v/>
      </c>
      <c r="M253" s="2705"/>
      <c r="N253" s="87"/>
      <c r="O253" s="87"/>
      <c r="P253" s="87"/>
      <c r="Q253" s="87"/>
      <c r="R253" s="87"/>
      <c r="S253" s="87"/>
      <c r="T253" s="87"/>
      <c r="W253" s="128"/>
    </row>
    <row r="254" spans="1:23" s="94" customFormat="1" ht="15" customHeight="1">
      <c r="A254" s="87"/>
      <c r="B254" s="149"/>
      <c r="C254" s="149"/>
      <c r="D254" s="87"/>
      <c r="E254" s="593" t="str">
        <f>IF(F254="","",【マスター】!D116)</f>
        <v/>
      </c>
      <c r="F254" s="593" t="str">
        <f>DBCS(【マスター】!E116)</f>
        <v/>
      </c>
      <c r="G254" s="593" t="str">
        <f>IF(F254="","",【マスター】!F116)</f>
        <v/>
      </c>
      <c r="H254" s="593" t="str">
        <f>IF(G254="","",【マスター】!G116)</f>
        <v/>
      </c>
      <c r="I254" s="593" t="str">
        <f>IF(H254="","",【マスター】!H116)</f>
        <v/>
      </c>
      <c r="J254" s="593" t="str">
        <f>IF(I254="","",【マスター】!I116)</f>
        <v/>
      </c>
      <c r="K254" s="593" t="str">
        <f>IF(J254="","",【マスター】!J116)</f>
        <v/>
      </c>
      <c r="L254" s="2705" t="str">
        <f>IF(【マスター】!E116=0,"","改訂")</f>
        <v/>
      </c>
      <c r="M254" s="2705"/>
      <c r="N254" s="87"/>
      <c r="O254" s="87"/>
      <c r="P254" s="87"/>
      <c r="Q254" s="87"/>
      <c r="R254" s="87"/>
      <c r="S254" s="87"/>
      <c r="T254" s="87"/>
      <c r="W254" s="128"/>
    </row>
    <row r="255" spans="1:23" s="94" customFormat="1" ht="15" customHeight="1">
      <c r="A255" s="87"/>
      <c r="B255" s="149"/>
      <c r="C255" s="149"/>
      <c r="D255" s="87"/>
      <c r="E255" s="593" t="str">
        <f>IF(F255="","",【マスター】!D117)</f>
        <v/>
      </c>
      <c r="F255" s="593" t="str">
        <f>DBCS(【マスター】!E117)</f>
        <v/>
      </c>
      <c r="G255" s="593" t="str">
        <f>IF(F255="","",【マスター】!F117)</f>
        <v/>
      </c>
      <c r="H255" s="593" t="str">
        <f>IF(G255="","",【マスター】!G117)</f>
        <v/>
      </c>
      <c r="I255" s="593" t="str">
        <f>IF(H255="","",【マスター】!H117)</f>
        <v/>
      </c>
      <c r="J255" s="593" t="str">
        <f>IF(I255="","",【マスター】!I117)</f>
        <v/>
      </c>
      <c r="K255" s="593" t="str">
        <f>IF(J255="","",【マスター】!J117)</f>
        <v/>
      </c>
      <c r="L255" s="2705" t="str">
        <f>IF(【マスター】!E117=0,"","改訂")</f>
        <v/>
      </c>
      <c r="M255" s="2705"/>
      <c r="N255" s="87"/>
      <c r="O255" s="87"/>
      <c r="P255" s="87"/>
      <c r="Q255" s="87"/>
      <c r="R255" s="87"/>
      <c r="S255" s="87"/>
      <c r="T255" s="87"/>
      <c r="W255" s="128"/>
    </row>
    <row r="256" spans="1:23" s="94" customFormat="1" ht="15" customHeight="1">
      <c r="A256" s="87"/>
      <c r="B256" s="149"/>
      <c r="C256" s="149"/>
      <c r="D256" s="87"/>
      <c r="E256" s="593" t="str">
        <f>IF(F256="","",【マスター】!D118)</f>
        <v/>
      </c>
      <c r="F256" s="593" t="str">
        <f>DBCS(【マスター】!E118)</f>
        <v/>
      </c>
      <c r="G256" s="593" t="str">
        <f>IF(F256="","",【マスター】!F118)</f>
        <v/>
      </c>
      <c r="H256" s="593" t="str">
        <f>IF(G256="","",【マスター】!G118)</f>
        <v/>
      </c>
      <c r="I256" s="593" t="str">
        <f>IF(H256="","",【マスター】!H118)</f>
        <v/>
      </c>
      <c r="J256" s="593" t="str">
        <f>IF(I256="","",【マスター】!I118)</f>
        <v/>
      </c>
      <c r="K256" s="593" t="str">
        <f>IF(J256="","",【マスター】!J118)</f>
        <v/>
      </c>
      <c r="L256" s="2705" t="str">
        <f>IF(【マスター】!E118=0,"","改訂")</f>
        <v/>
      </c>
      <c r="M256" s="2705"/>
      <c r="N256" s="87"/>
      <c r="O256" s="87"/>
      <c r="P256" s="87"/>
      <c r="Q256" s="87"/>
      <c r="R256" s="87"/>
      <c r="S256" s="87"/>
      <c r="T256" s="87"/>
      <c r="W256" s="128"/>
    </row>
    <row r="257" spans="1:23" s="94" customFormat="1" ht="15" customHeight="1">
      <c r="A257" s="87"/>
      <c r="B257" s="149"/>
      <c r="C257" s="149"/>
      <c r="D257" s="87"/>
      <c r="E257" s="593" t="str">
        <f>IF(F257="","",【マスター】!D119)</f>
        <v/>
      </c>
      <c r="F257" s="593" t="str">
        <f>DBCS(【マスター】!E119)</f>
        <v/>
      </c>
      <c r="G257" s="593" t="str">
        <f>IF(F257="","",【マスター】!F119)</f>
        <v/>
      </c>
      <c r="H257" s="593" t="str">
        <f>IF(G257="","",【マスター】!G119)</f>
        <v/>
      </c>
      <c r="I257" s="593" t="str">
        <f>IF(H257="","",【マスター】!H119)</f>
        <v/>
      </c>
      <c r="J257" s="593" t="str">
        <f>IF(I257="","",【マスター】!I119)</f>
        <v/>
      </c>
      <c r="K257" s="593" t="str">
        <f>IF(J257="","",【マスター】!J119)</f>
        <v/>
      </c>
      <c r="L257" s="2705" t="str">
        <f>IF(【マスター】!E119=0,"","改訂")</f>
        <v/>
      </c>
      <c r="M257" s="2705"/>
      <c r="N257" s="87"/>
      <c r="O257" s="87"/>
      <c r="P257" s="87"/>
      <c r="Q257" s="87"/>
      <c r="R257" s="87"/>
      <c r="S257" s="87"/>
      <c r="T257" s="87"/>
      <c r="W257" s="128"/>
    </row>
    <row r="258" spans="1:23" s="94" customFormat="1" ht="15" customHeight="1">
      <c r="A258" s="87"/>
      <c r="B258" s="149"/>
      <c r="C258" s="149"/>
      <c r="D258" s="87"/>
      <c r="E258" s="593" t="str">
        <f>IF(F258="","",【マスター】!D120)</f>
        <v/>
      </c>
      <c r="F258" s="593" t="str">
        <f>DBCS(【マスター】!E120)</f>
        <v/>
      </c>
      <c r="G258" s="593" t="str">
        <f>IF(F258="","",【マスター】!F120)</f>
        <v/>
      </c>
      <c r="H258" s="593" t="str">
        <f>IF(G258="","",【マスター】!G120)</f>
        <v/>
      </c>
      <c r="I258" s="593" t="str">
        <f>IF(H258="","",【マスター】!H120)</f>
        <v/>
      </c>
      <c r="J258" s="593" t="str">
        <f>IF(I258="","",【マスター】!I120)</f>
        <v/>
      </c>
      <c r="K258" s="593" t="str">
        <f>IF(J258="","",【マスター】!J120)</f>
        <v/>
      </c>
      <c r="L258" s="2705" t="str">
        <f>IF(【マスター】!E120=0,"","改訂")</f>
        <v/>
      </c>
      <c r="M258" s="2705"/>
      <c r="N258" s="87"/>
      <c r="O258" s="87"/>
      <c r="P258" s="87"/>
      <c r="Q258" s="87"/>
      <c r="R258" s="87"/>
      <c r="S258" s="87"/>
      <c r="T258" s="87"/>
      <c r="W258" s="128"/>
    </row>
    <row r="259" spans="1:23" s="94" customFormat="1" ht="15" customHeight="1">
      <c r="A259" s="87"/>
      <c r="B259" s="149"/>
      <c r="C259" s="149"/>
      <c r="D259" s="87"/>
      <c r="E259" s="593" t="str">
        <f>IF(F259="","",【マスター】!D121)</f>
        <v/>
      </c>
      <c r="F259" s="593" t="str">
        <f>DBCS(【マスター】!E121)</f>
        <v/>
      </c>
      <c r="G259" s="593" t="str">
        <f>IF(F259="","",【マスター】!F121)</f>
        <v/>
      </c>
      <c r="H259" s="593" t="str">
        <f>IF(G259="","",【マスター】!G121)</f>
        <v/>
      </c>
      <c r="I259" s="593" t="str">
        <f>IF(H259="","",【マスター】!H121)</f>
        <v/>
      </c>
      <c r="J259" s="593" t="str">
        <f>IF(I259="","",【マスター】!I121)</f>
        <v/>
      </c>
      <c r="K259" s="593" t="str">
        <f>IF(J259="","",【マスター】!J121)</f>
        <v/>
      </c>
      <c r="L259" s="2705" t="str">
        <f>IF(【マスター】!E121=0,"","改訂")</f>
        <v/>
      </c>
      <c r="M259" s="2705"/>
      <c r="N259" s="87"/>
      <c r="O259" s="87"/>
      <c r="P259" s="87"/>
      <c r="Q259" s="87"/>
      <c r="R259" s="87"/>
      <c r="S259" s="87"/>
      <c r="T259" s="87"/>
      <c r="W259" s="128"/>
    </row>
    <row r="260" spans="1:23" s="94" customFormat="1" ht="15" customHeight="1">
      <c r="A260" s="87"/>
      <c r="B260" s="149"/>
      <c r="C260" s="149"/>
      <c r="D260" s="87"/>
      <c r="E260" s="593" t="str">
        <f>IF(F260="","",【マスター】!D122)</f>
        <v/>
      </c>
      <c r="F260" s="593" t="str">
        <f>DBCS(【マスター】!E122)</f>
        <v/>
      </c>
      <c r="G260" s="593" t="str">
        <f>IF(F260="","",【マスター】!F122)</f>
        <v/>
      </c>
      <c r="H260" s="593" t="str">
        <f>IF(G260="","",【マスター】!G122)</f>
        <v/>
      </c>
      <c r="I260" s="593" t="str">
        <f>IF(H260="","",【マスター】!H122)</f>
        <v/>
      </c>
      <c r="J260" s="593" t="str">
        <f>IF(I260="","",【マスター】!I122)</f>
        <v/>
      </c>
      <c r="K260" s="593" t="str">
        <f>IF(J260="","",【マスター】!J122)</f>
        <v/>
      </c>
      <c r="L260" s="2705" t="str">
        <f>IF(【マスター】!E122=0,"","改訂")</f>
        <v/>
      </c>
      <c r="M260" s="2705"/>
      <c r="N260" s="87"/>
      <c r="O260" s="87"/>
      <c r="P260" s="87"/>
      <c r="Q260" s="87"/>
      <c r="R260" s="87"/>
      <c r="S260" s="87"/>
      <c r="T260" s="87"/>
      <c r="W260" s="128"/>
    </row>
    <row r="261" spans="1:23" s="94" customFormat="1" ht="15" customHeight="1">
      <c r="A261" s="87"/>
      <c r="B261" s="149"/>
      <c r="C261" s="149"/>
      <c r="D261" s="87"/>
      <c r="E261" s="593" t="str">
        <f>IF(F261="","",【マスター】!D123)</f>
        <v/>
      </c>
      <c r="F261" s="593" t="str">
        <f>DBCS(【マスター】!E123)</f>
        <v/>
      </c>
      <c r="G261" s="593" t="str">
        <f>IF(F261="","",【マスター】!F123)</f>
        <v/>
      </c>
      <c r="H261" s="593" t="str">
        <f>IF(G261="","",【マスター】!G123)</f>
        <v/>
      </c>
      <c r="I261" s="593" t="str">
        <f>IF(H261="","",【マスター】!H123)</f>
        <v/>
      </c>
      <c r="J261" s="593" t="str">
        <f>IF(I261="","",【マスター】!I123)</f>
        <v/>
      </c>
      <c r="K261" s="593" t="str">
        <f>IF(J261="","",【マスター】!J123)</f>
        <v/>
      </c>
      <c r="L261" s="2705" t="str">
        <f>IF(【マスター】!E123=0,"","改訂")</f>
        <v/>
      </c>
      <c r="M261" s="2705"/>
      <c r="N261" s="87"/>
      <c r="O261" s="87"/>
      <c r="P261" s="87"/>
      <c r="Q261" s="87"/>
      <c r="R261" s="87"/>
      <c r="S261" s="87"/>
      <c r="T261" s="87"/>
      <c r="W261" s="128"/>
    </row>
    <row r="262" spans="1:23" s="94" customFormat="1" ht="15" customHeight="1">
      <c r="A262" s="87"/>
      <c r="B262" s="149"/>
      <c r="C262" s="149"/>
      <c r="D262" s="87"/>
      <c r="E262" s="593" t="str">
        <f>IF(F262="","",【マスター】!D124)</f>
        <v/>
      </c>
      <c r="F262" s="593" t="str">
        <f>DBCS(【マスター】!E124)</f>
        <v/>
      </c>
      <c r="G262" s="593" t="str">
        <f>IF(F262="","",【マスター】!F124)</f>
        <v/>
      </c>
      <c r="H262" s="593" t="str">
        <f>IF(G262="","",【マスター】!G124)</f>
        <v/>
      </c>
      <c r="I262" s="593" t="str">
        <f>IF(H262="","",【マスター】!H124)</f>
        <v/>
      </c>
      <c r="J262" s="593" t="str">
        <f>IF(I262="","",【マスター】!I124)</f>
        <v/>
      </c>
      <c r="K262" s="593" t="str">
        <f>IF(J262="","",【マスター】!J124)</f>
        <v/>
      </c>
      <c r="L262" s="2705" t="str">
        <f>IF(【マスター】!E124=0,"","改訂")</f>
        <v/>
      </c>
      <c r="M262" s="2705"/>
      <c r="N262" s="87"/>
      <c r="O262" s="87"/>
      <c r="P262" s="87"/>
      <c r="Q262" s="87"/>
      <c r="R262" s="87"/>
      <c r="S262" s="87"/>
      <c r="T262" s="87"/>
      <c r="W262" s="128"/>
    </row>
    <row r="263" spans="1:23" s="94" customFormat="1" ht="15" customHeight="1">
      <c r="A263" s="87"/>
      <c r="B263" s="149"/>
      <c r="C263" s="149"/>
      <c r="D263" s="87"/>
      <c r="E263" s="593" t="str">
        <f>IF(F263="","",【マスター】!D125)</f>
        <v/>
      </c>
      <c r="F263" s="593" t="str">
        <f>DBCS(【マスター】!E125)</f>
        <v/>
      </c>
      <c r="G263" s="593" t="str">
        <f>IF(F263="","",【マスター】!F125)</f>
        <v/>
      </c>
      <c r="H263" s="593" t="str">
        <f>IF(G263="","",【マスター】!G125)</f>
        <v/>
      </c>
      <c r="I263" s="593" t="str">
        <f>IF(H263="","",【マスター】!H125)</f>
        <v/>
      </c>
      <c r="J263" s="593" t="str">
        <f>IF(I263="","",【マスター】!I125)</f>
        <v/>
      </c>
      <c r="K263" s="593" t="str">
        <f>IF(J263="","",【マスター】!J125)</f>
        <v/>
      </c>
      <c r="L263" s="2705" t="str">
        <f>IF(【マスター】!E125=0,"","改訂")</f>
        <v/>
      </c>
      <c r="M263" s="2705"/>
      <c r="N263" s="87"/>
      <c r="O263" s="87"/>
      <c r="P263" s="87"/>
      <c r="Q263" s="87"/>
      <c r="R263" s="87"/>
      <c r="S263" s="87"/>
      <c r="T263" s="87"/>
      <c r="W263" s="128"/>
    </row>
    <row r="264" spans="1:23" s="94" customFormat="1" ht="15" customHeight="1">
      <c r="A264" s="87"/>
      <c r="B264" s="149"/>
      <c r="C264" s="149"/>
      <c r="D264" s="87"/>
      <c r="E264" s="593" t="str">
        <f>IF(F264="","",【マスター】!D126)</f>
        <v/>
      </c>
      <c r="F264" s="593" t="str">
        <f>DBCS(【マスター】!E126)</f>
        <v/>
      </c>
      <c r="G264" s="593" t="str">
        <f>IF(F264="","",【マスター】!F126)</f>
        <v/>
      </c>
      <c r="H264" s="593" t="str">
        <f>IF(G264="","",【マスター】!G126)</f>
        <v/>
      </c>
      <c r="I264" s="593" t="str">
        <f>IF(H264="","",【マスター】!H126)</f>
        <v/>
      </c>
      <c r="J264" s="593" t="str">
        <f>IF(I264="","",【マスター】!I126)</f>
        <v/>
      </c>
      <c r="K264" s="593" t="str">
        <f>IF(J264="","",【マスター】!J126)</f>
        <v/>
      </c>
      <c r="L264" s="2705" t="str">
        <f>IF(【マスター】!E126=0,"","改訂")</f>
        <v/>
      </c>
      <c r="M264" s="2705"/>
      <c r="N264" s="87"/>
      <c r="O264" s="87"/>
      <c r="P264" s="87"/>
      <c r="Q264" s="87"/>
      <c r="R264" s="87"/>
      <c r="S264" s="87"/>
      <c r="T264" s="87"/>
      <c r="W264" s="128"/>
    </row>
    <row r="265" spans="1:23" s="94" customFormat="1" ht="15" customHeight="1">
      <c r="A265" s="87"/>
      <c r="B265" s="149"/>
      <c r="C265" s="149"/>
      <c r="D265" s="87"/>
      <c r="E265" s="593" t="str">
        <f>IF(F265="","",【マスター】!D127)</f>
        <v/>
      </c>
      <c r="F265" s="593" t="str">
        <f>DBCS(【マスター】!E127)</f>
        <v/>
      </c>
      <c r="G265" s="593" t="str">
        <f>IF(F265="","",【マスター】!F127)</f>
        <v/>
      </c>
      <c r="H265" s="593" t="str">
        <f>IF(G265="","",【マスター】!G127)</f>
        <v/>
      </c>
      <c r="I265" s="593" t="str">
        <f>IF(H265="","",【マスター】!H127)</f>
        <v/>
      </c>
      <c r="J265" s="593" t="str">
        <f>IF(I265="","",【マスター】!I127)</f>
        <v/>
      </c>
      <c r="K265" s="593" t="str">
        <f>IF(J265="","",【マスター】!J127)</f>
        <v/>
      </c>
      <c r="L265" s="2705" t="str">
        <f>IF(【マスター】!E127=0,"","改訂")</f>
        <v/>
      </c>
      <c r="M265" s="2705"/>
      <c r="N265" s="87"/>
      <c r="O265" s="87"/>
      <c r="P265" s="87"/>
      <c r="Q265" s="87"/>
      <c r="R265" s="87"/>
      <c r="S265" s="87"/>
      <c r="T265" s="87"/>
      <c r="W265" s="128"/>
    </row>
    <row r="266" spans="1:23" ht="15" customHeight="1">
      <c r="E266" s="593" t="str">
        <f>IF(F266="","",【マスター】!D128)</f>
        <v/>
      </c>
      <c r="F266" s="593" t="str">
        <f>DBCS(【マスター】!E128)</f>
        <v/>
      </c>
      <c r="G266" s="593" t="str">
        <f>IF(F266="","",【マスター】!F128)</f>
        <v/>
      </c>
      <c r="H266" s="593" t="str">
        <f>IF(G266="","",【マスター】!G128)</f>
        <v/>
      </c>
      <c r="I266" s="593" t="str">
        <f>IF(H266="","",【マスター】!H128)</f>
        <v/>
      </c>
      <c r="J266" s="593" t="str">
        <f>IF(I266="","",【マスター】!I128)</f>
        <v/>
      </c>
      <c r="K266" s="593" t="str">
        <f>IF(J266="","",【マスター】!J128)</f>
        <v/>
      </c>
      <c r="L266" s="2705" t="str">
        <f>IF(【マスター】!E128=0,"","改訂")</f>
        <v/>
      </c>
      <c r="M266" s="2705"/>
    </row>
    <row r="267" spans="1:23" ht="15" customHeight="1">
      <c r="E267" s="593" t="str">
        <f>IF(F267="","",【マスター】!D129)</f>
        <v/>
      </c>
      <c r="F267" s="593" t="str">
        <f>DBCS(【マスター】!E129)</f>
        <v/>
      </c>
      <c r="G267" s="593" t="str">
        <f>IF(F267="","",【マスター】!F129)</f>
        <v/>
      </c>
      <c r="H267" s="593" t="str">
        <f>IF(G267="","",【マスター】!G129)</f>
        <v/>
      </c>
      <c r="I267" s="593" t="str">
        <f>IF(H267="","",【マスター】!H129)</f>
        <v/>
      </c>
      <c r="J267" s="593" t="str">
        <f>IF(I267="","",【マスター】!I129)</f>
        <v/>
      </c>
      <c r="K267" s="593" t="str">
        <f>IF(J267="","",【マスター】!J129)</f>
        <v/>
      </c>
      <c r="L267" s="2705" t="str">
        <f>IF(【マスター】!E129=0,"","改訂")</f>
        <v/>
      </c>
      <c r="M267" s="2705"/>
    </row>
    <row r="268" spans="1:23" ht="15" customHeight="1">
      <c r="E268" s="593" t="str">
        <f>IF(F268="","",【マスター】!D130)</f>
        <v/>
      </c>
      <c r="F268" s="593" t="str">
        <f>DBCS(【マスター】!E130)</f>
        <v/>
      </c>
      <c r="G268" s="593" t="str">
        <f>IF(F268="","",【マスター】!F130)</f>
        <v/>
      </c>
      <c r="H268" s="593" t="str">
        <f>IF(G268="","",【マスター】!G130)</f>
        <v/>
      </c>
      <c r="I268" s="593" t="str">
        <f>IF(H268="","",【マスター】!H130)</f>
        <v/>
      </c>
      <c r="J268" s="593" t="str">
        <f>IF(I268="","",【マスター】!I130)</f>
        <v/>
      </c>
      <c r="K268" s="593" t="str">
        <f>IF(J268="","",【マスター】!J130)</f>
        <v/>
      </c>
      <c r="L268" s="2705" t="str">
        <f>IF(【マスター】!E130=0,"","改訂")</f>
        <v/>
      </c>
      <c r="M268" s="2705"/>
    </row>
    <row r="269" spans="1:23" ht="15" customHeight="1">
      <c r="E269" s="593" t="str">
        <f>IF(F269="","",【マスター】!D131)</f>
        <v/>
      </c>
      <c r="F269" s="593" t="str">
        <f>DBCS(【マスター】!E131)</f>
        <v/>
      </c>
      <c r="G269" s="593" t="str">
        <f>IF(F269="","",【マスター】!F131)</f>
        <v/>
      </c>
      <c r="H269" s="593" t="str">
        <f>IF(G269="","",【マスター】!G131)</f>
        <v/>
      </c>
      <c r="I269" s="593" t="str">
        <f>IF(H269="","",【マスター】!H131)</f>
        <v/>
      </c>
      <c r="J269" s="593" t="str">
        <f>IF(I269="","",【マスター】!I131)</f>
        <v/>
      </c>
      <c r="K269" s="593" t="str">
        <f>IF(J269="","",【マスター】!J131)</f>
        <v/>
      </c>
      <c r="L269" s="2705" t="str">
        <f>IF(【マスター】!E131=0,"","改訂")</f>
        <v/>
      </c>
      <c r="M269" s="2705"/>
    </row>
    <row r="270" spans="1:23" ht="15" customHeight="1">
      <c r="E270" s="593" t="str">
        <f>IF(F270="","",【マスター】!D132)</f>
        <v/>
      </c>
      <c r="F270" s="593" t="str">
        <f>DBCS(【マスター】!E132)</f>
        <v/>
      </c>
      <c r="G270" s="593" t="str">
        <f>IF(F270="","",【マスター】!F132)</f>
        <v/>
      </c>
      <c r="H270" s="593" t="str">
        <f>IF(G270="","",【マスター】!G132)</f>
        <v/>
      </c>
      <c r="I270" s="593" t="str">
        <f>IF(H270="","",【マスター】!H132)</f>
        <v/>
      </c>
      <c r="J270" s="593" t="str">
        <f>IF(I270="","",【マスター】!I132)</f>
        <v/>
      </c>
      <c r="K270" s="593" t="str">
        <f>IF(J270="","",【マスター】!J132)</f>
        <v/>
      </c>
      <c r="L270" s="2705" t="str">
        <f>IF(【マスター】!E132=0,"","改訂")</f>
        <v/>
      </c>
      <c r="M270" s="2705"/>
    </row>
    <row r="271" spans="1:23" ht="15" customHeight="1">
      <c r="E271" s="593" t="str">
        <f>IF(F271="","",【マスター】!D133)</f>
        <v/>
      </c>
      <c r="F271" s="593" t="str">
        <f>DBCS(【マスター】!E133)</f>
        <v/>
      </c>
      <c r="G271" s="593" t="str">
        <f>IF(F271="","",【マスター】!F133)</f>
        <v/>
      </c>
      <c r="H271" s="593" t="str">
        <f>IF(G271="","",【マスター】!G133)</f>
        <v/>
      </c>
      <c r="I271" s="593" t="str">
        <f>IF(H271="","",【マスター】!H133)</f>
        <v/>
      </c>
      <c r="J271" s="593" t="str">
        <f>IF(I271="","",【マスター】!I133)</f>
        <v/>
      </c>
      <c r="K271" s="593" t="str">
        <f>IF(J271="","",【マスター】!J133)</f>
        <v/>
      </c>
      <c r="L271" s="2705" t="str">
        <f>IF(【マスター】!E133=0,"","改訂")</f>
        <v/>
      </c>
      <c r="M271" s="2705"/>
    </row>
    <row r="272" spans="1:23" ht="15" customHeight="1">
      <c r="E272" s="593" t="str">
        <f>IF(F272="","",【マスター】!D134)</f>
        <v/>
      </c>
      <c r="F272" s="593" t="str">
        <f>DBCS(【マスター】!E134)</f>
        <v/>
      </c>
      <c r="G272" s="593" t="str">
        <f>IF(F272="","",【マスター】!F134)</f>
        <v/>
      </c>
      <c r="H272" s="593" t="str">
        <f>IF(G272="","",【マスター】!G134)</f>
        <v/>
      </c>
      <c r="I272" s="593" t="str">
        <f>IF(H272="","",【マスター】!H134)</f>
        <v/>
      </c>
      <c r="J272" s="593" t="str">
        <f>IF(I272="","",【マスター】!I134)</f>
        <v/>
      </c>
      <c r="K272" s="593" t="str">
        <f>IF(J272="","",【マスター】!J134)</f>
        <v/>
      </c>
      <c r="L272" s="2705" t="str">
        <f>IF(【マスター】!E134=0,"","改訂")</f>
        <v/>
      </c>
      <c r="M272" s="2705"/>
    </row>
    <row r="273" spans="5:13" ht="15" customHeight="1">
      <c r="E273" s="593" t="str">
        <f>IF(F273="","",【マスター】!D135)</f>
        <v/>
      </c>
      <c r="F273" s="593" t="str">
        <f>DBCS(【マスター】!E135)</f>
        <v/>
      </c>
      <c r="G273" s="593" t="str">
        <f>IF(F273="","",【マスター】!F135)</f>
        <v/>
      </c>
      <c r="H273" s="593" t="str">
        <f>IF(G273="","",【マスター】!G135)</f>
        <v/>
      </c>
      <c r="I273" s="593" t="str">
        <f>IF(H273="","",【マスター】!H135)</f>
        <v/>
      </c>
      <c r="J273" s="593" t="str">
        <f>IF(I273="","",【マスター】!I135)</f>
        <v/>
      </c>
      <c r="K273" s="593" t="str">
        <f>IF(J273="","",【マスター】!J135)</f>
        <v/>
      </c>
      <c r="L273" s="2705" t="str">
        <f>IF(【マスター】!E135=0,"","改訂")</f>
        <v/>
      </c>
      <c r="M273" s="2705"/>
    </row>
    <row r="274" spans="5:13" ht="15" customHeight="1">
      <c r="E274" s="593" t="str">
        <f>IF(F274="","",【マスター】!D136)</f>
        <v/>
      </c>
      <c r="F274" s="593" t="str">
        <f>DBCS(【マスター】!E136)</f>
        <v/>
      </c>
      <c r="G274" s="593" t="str">
        <f>IF(F274="","",【マスター】!F136)</f>
        <v/>
      </c>
      <c r="H274" s="593" t="str">
        <f>IF(G274="","",【マスター】!G136)</f>
        <v/>
      </c>
      <c r="I274" s="593" t="str">
        <f>IF(H274="","",【マスター】!H136)</f>
        <v/>
      </c>
      <c r="J274" s="593" t="str">
        <f>IF(I274="","",【マスター】!I136)</f>
        <v/>
      </c>
      <c r="K274" s="593" t="str">
        <f>IF(J274="","",【マスター】!J136)</f>
        <v/>
      </c>
      <c r="L274" s="2705" t="str">
        <f>IF(【マスター】!E136=0,"","改訂")</f>
        <v/>
      </c>
      <c r="M274" s="2705"/>
    </row>
    <row r="275" spans="5:13" ht="15" customHeight="1">
      <c r="E275" s="593" t="str">
        <f>IF(F275="","",【マスター】!D137)</f>
        <v/>
      </c>
      <c r="F275" s="593" t="str">
        <f>DBCS(【マスター】!E137)</f>
        <v/>
      </c>
      <c r="G275" s="593" t="str">
        <f>IF(F275="","",【マスター】!F137)</f>
        <v/>
      </c>
      <c r="H275" s="593" t="str">
        <f>IF(G275="","",【マスター】!G137)</f>
        <v/>
      </c>
      <c r="I275" s="593" t="str">
        <f>IF(H275="","",【マスター】!H137)</f>
        <v/>
      </c>
      <c r="J275" s="593" t="str">
        <f>IF(I275="","",【マスター】!I137)</f>
        <v/>
      </c>
      <c r="K275" s="593" t="str">
        <f>IF(J275="","",【マスター】!J137)</f>
        <v/>
      </c>
      <c r="L275" s="2705" t="str">
        <f>IF(【マスター】!E137=0,"","改訂")</f>
        <v/>
      </c>
      <c r="M275" s="2705"/>
    </row>
    <row r="276" spans="5:13" ht="15" customHeight="1">
      <c r="E276" s="593" t="str">
        <f>IF(F276="","",【マスター】!D138)</f>
        <v/>
      </c>
      <c r="F276" s="593" t="str">
        <f>DBCS(【マスター】!E138)</f>
        <v/>
      </c>
      <c r="G276" s="593" t="str">
        <f>IF(F276="","",【マスター】!F138)</f>
        <v/>
      </c>
      <c r="H276" s="593" t="str">
        <f>IF(G276="","",【マスター】!G138)</f>
        <v/>
      </c>
      <c r="I276" s="593" t="str">
        <f>IF(H276="","",【マスター】!H138)</f>
        <v/>
      </c>
      <c r="J276" s="593" t="str">
        <f>IF(I276="","",【マスター】!I138)</f>
        <v/>
      </c>
      <c r="K276" s="593" t="str">
        <f>IF(J276="","",【マスター】!J138)</f>
        <v/>
      </c>
      <c r="L276" s="2705" t="str">
        <f>IF(【マスター】!E138=0,"","改訂")</f>
        <v/>
      </c>
      <c r="M276" s="2705"/>
    </row>
    <row r="277" spans="5:13" ht="15" customHeight="1">
      <c r="E277" s="593" t="str">
        <f>IF(F277="","",【マスター】!D139)</f>
        <v/>
      </c>
      <c r="F277" s="593" t="str">
        <f>DBCS(【マスター】!E139)</f>
        <v/>
      </c>
      <c r="G277" s="593" t="str">
        <f>IF(F277="","",【マスター】!F139)</f>
        <v/>
      </c>
      <c r="H277" s="593" t="str">
        <f>IF(G277="","",【マスター】!G139)</f>
        <v/>
      </c>
      <c r="I277" s="593" t="str">
        <f>IF(H277="","",【マスター】!H139)</f>
        <v/>
      </c>
      <c r="J277" s="593" t="str">
        <f>IF(I277="","",【マスター】!I139)</f>
        <v/>
      </c>
      <c r="K277" s="593" t="str">
        <f>IF(J277="","",【マスター】!J139)</f>
        <v/>
      </c>
      <c r="L277" s="2705" t="str">
        <f>IF(【マスター】!E139=0,"","改訂")</f>
        <v/>
      </c>
      <c r="M277" s="2705"/>
    </row>
    <row r="278" spans="5:13" ht="15" customHeight="1">
      <c r="E278" s="593" t="str">
        <f>IF(F278="","",【マスター】!D140)</f>
        <v/>
      </c>
      <c r="F278" s="593" t="str">
        <f>DBCS(【マスター】!E140)</f>
        <v/>
      </c>
      <c r="G278" s="593" t="str">
        <f>IF(F278="","",【マスター】!F140)</f>
        <v/>
      </c>
      <c r="H278" s="593" t="str">
        <f>IF(G278="","",【マスター】!G140)</f>
        <v/>
      </c>
      <c r="I278" s="593" t="str">
        <f>IF(H278="","",【マスター】!H140)</f>
        <v/>
      </c>
      <c r="J278" s="593" t="str">
        <f>IF(I278="","",【マスター】!I140)</f>
        <v/>
      </c>
      <c r="K278" s="593" t="str">
        <f>IF(J278="","",【マスター】!J140)</f>
        <v/>
      </c>
      <c r="L278" s="2705" t="str">
        <f>IF(【マスター】!E140=0,"","改訂")</f>
        <v/>
      </c>
      <c r="M278" s="2705"/>
    </row>
    <row r="279" spans="5:13" ht="15" customHeight="1">
      <c r="E279" s="593" t="str">
        <f>IF(F279="","",【マスター】!D141)</f>
        <v/>
      </c>
      <c r="F279" s="593" t="str">
        <f>DBCS(【マスター】!E141)</f>
        <v/>
      </c>
      <c r="G279" s="593" t="str">
        <f>IF(F279="","",【マスター】!F141)</f>
        <v/>
      </c>
      <c r="H279" s="593" t="str">
        <f>IF(G279="","",【マスター】!G141)</f>
        <v/>
      </c>
      <c r="I279" s="593" t="str">
        <f>IF(H279="","",【マスター】!H141)</f>
        <v/>
      </c>
      <c r="J279" s="593" t="str">
        <f>IF(I279="","",【マスター】!I141)</f>
        <v/>
      </c>
      <c r="K279" s="593" t="str">
        <f>IF(J279="","",【マスター】!J141)</f>
        <v/>
      </c>
      <c r="L279" s="2705" t="str">
        <f>IF(【マスター】!E141=0,"","改訂")</f>
        <v/>
      </c>
      <c r="M279" s="2705"/>
    </row>
    <row r="280" spans="5:13" ht="15" customHeight="1">
      <c r="E280" s="593" t="str">
        <f>IF(F280="","",【マスター】!D142)</f>
        <v/>
      </c>
      <c r="F280" s="593" t="str">
        <f>DBCS(【マスター】!E142)</f>
        <v/>
      </c>
      <c r="G280" s="593" t="str">
        <f>IF(F280="","",【マスター】!F142)</f>
        <v/>
      </c>
      <c r="H280" s="593" t="str">
        <f>IF(G280="","",【マスター】!G142)</f>
        <v/>
      </c>
      <c r="I280" s="593" t="str">
        <f>IF(H280="","",【マスター】!H142)</f>
        <v/>
      </c>
      <c r="J280" s="593" t="str">
        <f>IF(I280="","",【マスター】!I142)</f>
        <v/>
      </c>
      <c r="K280" s="593" t="str">
        <f>IF(J280="","",【マスター】!J142)</f>
        <v/>
      </c>
      <c r="L280" s="2705" t="str">
        <f>IF(【マスター】!E142=0,"","改訂")</f>
        <v/>
      </c>
      <c r="M280" s="2705"/>
    </row>
    <row r="281" spans="5:13" ht="15" customHeight="1">
      <c r="E281" s="593" t="str">
        <f>IF(F281="","",【マスター】!D143)</f>
        <v/>
      </c>
      <c r="F281" s="593" t="str">
        <f>DBCS(【マスター】!E143)</f>
        <v/>
      </c>
      <c r="G281" s="593" t="str">
        <f>IF(F281="","",【マスター】!F143)</f>
        <v/>
      </c>
      <c r="H281" s="593" t="str">
        <f>IF(G281="","",【マスター】!G143)</f>
        <v/>
      </c>
      <c r="I281" s="593" t="str">
        <f>IF(H281="","",【マスター】!H143)</f>
        <v/>
      </c>
      <c r="J281" s="593" t="str">
        <f>IF(I281="","",【マスター】!I143)</f>
        <v/>
      </c>
      <c r="K281" s="593" t="str">
        <f>IF(J281="","",【マスター】!J143)</f>
        <v/>
      </c>
      <c r="L281" s="2705" t="str">
        <f>IF(【マスター】!E143=0,"","改訂")</f>
        <v/>
      </c>
      <c r="M281" s="2705"/>
    </row>
    <row r="282" spans="5:13" ht="15" customHeight="1">
      <c r="E282" s="593" t="str">
        <f>IF(F282="","",【マスター】!D144)</f>
        <v/>
      </c>
      <c r="F282" s="593" t="str">
        <f>DBCS(【マスター】!E144)</f>
        <v/>
      </c>
      <c r="G282" s="593" t="str">
        <f>IF(F282="","",【マスター】!F144)</f>
        <v/>
      </c>
      <c r="H282" s="593" t="str">
        <f>IF(G282="","",【マスター】!G144)</f>
        <v/>
      </c>
      <c r="I282" s="593" t="str">
        <f>IF(H282="","",【マスター】!H144)</f>
        <v/>
      </c>
      <c r="J282" s="593" t="str">
        <f>IF(I282="","",【マスター】!I144)</f>
        <v/>
      </c>
      <c r="K282" s="593" t="str">
        <f>IF(J282="","",【マスター】!J144)</f>
        <v/>
      </c>
      <c r="L282" s="2705" t="str">
        <f>IF(【マスター】!E144=0,"","改訂")</f>
        <v/>
      </c>
      <c r="M282" s="2705"/>
    </row>
    <row r="283" spans="5:13" ht="15" customHeight="1">
      <c r="E283" s="593" t="str">
        <f>IF(F283="","",【マスター】!D145)</f>
        <v/>
      </c>
      <c r="F283" s="593" t="str">
        <f>DBCS(【マスター】!E145)</f>
        <v/>
      </c>
      <c r="G283" s="593" t="str">
        <f>IF(F283="","",【マスター】!F145)</f>
        <v/>
      </c>
      <c r="H283" s="593" t="str">
        <f>IF(G283="","",【マスター】!G145)</f>
        <v/>
      </c>
      <c r="I283" s="593" t="str">
        <f>IF(H283="","",【マスター】!H145)</f>
        <v/>
      </c>
      <c r="J283" s="593" t="str">
        <f>IF(I283="","",【マスター】!I145)</f>
        <v/>
      </c>
      <c r="K283" s="593" t="str">
        <f>IF(J283="","",【マスター】!J145)</f>
        <v/>
      </c>
      <c r="L283" s="2705" t="str">
        <f>IF(【マスター】!E145=0,"","改訂")</f>
        <v/>
      </c>
      <c r="M283" s="2705"/>
    </row>
    <row r="284" spans="5:13" ht="15" customHeight="1">
      <c r="E284" s="593" t="str">
        <f>IF(F284="","",【マスター】!D146)</f>
        <v/>
      </c>
      <c r="F284" s="593" t="str">
        <f>DBCS(【マスター】!E146)</f>
        <v/>
      </c>
      <c r="G284" s="593" t="str">
        <f>IF(F284="","",【マスター】!F146)</f>
        <v/>
      </c>
      <c r="H284" s="593" t="str">
        <f>IF(G284="","",【マスター】!G146)</f>
        <v/>
      </c>
      <c r="I284" s="593" t="str">
        <f>IF(H284="","",【マスター】!H146)</f>
        <v/>
      </c>
      <c r="J284" s="593" t="str">
        <f>IF(I284="","",【マスター】!I146)</f>
        <v/>
      </c>
      <c r="K284" s="593" t="str">
        <f>IF(J284="","",【マスター】!J146)</f>
        <v/>
      </c>
      <c r="L284" s="2705" t="str">
        <f>IF(【マスター】!E146=0,"","改訂")</f>
        <v/>
      </c>
      <c r="M284" s="2705"/>
    </row>
    <row r="285" spans="5:13" ht="15" customHeight="1">
      <c r="E285" s="593" t="str">
        <f>IF(F285="","",【マスター】!D147)</f>
        <v/>
      </c>
      <c r="F285" s="593" t="str">
        <f>DBCS(【マスター】!E147)</f>
        <v/>
      </c>
      <c r="G285" s="593" t="str">
        <f>IF(F285="","",【マスター】!F147)</f>
        <v/>
      </c>
      <c r="H285" s="593" t="str">
        <f>IF(G285="","",【マスター】!G147)</f>
        <v/>
      </c>
      <c r="I285" s="593" t="str">
        <f>IF(H285="","",【マスター】!H147)</f>
        <v/>
      </c>
      <c r="J285" s="593" t="str">
        <f>IF(I285="","",【マスター】!I147)</f>
        <v/>
      </c>
      <c r="K285" s="593" t="str">
        <f>IF(J285="","",【マスター】!J147)</f>
        <v/>
      </c>
      <c r="L285" s="2705" t="str">
        <f>IF(【マスター】!E147=0,"","改訂")</f>
        <v/>
      </c>
      <c r="M285" s="2705"/>
    </row>
    <row r="286" spans="5:13" ht="15" customHeight="1">
      <c r="E286" s="593" t="str">
        <f>IF(F286="","",【マスター】!D148)</f>
        <v/>
      </c>
      <c r="F286" s="593" t="str">
        <f>DBCS(【マスター】!E148)</f>
        <v/>
      </c>
      <c r="G286" s="593" t="str">
        <f>IF(F286="","",【マスター】!F148)</f>
        <v/>
      </c>
      <c r="H286" s="593" t="str">
        <f>IF(G286="","",【マスター】!G148)</f>
        <v/>
      </c>
      <c r="I286" s="593" t="str">
        <f>IF(H286="","",【マスター】!H148)</f>
        <v/>
      </c>
      <c r="J286" s="593" t="str">
        <f>IF(I286="","",【マスター】!I148)</f>
        <v/>
      </c>
      <c r="K286" s="593" t="str">
        <f>IF(J286="","",【マスター】!J148)</f>
        <v/>
      </c>
      <c r="L286" s="2705" t="str">
        <f>IF(【マスター】!E148=0,"","改訂")</f>
        <v/>
      </c>
      <c r="M286" s="2705"/>
    </row>
    <row r="287" spans="5:13" ht="15" customHeight="1">
      <c r="E287" s="593" t="str">
        <f>IF(F287="","",【マスター】!D149)</f>
        <v/>
      </c>
      <c r="F287" s="593" t="str">
        <f>DBCS(【マスター】!E149)</f>
        <v/>
      </c>
      <c r="G287" s="593" t="str">
        <f>IF(F287="","",【マスター】!F149)</f>
        <v/>
      </c>
      <c r="H287" s="593" t="str">
        <f>IF(G287="","",【マスター】!G149)</f>
        <v/>
      </c>
      <c r="I287" s="593" t="str">
        <f>IF(H287="","",【マスター】!H149)</f>
        <v/>
      </c>
      <c r="J287" s="593" t="str">
        <f>IF(I287="","",【マスター】!I149)</f>
        <v/>
      </c>
      <c r="K287" s="593" t="str">
        <f>IF(J287="","",【マスター】!J149)</f>
        <v/>
      </c>
      <c r="L287" s="2705" t="str">
        <f>IF(【マスター】!E149=0,"","改訂")</f>
        <v/>
      </c>
      <c r="M287" s="2705"/>
    </row>
    <row r="288" spans="5:13" ht="15" customHeight="1">
      <c r="E288" s="593" t="str">
        <f>IF(F288="","",【マスター】!D150)</f>
        <v/>
      </c>
      <c r="F288" s="593" t="str">
        <f>DBCS(【マスター】!E150)</f>
        <v/>
      </c>
      <c r="G288" s="593" t="str">
        <f>IF(F288="","",【マスター】!F150)</f>
        <v/>
      </c>
      <c r="H288" s="593" t="str">
        <f>IF(G288="","",【マスター】!G150)</f>
        <v/>
      </c>
      <c r="I288" s="593" t="str">
        <f>IF(H288="","",【マスター】!H150)</f>
        <v/>
      </c>
      <c r="J288" s="593" t="str">
        <f>IF(I288="","",【マスター】!I150)</f>
        <v/>
      </c>
      <c r="K288" s="593" t="str">
        <f>IF(J288="","",【マスター】!J150)</f>
        <v/>
      </c>
      <c r="L288" s="2705" t="str">
        <f>IF(【マスター】!E150=0,"","改訂")</f>
        <v/>
      </c>
      <c r="M288" s="2705"/>
    </row>
    <row r="289" spans="5:13" ht="15" customHeight="1">
      <c r="E289" s="593" t="str">
        <f>IF(F289="","",【マスター】!D151)</f>
        <v/>
      </c>
      <c r="F289" s="593" t="str">
        <f>DBCS(【マスター】!E151)</f>
        <v/>
      </c>
      <c r="G289" s="593" t="str">
        <f>IF(F289="","",【マスター】!F151)</f>
        <v/>
      </c>
      <c r="H289" s="593" t="str">
        <f>IF(G289="","",【マスター】!G151)</f>
        <v/>
      </c>
      <c r="I289" s="593" t="str">
        <f>IF(H289="","",【マスター】!H151)</f>
        <v/>
      </c>
      <c r="J289" s="593" t="str">
        <f>IF(I289="","",【マスター】!I151)</f>
        <v/>
      </c>
      <c r="K289" s="593" t="str">
        <f>IF(J289="","",【マスター】!J151)</f>
        <v/>
      </c>
      <c r="L289" s="2705" t="str">
        <f>IF(【マスター】!E151=0,"","改訂")</f>
        <v/>
      </c>
      <c r="M289" s="2705"/>
    </row>
    <row r="290" spans="5:13" ht="15" customHeight="1">
      <c r="E290" s="593" t="str">
        <f>IF(F290="","",【マスター】!D152)</f>
        <v/>
      </c>
      <c r="F290" s="593" t="str">
        <f>DBCS(【マスター】!E152)</f>
        <v/>
      </c>
      <c r="G290" s="593" t="str">
        <f>IF(F290="","",【マスター】!F152)</f>
        <v/>
      </c>
      <c r="H290" s="593" t="str">
        <f>IF(G290="","",【マスター】!G152)</f>
        <v/>
      </c>
      <c r="I290" s="593" t="str">
        <f>IF(H290="","",【マスター】!H152)</f>
        <v/>
      </c>
      <c r="J290" s="593" t="str">
        <f>IF(I290="","",【マスター】!I152)</f>
        <v/>
      </c>
      <c r="K290" s="593" t="str">
        <f>IF(J290="","",【マスター】!J152)</f>
        <v/>
      </c>
      <c r="L290" s="2705" t="str">
        <f>IF(【マスター】!E152=0,"","改訂")</f>
        <v/>
      </c>
      <c r="M290" s="2705"/>
    </row>
    <row r="291" spans="5:13" ht="15" customHeight="1">
      <c r="E291" s="593" t="str">
        <f>IF(F291="","",【マスター】!D153)</f>
        <v/>
      </c>
      <c r="F291" s="593" t="str">
        <f>DBCS(【マスター】!E153)</f>
        <v/>
      </c>
      <c r="G291" s="593" t="str">
        <f>IF(F291="","",【マスター】!F153)</f>
        <v/>
      </c>
      <c r="H291" s="593" t="str">
        <f>IF(G291="","",【マスター】!G153)</f>
        <v/>
      </c>
      <c r="I291" s="593" t="str">
        <f>IF(H291="","",【マスター】!H153)</f>
        <v/>
      </c>
      <c r="J291" s="593" t="str">
        <f>IF(I291="","",【マスター】!I153)</f>
        <v/>
      </c>
      <c r="K291" s="593" t="str">
        <f>IF(J291="","",【マスター】!J153)</f>
        <v/>
      </c>
      <c r="L291" s="2705" t="str">
        <f>IF(【マスター】!E153=0,"","改訂")</f>
        <v/>
      </c>
      <c r="M291" s="2705"/>
    </row>
    <row r="292" spans="5:13" ht="15" customHeight="1">
      <c r="E292" s="593" t="str">
        <f>IF(F292="","",【マスター】!D154)</f>
        <v/>
      </c>
      <c r="F292" s="593" t="str">
        <f>DBCS(【マスター】!E154)</f>
        <v/>
      </c>
      <c r="G292" s="593" t="str">
        <f>IF(F292="","",【マスター】!F154)</f>
        <v/>
      </c>
      <c r="H292" s="593" t="str">
        <f>IF(G292="","",【マスター】!G154)</f>
        <v/>
      </c>
      <c r="I292" s="593" t="str">
        <f>IF(H292="","",【マスター】!H154)</f>
        <v/>
      </c>
      <c r="J292" s="593" t="str">
        <f>IF(I292="","",【マスター】!I154)</f>
        <v/>
      </c>
      <c r="K292" s="593" t="str">
        <f>IF(J292="","",【マスター】!J154)</f>
        <v/>
      </c>
      <c r="L292" s="2705" t="str">
        <f>IF(【マスター】!E154=0,"","改訂")</f>
        <v/>
      </c>
      <c r="M292" s="2705"/>
    </row>
    <row r="293" spans="5:13" ht="15" customHeight="1">
      <c r="E293" s="593" t="str">
        <f>IF(F293="","",【マスター】!D155)</f>
        <v/>
      </c>
      <c r="F293" s="593" t="str">
        <f>DBCS(【マスター】!E155)</f>
        <v/>
      </c>
      <c r="G293" s="593" t="str">
        <f>IF(F293="","",【マスター】!F155)</f>
        <v/>
      </c>
      <c r="H293" s="593" t="str">
        <f>IF(G293="","",【マスター】!G155)</f>
        <v/>
      </c>
      <c r="I293" s="593" t="str">
        <f>IF(H293="","",【マスター】!H155)</f>
        <v/>
      </c>
      <c r="J293" s="593" t="str">
        <f>IF(I293="","",【マスター】!I155)</f>
        <v/>
      </c>
      <c r="K293" s="593" t="str">
        <f>IF(J293="","",【マスター】!J155)</f>
        <v/>
      </c>
      <c r="L293" s="2705" t="str">
        <f>IF(【マスター】!E155=0,"","改訂")</f>
        <v/>
      </c>
      <c r="M293" s="2705"/>
    </row>
    <row r="294" spans="5:13" ht="15" customHeight="1">
      <c r="E294" s="593" t="str">
        <f>IF(F294="","",【マスター】!D156)</f>
        <v/>
      </c>
      <c r="F294" s="593" t="str">
        <f>DBCS(【マスター】!E156)</f>
        <v/>
      </c>
      <c r="G294" s="593" t="str">
        <f>IF(F294="","",【マスター】!F156)</f>
        <v/>
      </c>
      <c r="H294" s="593" t="str">
        <f>IF(G294="","",【マスター】!G156)</f>
        <v/>
      </c>
      <c r="I294" s="593" t="str">
        <f>IF(H294="","",【マスター】!H156)</f>
        <v/>
      </c>
      <c r="J294" s="593" t="str">
        <f>IF(I294="","",【マスター】!I156)</f>
        <v/>
      </c>
      <c r="K294" s="593" t="str">
        <f>IF(J294="","",【マスター】!J156)</f>
        <v/>
      </c>
      <c r="L294" s="2705" t="str">
        <f>IF(【マスター】!E156=0,"","改訂")</f>
        <v/>
      </c>
      <c r="M294" s="2705"/>
    </row>
    <row r="295" spans="5:13" ht="15" customHeight="1">
      <c r="E295" s="593" t="str">
        <f>IF(F295="","",【マスター】!D157)</f>
        <v/>
      </c>
      <c r="F295" s="593" t="str">
        <f>DBCS(【マスター】!E157)</f>
        <v/>
      </c>
      <c r="G295" s="593" t="str">
        <f>IF(F295="","",【マスター】!F157)</f>
        <v/>
      </c>
      <c r="H295" s="593" t="str">
        <f>IF(G295="","",【マスター】!G157)</f>
        <v/>
      </c>
      <c r="I295" s="593" t="str">
        <f>IF(H295="","",【マスター】!H157)</f>
        <v/>
      </c>
      <c r="J295" s="593" t="str">
        <f>IF(I295="","",【マスター】!I157)</f>
        <v/>
      </c>
      <c r="K295" s="593" t="str">
        <f>IF(J295="","",【マスター】!J157)</f>
        <v/>
      </c>
      <c r="L295" s="2705" t="str">
        <f>IF(【マスター】!E157=0,"","改訂")</f>
        <v/>
      </c>
      <c r="M295" s="2705"/>
    </row>
    <row r="296" spans="5:13" ht="15" customHeight="1">
      <c r="E296" s="593" t="str">
        <f>IF(F296="","",【マスター】!D158)</f>
        <v/>
      </c>
      <c r="F296" s="593" t="str">
        <f>DBCS(【マスター】!E158)</f>
        <v/>
      </c>
      <c r="G296" s="593" t="str">
        <f>IF(F296="","",【マスター】!F158)</f>
        <v/>
      </c>
      <c r="H296" s="593" t="str">
        <f>IF(G296="","",【マスター】!G158)</f>
        <v/>
      </c>
      <c r="I296" s="593" t="str">
        <f>IF(H296="","",【マスター】!H158)</f>
        <v/>
      </c>
      <c r="J296" s="593" t="str">
        <f>IF(I296="","",【マスター】!I158)</f>
        <v/>
      </c>
      <c r="K296" s="593" t="str">
        <f>IF(J296="","",【マスター】!J158)</f>
        <v/>
      </c>
      <c r="L296" s="2705" t="str">
        <f>IF(【マスター】!E158=0,"","改訂")</f>
        <v/>
      </c>
      <c r="M296" s="2705"/>
    </row>
    <row r="297" spans="5:13" ht="15" customHeight="1">
      <c r="E297" s="469"/>
      <c r="F297" s="469"/>
      <c r="G297" s="469"/>
      <c r="H297" s="469"/>
      <c r="I297" s="469"/>
      <c r="J297" s="469"/>
      <c r="K297" s="469"/>
      <c r="L297" s="469"/>
      <c r="M297" s="470"/>
    </row>
    <row r="298" spans="5:13" ht="15" customHeight="1">
      <c r="E298" s="469"/>
      <c r="F298" s="469"/>
      <c r="G298" s="469"/>
      <c r="H298" s="469"/>
      <c r="I298" s="469"/>
      <c r="J298" s="469"/>
      <c r="K298" s="469"/>
      <c r="L298" s="469"/>
      <c r="M298" s="470"/>
    </row>
    <row r="299" spans="5:13" ht="15" customHeight="1">
      <c r="E299" s="469"/>
      <c r="F299" s="469"/>
      <c r="G299" s="469"/>
      <c r="H299" s="469"/>
      <c r="I299" s="469"/>
      <c r="J299" s="469"/>
      <c r="K299" s="469"/>
      <c r="L299" s="469"/>
      <c r="M299" s="470"/>
    </row>
    <row r="300" spans="5:13" ht="15" customHeight="1">
      <c r="E300" s="469"/>
      <c r="F300" s="469"/>
      <c r="G300" s="469"/>
      <c r="H300" s="469"/>
      <c r="I300" s="469"/>
      <c r="J300" s="469"/>
      <c r="K300" s="469"/>
      <c r="L300" s="469"/>
      <c r="M300" s="470"/>
    </row>
    <row r="301" spans="5:13">
      <c r="E301" s="470"/>
      <c r="F301" s="470"/>
      <c r="G301" s="470"/>
      <c r="H301" s="470"/>
      <c r="I301" s="470"/>
      <c r="J301" s="470"/>
      <c r="K301" s="470"/>
      <c r="L301" s="470"/>
      <c r="M301" s="470"/>
    </row>
    <row r="302" spans="5:13">
      <c r="E302" s="470"/>
      <c r="F302" s="470"/>
      <c r="G302" s="470"/>
      <c r="H302" s="470"/>
      <c r="I302" s="470"/>
      <c r="J302" s="470"/>
      <c r="K302" s="470"/>
      <c r="L302" s="470"/>
      <c r="M302" s="470"/>
    </row>
    <row r="303" spans="5:13">
      <c r="E303" s="470"/>
      <c r="F303" s="470"/>
      <c r="G303" s="470"/>
      <c r="H303" s="470"/>
      <c r="I303" s="470"/>
      <c r="J303" s="470"/>
      <c r="K303" s="470"/>
      <c r="L303" s="470"/>
      <c r="M303" s="470"/>
    </row>
    <row r="304" spans="5:13">
      <c r="E304" s="470"/>
      <c r="F304" s="470"/>
      <c r="G304" s="470"/>
      <c r="H304" s="470"/>
      <c r="I304" s="470"/>
      <c r="J304" s="470"/>
      <c r="K304" s="470"/>
      <c r="L304" s="470"/>
      <c r="M304" s="470"/>
    </row>
    <row r="305" spans="5:13">
      <c r="E305" s="470"/>
      <c r="F305" s="470"/>
      <c r="G305" s="470"/>
      <c r="H305" s="470"/>
      <c r="I305" s="470"/>
      <c r="J305" s="470"/>
      <c r="K305" s="470"/>
      <c r="L305" s="470"/>
      <c r="M305" s="470"/>
    </row>
    <row r="306" spans="5:13">
      <c r="E306" s="470"/>
      <c r="F306" s="470"/>
      <c r="G306" s="470"/>
      <c r="H306" s="470"/>
      <c r="I306" s="470"/>
      <c r="J306" s="470"/>
      <c r="K306" s="470"/>
      <c r="L306" s="470"/>
      <c r="M306" s="470"/>
    </row>
  </sheetData>
  <sheetProtection selectLockedCells="1"/>
  <mergeCells count="140">
    <mergeCell ref="C196:T197"/>
    <mergeCell ref="C243:T244"/>
    <mergeCell ref="C198:T199"/>
    <mergeCell ref="C205:T207"/>
    <mergeCell ref="C235:T235"/>
    <mergeCell ref="C200:T202"/>
    <mergeCell ref="C230:T232"/>
    <mergeCell ref="C240:T242"/>
    <mergeCell ref="C236:T237"/>
    <mergeCell ref="C238:T239"/>
    <mergeCell ref="C210:T211"/>
    <mergeCell ref="C212:T213"/>
    <mergeCell ref="C215:T216"/>
    <mergeCell ref="C217:T218"/>
    <mergeCell ref="C219:T220"/>
    <mergeCell ref="C221:T222"/>
    <mergeCell ref="C223:T225"/>
    <mergeCell ref="C226:T227"/>
    <mergeCell ref="C168:T169"/>
    <mergeCell ref="C170:T170"/>
    <mergeCell ref="C173:T174"/>
    <mergeCell ref="C175:T176"/>
    <mergeCell ref="C181:T182"/>
    <mergeCell ref="C177:T178"/>
    <mergeCell ref="C183:T185"/>
    <mergeCell ref="C188:T190"/>
    <mergeCell ref="C191:T193"/>
    <mergeCell ref="C162:T163"/>
    <mergeCell ref="C133:T134"/>
    <mergeCell ref="C135:T136"/>
    <mergeCell ref="C137:T138"/>
    <mergeCell ref="C141:T141"/>
    <mergeCell ref="C144:T146"/>
    <mergeCell ref="C149:T152"/>
    <mergeCell ref="C153:T154"/>
    <mergeCell ref="C155:T157"/>
    <mergeCell ref="C158:T159"/>
    <mergeCell ref="B84:C84"/>
    <mergeCell ref="D85:T87"/>
    <mergeCell ref="B88:C88"/>
    <mergeCell ref="D79:T79"/>
    <mergeCell ref="D81:T83"/>
    <mergeCell ref="D89:T91"/>
    <mergeCell ref="D92:T92"/>
    <mergeCell ref="B93:C93"/>
    <mergeCell ref="C131:T132"/>
    <mergeCell ref="D94:T95"/>
    <mergeCell ref="C98:T101"/>
    <mergeCell ref="C102:T103"/>
    <mergeCell ref="C106:T107"/>
    <mergeCell ref="C108:T109"/>
    <mergeCell ref="C112:T114"/>
    <mergeCell ref="C128:T130"/>
    <mergeCell ref="C121:T121"/>
    <mergeCell ref="C119:T120"/>
    <mergeCell ref="D68:T69"/>
    <mergeCell ref="C22:T24"/>
    <mergeCell ref="C25:T28"/>
    <mergeCell ref="C29:T31"/>
    <mergeCell ref="B35:C35"/>
    <mergeCell ref="D35:E35"/>
    <mergeCell ref="F35:T35"/>
    <mergeCell ref="D77:T78"/>
    <mergeCell ref="B80:C80"/>
    <mergeCell ref="B45:C45"/>
    <mergeCell ref="D46:T46"/>
    <mergeCell ref="B47:C47"/>
    <mergeCell ref="D48:T48"/>
    <mergeCell ref="B52:C52"/>
    <mergeCell ref="B53:C53"/>
    <mergeCell ref="B54:C54"/>
    <mergeCell ref="C63:T64"/>
    <mergeCell ref="B76:C76"/>
    <mergeCell ref="D74:T75"/>
    <mergeCell ref="D70:T71"/>
    <mergeCell ref="D72:T73"/>
    <mergeCell ref="D66:T67"/>
    <mergeCell ref="B65:C65"/>
    <mergeCell ref="C8:T12"/>
    <mergeCell ref="C15:T18"/>
    <mergeCell ref="C19:T19"/>
    <mergeCell ref="A2:T3"/>
    <mergeCell ref="A4:T5"/>
    <mergeCell ref="D36:E36"/>
    <mergeCell ref="F36:T36"/>
    <mergeCell ref="B40:C40"/>
    <mergeCell ref="D41:T42"/>
    <mergeCell ref="C39:T39"/>
    <mergeCell ref="C20:T21"/>
    <mergeCell ref="C34:T34"/>
    <mergeCell ref="B36:C36"/>
    <mergeCell ref="L252:M252"/>
    <mergeCell ref="L253:M253"/>
    <mergeCell ref="L254:M254"/>
    <mergeCell ref="L255:M255"/>
    <mergeCell ref="L256:M256"/>
    <mergeCell ref="L248:M248"/>
    <mergeCell ref="L249:M249"/>
    <mergeCell ref="L250:M250"/>
    <mergeCell ref="L251:M251"/>
    <mergeCell ref="L262:M262"/>
    <mergeCell ref="L263:M263"/>
    <mergeCell ref="L264:M264"/>
    <mergeCell ref="L265:M265"/>
    <mergeCell ref="L266:M266"/>
    <mergeCell ref="L257:M257"/>
    <mergeCell ref="L258:M258"/>
    <mergeCell ref="L259:M259"/>
    <mergeCell ref="L260:M260"/>
    <mergeCell ref="L261:M261"/>
    <mergeCell ref="L272:M272"/>
    <mergeCell ref="L273:M273"/>
    <mergeCell ref="L274:M274"/>
    <mergeCell ref="L275:M275"/>
    <mergeCell ref="L276:M276"/>
    <mergeCell ref="L267:M267"/>
    <mergeCell ref="L268:M268"/>
    <mergeCell ref="L269:M269"/>
    <mergeCell ref="L270:M270"/>
    <mergeCell ref="L271:M271"/>
    <mergeCell ref="L282:M282"/>
    <mergeCell ref="L283:M283"/>
    <mergeCell ref="L284:M284"/>
    <mergeCell ref="L285:M285"/>
    <mergeCell ref="L286:M286"/>
    <mergeCell ref="L277:M277"/>
    <mergeCell ref="L278:M278"/>
    <mergeCell ref="L279:M279"/>
    <mergeCell ref="L280:M280"/>
    <mergeCell ref="L281:M281"/>
    <mergeCell ref="L292:M292"/>
    <mergeCell ref="L293:M293"/>
    <mergeCell ref="L294:M294"/>
    <mergeCell ref="L295:M295"/>
    <mergeCell ref="L296:M296"/>
    <mergeCell ref="L287:M287"/>
    <mergeCell ref="L288:M288"/>
    <mergeCell ref="L289:M289"/>
    <mergeCell ref="L290:M290"/>
    <mergeCell ref="L291:M291"/>
  </mergeCells>
  <phoneticPr fontId="17"/>
  <printOptions horizontalCentered="1"/>
  <pageMargins left="0.70866141732283472" right="0.70866141732283472" top="0.55118110236220474" bottom="0.55118110236220474" header="0.31496062992125984" footer="0.31496062992125984"/>
  <pageSetup paperSize="9" scale="95" fitToHeight="0" orientation="portrait" r:id="rId1"/>
  <headerFooter>
    <oddFooter>&amp;L【通所介護】BMC&amp;C&amp;P</oddFooter>
  </headerFooter>
  <rowBreaks count="4" manualBreakCount="4">
    <brk id="56" max="19" man="1"/>
    <brk id="110" max="19" man="1"/>
    <brk id="166" max="19" man="1"/>
    <brk id="220" max="1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tabColor rgb="FF92D050"/>
    <pageSetUpPr fitToPage="1"/>
  </sheetPr>
  <dimension ref="A1:V72"/>
  <sheetViews>
    <sheetView workbookViewId="0"/>
  </sheetViews>
  <sheetFormatPr defaultColWidth="9" defaultRowHeight="13.5"/>
  <cols>
    <col min="1" max="1" width="6.625" style="141" customWidth="1"/>
    <col min="2" max="20" width="4.625" style="141" customWidth="1"/>
    <col min="21" max="21" width="5.625" style="141" customWidth="1"/>
    <col min="22" max="16384" width="9" style="141"/>
  </cols>
  <sheetData>
    <row r="1" spans="1:22" ht="15" customHeight="1">
      <c r="T1" s="142"/>
    </row>
    <row r="2" spans="1:22" ht="15" customHeight="1">
      <c r="A2" s="2711" t="s">
        <v>1704</v>
      </c>
      <c r="B2" s="2711"/>
      <c r="C2" s="2711"/>
      <c r="D2" s="2711"/>
      <c r="E2" s="2711"/>
      <c r="F2" s="2711"/>
      <c r="G2" s="2711"/>
      <c r="H2" s="2711"/>
      <c r="I2" s="2711"/>
      <c r="J2" s="2711"/>
      <c r="K2" s="2711"/>
      <c r="L2" s="2711"/>
      <c r="M2" s="2711"/>
      <c r="N2" s="2711"/>
      <c r="O2" s="2711"/>
      <c r="P2" s="2711"/>
      <c r="Q2" s="2711"/>
      <c r="R2" s="2711"/>
      <c r="S2" s="2711"/>
      <c r="T2" s="2711"/>
    </row>
    <row r="3" spans="1:22" ht="15" customHeight="1">
      <c r="A3" s="2711"/>
      <c r="B3" s="2711"/>
      <c r="C3" s="2711"/>
      <c r="D3" s="2711"/>
      <c r="E3" s="2711"/>
      <c r="F3" s="2711"/>
      <c r="G3" s="2711"/>
      <c r="H3" s="2711"/>
      <c r="I3" s="2711"/>
      <c r="J3" s="2711"/>
      <c r="K3" s="2711"/>
      <c r="L3" s="2711"/>
      <c r="M3" s="2711"/>
      <c r="N3" s="2711"/>
      <c r="O3" s="2711"/>
      <c r="P3" s="2711"/>
      <c r="Q3" s="2711"/>
      <c r="R3" s="2711"/>
      <c r="S3" s="2711"/>
      <c r="T3" s="2711"/>
    </row>
    <row r="4" spans="1:22" ht="15" customHeight="1">
      <c r="A4" s="2712" t="str">
        <f>"　"&amp;【マスター】!D25&amp;"（以下、「事業者」という）は、利用者等の個人情報を適切に取り扱うことは、介護サービスに関わるものの重大な責務と考えます。"</f>
        <v>　（以下、「事業者」という）は、利用者等の個人情報を適切に取り扱うことは、介護サービスに関わるものの重大な責務と考えます。</v>
      </c>
      <c r="B4" s="2712"/>
      <c r="C4" s="2712"/>
      <c r="D4" s="2712"/>
      <c r="E4" s="2712"/>
      <c r="F4" s="2712"/>
      <c r="G4" s="2712"/>
      <c r="H4" s="2712"/>
      <c r="I4" s="2712"/>
      <c r="J4" s="2712"/>
      <c r="K4" s="2712"/>
      <c r="L4" s="2712"/>
      <c r="M4" s="2712"/>
      <c r="N4" s="2712"/>
      <c r="O4" s="2712"/>
      <c r="P4" s="2712"/>
      <c r="Q4" s="2712"/>
      <c r="R4" s="2712"/>
      <c r="S4" s="2712"/>
      <c r="T4" s="2712"/>
      <c r="V4" s="474"/>
    </row>
    <row r="5" spans="1:22" ht="15" customHeight="1">
      <c r="A5" s="2712"/>
      <c r="B5" s="2712"/>
      <c r="C5" s="2712"/>
      <c r="D5" s="2712"/>
      <c r="E5" s="2712"/>
      <c r="F5" s="2712"/>
      <c r="G5" s="2712"/>
      <c r="H5" s="2712"/>
      <c r="I5" s="2712"/>
      <c r="J5" s="2712"/>
      <c r="K5" s="2712"/>
      <c r="L5" s="2712"/>
      <c r="M5" s="2712"/>
      <c r="N5" s="2712"/>
      <c r="O5" s="2712"/>
      <c r="P5" s="2712"/>
      <c r="Q5" s="2712"/>
      <c r="R5" s="2712"/>
      <c r="S5" s="2712"/>
      <c r="T5" s="2712"/>
      <c r="V5" s="485"/>
    </row>
    <row r="6" spans="1:22" ht="15" customHeight="1">
      <c r="A6" s="2712" t="s">
        <v>1705</v>
      </c>
      <c r="B6" s="2712"/>
      <c r="C6" s="2712"/>
      <c r="D6" s="2712"/>
      <c r="E6" s="2712"/>
      <c r="F6" s="2712"/>
      <c r="G6" s="2712"/>
      <c r="H6" s="2712"/>
      <c r="I6" s="2712"/>
      <c r="J6" s="2712"/>
      <c r="K6" s="2712"/>
      <c r="L6" s="2712"/>
      <c r="M6" s="2712"/>
      <c r="N6" s="2712"/>
      <c r="O6" s="2712"/>
      <c r="P6" s="2712"/>
      <c r="Q6" s="2712"/>
      <c r="R6" s="2712"/>
      <c r="S6" s="2712"/>
      <c r="T6" s="2712"/>
    </row>
    <row r="7" spans="1:22" ht="15" customHeight="1">
      <c r="A7" s="2712"/>
      <c r="B7" s="2712"/>
      <c r="C7" s="2712"/>
      <c r="D7" s="2712"/>
      <c r="E7" s="2712"/>
      <c r="F7" s="2712"/>
      <c r="G7" s="2712"/>
      <c r="H7" s="2712"/>
      <c r="I7" s="2712"/>
      <c r="J7" s="2712"/>
      <c r="K7" s="2712"/>
      <c r="L7" s="2712"/>
      <c r="M7" s="2712"/>
      <c r="N7" s="2712"/>
      <c r="O7" s="2712"/>
      <c r="P7" s="2712"/>
      <c r="Q7" s="2712"/>
      <c r="R7" s="2712"/>
      <c r="S7" s="2712"/>
      <c r="T7" s="2712"/>
    </row>
    <row r="8" spans="1:22" ht="15" customHeight="1">
      <c r="A8" s="2712"/>
      <c r="B8" s="2712"/>
      <c r="C8" s="2712"/>
      <c r="D8" s="2712"/>
      <c r="E8" s="2712"/>
      <c r="F8" s="2712"/>
      <c r="G8" s="2712"/>
      <c r="H8" s="2712"/>
      <c r="I8" s="2712"/>
      <c r="J8" s="2712"/>
      <c r="K8" s="2712"/>
      <c r="L8" s="2712"/>
      <c r="M8" s="2712"/>
      <c r="N8" s="2712"/>
      <c r="O8" s="2712"/>
      <c r="P8" s="2712"/>
      <c r="Q8" s="2712"/>
      <c r="R8" s="2712"/>
      <c r="S8" s="2712"/>
      <c r="T8" s="2712"/>
    </row>
    <row r="9" spans="1:22" ht="15" customHeight="1">
      <c r="A9" s="2713" t="s">
        <v>1047</v>
      </c>
      <c r="B9" s="2713"/>
      <c r="C9" s="2713"/>
      <c r="D9" s="2713"/>
      <c r="E9" s="2713"/>
      <c r="F9" s="2713"/>
      <c r="G9" s="2713"/>
      <c r="H9" s="2713"/>
      <c r="I9" s="2713"/>
      <c r="J9" s="2713"/>
      <c r="K9" s="2713"/>
      <c r="L9" s="2713"/>
      <c r="M9" s="2713"/>
      <c r="N9" s="2713"/>
      <c r="O9" s="2713"/>
      <c r="P9" s="2713"/>
      <c r="Q9" s="2713"/>
      <c r="R9" s="2713"/>
      <c r="S9" s="2713"/>
      <c r="T9" s="2713"/>
    </row>
    <row r="10" spans="1:22" ht="15" customHeight="1">
      <c r="A10" s="141" t="s">
        <v>1706</v>
      </c>
    </row>
    <row r="11" spans="1:22" ht="15" customHeight="1">
      <c r="A11" s="143" t="s">
        <v>1707</v>
      </c>
    </row>
    <row r="12" spans="1:22" ht="15" customHeight="1">
      <c r="A12" s="144" t="s">
        <v>1708</v>
      </c>
      <c r="B12" s="2712" t="s">
        <v>1709</v>
      </c>
      <c r="C12" s="2712"/>
      <c r="D12" s="2712"/>
      <c r="E12" s="2712"/>
      <c r="F12" s="2712"/>
      <c r="G12" s="2712"/>
      <c r="H12" s="2712"/>
      <c r="I12" s="2712"/>
      <c r="J12" s="2712"/>
      <c r="K12" s="2712"/>
      <c r="L12" s="2712"/>
      <c r="M12" s="2712"/>
      <c r="N12" s="2712"/>
      <c r="O12" s="2712"/>
      <c r="P12" s="2712"/>
      <c r="Q12" s="2712"/>
      <c r="R12" s="2712"/>
      <c r="S12" s="2712"/>
      <c r="T12" s="2712"/>
    </row>
    <row r="13" spans="1:22" ht="15" customHeight="1">
      <c r="A13" s="144" t="s">
        <v>1710</v>
      </c>
      <c r="B13" s="2712"/>
      <c r="C13" s="2712"/>
      <c r="D13" s="2712"/>
      <c r="E13" s="2712"/>
      <c r="F13" s="2712"/>
      <c r="G13" s="2712"/>
      <c r="H13" s="2712"/>
      <c r="I13" s="2712"/>
      <c r="J13" s="2712"/>
      <c r="K13" s="2712"/>
      <c r="L13" s="2712"/>
      <c r="M13" s="2712"/>
      <c r="N13" s="2712"/>
      <c r="O13" s="2712"/>
      <c r="P13" s="2712"/>
      <c r="Q13" s="2712"/>
      <c r="R13" s="2712"/>
      <c r="S13" s="2712"/>
      <c r="T13" s="2712"/>
    </row>
    <row r="14" spans="1:22" ht="15" customHeight="1">
      <c r="A14" s="144" t="s">
        <v>1711</v>
      </c>
      <c r="B14" s="2712" t="s">
        <v>1712</v>
      </c>
      <c r="C14" s="2712"/>
      <c r="D14" s="2712"/>
      <c r="E14" s="2712"/>
      <c r="F14" s="2712"/>
      <c r="G14" s="2712"/>
      <c r="H14" s="2712"/>
      <c r="I14" s="2712"/>
      <c r="J14" s="2712"/>
      <c r="K14" s="2712"/>
      <c r="L14" s="2712"/>
      <c r="M14" s="2712"/>
      <c r="N14" s="2712"/>
      <c r="O14" s="2712"/>
      <c r="P14" s="2712"/>
      <c r="Q14" s="2712"/>
      <c r="R14" s="2712"/>
      <c r="S14" s="2712"/>
      <c r="T14" s="2712"/>
    </row>
    <row r="15" spans="1:22" ht="15" customHeight="1">
      <c r="A15" s="144" t="s">
        <v>1710</v>
      </c>
      <c r="B15" s="2712"/>
      <c r="C15" s="2712"/>
      <c r="D15" s="2712"/>
      <c r="E15" s="2712"/>
      <c r="F15" s="2712"/>
      <c r="G15" s="2712"/>
      <c r="H15" s="2712"/>
      <c r="I15" s="2712"/>
      <c r="J15" s="2712"/>
      <c r="K15" s="2712"/>
      <c r="L15" s="2712"/>
      <c r="M15" s="2712"/>
      <c r="N15" s="2712"/>
      <c r="O15" s="2712"/>
      <c r="P15" s="2712"/>
      <c r="Q15" s="2712"/>
      <c r="R15" s="2712"/>
      <c r="S15" s="2712"/>
      <c r="T15" s="2712"/>
    </row>
    <row r="16" spans="1:22" ht="15" customHeight="1">
      <c r="A16" s="144" t="s">
        <v>1713</v>
      </c>
      <c r="B16" s="2712" t="s">
        <v>455</v>
      </c>
      <c r="C16" s="2712"/>
      <c r="D16" s="2712"/>
      <c r="E16" s="2712"/>
      <c r="F16" s="2712"/>
      <c r="G16" s="2712"/>
      <c r="H16" s="2712"/>
      <c r="I16" s="2712"/>
      <c r="J16" s="2712"/>
      <c r="K16" s="2712"/>
      <c r="L16" s="2712"/>
      <c r="M16" s="2712"/>
      <c r="N16" s="2712"/>
      <c r="O16" s="2712"/>
      <c r="P16" s="2712"/>
      <c r="Q16" s="2712"/>
      <c r="R16" s="2712"/>
      <c r="S16" s="2712"/>
      <c r="T16" s="2712"/>
    </row>
    <row r="17" spans="1:20" ht="15" customHeight="1">
      <c r="A17" s="143" t="s">
        <v>1710</v>
      </c>
      <c r="B17" s="2712"/>
      <c r="C17" s="2712"/>
      <c r="D17" s="2712"/>
      <c r="E17" s="2712"/>
      <c r="F17" s="2712"/>
      <c r="G17" s="2712"/>
      <c r="H17" s="2712"/>
      <c r="I17" s="2712"/>
      <c r="J17" s="2712"/>
      <c r="K17" s="2712"/>
      <c r="L17" s="2712"/>
      <c r="M17" s="2712"/>
      <c r="N17" s="2712"/>
      <c r="O17" s="2712"/>
      <c r="P17" s="2712"/>
      <c r="Q17" s="2712"/>
      <c r="R17" s="2712"/>
      <c r="S17" s="2712"/>
      <c r="T17" s="2712"/>
    </row>
    <row r="18" spans="1:20" ht="15" customHeight="1">
      <c r="A18" s="143" t="s">
        <v>1710</v>
      </c>
      <c r="B18" s="2712"/>
      <c r="C18" s="2712"/>
      <c r="D18" s="2712"/>
      <c r="E18" s="2712"/>
      <c r="F18" s="2712"/>
      <c r="G18" s="2712"/>
      <c r="H18" s="2712"/>
      <c r="I18" s="2712"/>
      <c r="J18" s="2712"/>
      <c r="K18" s="2712"/>
      <c r="L18" s="2712"/>
      <c r="M18" s="2712"/>
      <c r="N18" s="2712"/>
      <c r="O18" s="2712"/>
      <c r="P18" s="2712"/>
      <c r="Q18" s="2712"/>
      <c r="R18" s="2712"/>
      <c r="S18" s="2712"/>
      <c r="T18" s="2712"/>
    </row>
    <row r="19" spans="1:20" ht="15" customHeight="1">
      <c r="A19" s="143" t="s">
        <v>1714</v>
      </c>
    </row>
    <row r="20" spans="1:20" ht="15" customHeight="1">
      <c r="A20" s="2714" t="s">
        <v>1715</v>
      </c>
      <c r="B20" s="2714"/>
      <c r="C20" s="2714"/>
      <c r="D20" s="2714"/>
      <c r="E20" s="2714"/>
      <c r="F20" s="2714"/>
      <c r="G20" s="2714"/>
      <c r="H20" s="2714"/>
      <c r="I20" s="2714"/>
      <c r="J20" s="2714"/>
      <c r="K20" s="2714"/>
      <c r="L20" s="2714"/>
      <c r="M20" s="2714"/>
      <c r="N20" s="2714"/>
      <c r="O20" s="2714"/>
      <c r="P20" s="2714"/>
      <c r="Q20" s="2714"/>
      <c r="R20" s="2714"/>
      <c r="S20" s="2714"/>
      <c r="T20" s="2714"/>
    </row>
    <row r="21" spans="1:20" ht="15" customHeight="1">
      <c r="A21" s="2714"/>
      <c r="B21" s="2714"/>
      <c r="C21" s="2714"/>
      <c r="D21" s="2714"/>
      <c r="E21" s="2714"/>
      <c r="F21" s="2714"/>
      <c r="G21" s="2714"/>
      <c r="H21" s="2714"/>
      <c r="I21" s="2714"/>
      <c r="J21" s="2714"/>
      <c r="K21" s="2714"/>
      <c r="L21" s="2714"/>
      <c r="M21" s="2714"/>
      <c r="N21" s="2714"/>
      <c r="O21" s="2714"/>
      <c r="P21" s="2714"/>
      <c r="Q21" s="2714"/>
      <c r="R21" s="2714"/>
      <c r="S21" s="2714"/>
      <c r="T21" s="2714"/>
    </row>
    <row r="22" spans="1:20" ht="15" customHeight="1">
      <c r="A22" s="2714"/>
      <c r="B22" s="2714"/>
      <c r="C22" s="2714"/>
      <c r="D22" s="2714"/>
      <c r="E22" s="2714"/>
      <c r="F22" s="2714"/>
      <c r="G22" s="2714"/>
      <c r="H22" s="2714"/>
      <c r="I22" s="2714"/>
      <c r="J22" s="2714"/>
      <c r="K22" s="2714"/>
      <c r="L22" s="2714"/>
      <c r="M22" s="2714"/>
      <c r="N22" s="2714"/>
      <c r="O22" s="2714"/>
      <c r="P22" s="2714"/>
      <c r="Q22" s="2714"/>
      <c r="R22" s="2714"/>
      <c r="S22" s="2714"/>
      <c r="T22" s="2714"/>
    </row>
    <row r="23" spans="1:20" ht="15" customHeight="1">
      <c r="A23" s="144" t="s">
        <v>1708</v>
      </c>
      <c r="B23" s="141" t="s">
        <v>458</v>
      </c>
    </row>
    <row r="24" spans="1:20" ht="15" customHeight="1">
      <c r="A24" s="142" t="s">
        <v>380</v>
      </c>
      <c r="B24" s="2714" t="s">
        <v>1716</v>
      </c>
      <c r="C24" s="2714"/>
      <c r="D24" s="2714"/>
      <c r="E24" s="2714"/>
      <c r="F24" s="2714"/>
      <c r="G24" s="2714"/>
      <c r="H24" s="2714"/>
      <c r="I24" s="2714"/>
      <c r="J24" s="2714"/>
      <c r="K24" s="2714"/>
      <c r="L24" s="2714"/>
      <c r="M24" s="2714"/>
      <c r="N24" s="2714"/>
      <c r="O24" s="2714"/>
      <c r="P24" s="2714"/>
      <c r="Q24" s="2714"/>
      <c r="R24" s="2714"/>
      <c r="S24" s="2714"/>
      <c r="T24" s="2714"/>
    </row>
    <row r="25" spans="1:20" ht="15" customHeight="1">
      <c r="A25" s="143" t="s">
        <v>1710</v>
      </c>
      <c r="B25" s="2714"/>
      <c r="C25" s="2714"/>
      <c r="D25" s="2714"/>
      <c r="E25" s="2714"/>
      <c r="F25" s="2714"/>
      <c r="G25" s="2714"/>
      <c r="H25" s="2714"/>
      <c r="I25" s="2714"/>
      <c r="J25" s="2714"/>
      <c r="K25" s="2714"/>
      <c r="L25" s="2714"/>
      <c r="M25" s="2714"/>
      <c r="N25" s="2714"/>
      <c r="O25" s="2714"/>
      <c r="P25" s="2714"/>
      <c r="Q25" s="2714"/>
      <c r="R25" s="2714"/>
      <c r="S25" s="2714"/>
      <c r="T25" s="2714"/>
    </row>
    <row r="26" spans="1:20" ht="15" customHeight="1">
      <c r="A26" s="142" t="s">
        <v>382</v>
      </c>
      <c r="B26" s="141" t="s">
        <v>1717</v>
      </c>
    </row>
    <row r="27" spans="1:20" ht="15" customHeight="1">
      <c r="A27" s="144" t="s">
        <v>1718</v>
      </c>
      <c r="B27" s="2712" t="s">
        <v>1719</v>
      </c>
      <c r="C27" s="2712"/>
      <c r="D27" s="2712"/>
      <c r="E27" s="2712"/>
      <c r="F27" s="2712"/>
      <c r="G27" s="2712"/>
      <c r="H27" s="2712"/>
      <c r="I27" s="2712"/>
      <c r="J27" s="2712"/>
      <c r="K27" s="2712"/>
      <c r="L27" s="2712"/>
      <c r="M27" s="2712"/>
      <c r="N27" s="2712"/>
      <c r="O27" s="2712"/>
      <c r="P27" s="2712"/>
      <c r="Q27" s="2712"/>
      <c r="R27" s="2712"/>
      <c r="S27" s="2712"/>
      <c r="T27" s="2712"/>
    </row>
    <row r="28" spans="1:20" ht="15" customHeight="1">
      <c r="A28" s="144"/>
      <c r="B28" s="2712"/>
      <c r="C28" s="2712"/>
      <c r="D28" s="2712"/>
      <c r="E28" s="2712"/>
      <c r="F28" s="2712"/>
      <c r="G28" s="2712"/>
      <c r="H28" s="2712"/>
      <c r="I28" s="2712"/>
      <c r="J28" s="2712"/>
      <c r="K28" s="2712"/>
      <c r="L28" s="2712"/>
      <c r="M28" s="2712"/>
      <c r="N28" s="2712"/>
      <c r="O28" s="2712"/>
      <c r="P28" s="2712"/>
      <c r="Q28" s="2712"/>
      <c r="R28" s="2712"/>
      <c r="S28" s="2712"/>
      <c r="T28" s="2712"/>
    </row>
    <row r="29" spans="1:20" ht="15" customHeight="1">
      <c r="A29" s="143" t="s">
        <v>1710</v>
      </c>
      <c r="B29" s="2712"/>
      <c r="C29" s="2712"/>
      <c r="D29" s="2712"/>
      <c r="E29" s="2712"/>
      <c r="F29" s="2712"/>
      <c r="G29" s="2712"/>
      <c r="H29" s="2712"/>
      <c r="I29" s="2712"/>
      <c r="J29" s="2712"/>
      <c r="K29" s="2712"/>
      <c r="L29" s="2712"/>
      <c r="M29" s="2712"/>
      <c r="N29" s="2712"/>
      <c r="O29" s="2712"/>
      <c r="P29" s="2712"/>
      <c r="Q29" s="2712"/>
      <c r="R29" s="2712"/>
      <c r="S29" s="2712"/>
      <c r="T29" s="2712"/>
    </row>
    <row r="30" spans="1:20" ht="15" customHeight="1">
      <c r="A30" s="144" t="s">
        <v>1711</v>
      </c>
      <c r="B30" s="143" t="s">
        <v>463</v>
      </c>
    </row>
    <row r="31" spans="1:20" ht="15" customHeight="1">
      <c r="A31" s="144" t="s">
        <v>1720</v>
      </c>
      <c r="B31" s="2712" t="s">
        <v>1721</v>
      </c>
      <c r="C31" s="2712"/>
      <c r="D31" s="2712"/>
      <c r="E31" s="2712"/>
      <c r="F31" s="2712"/>
      <c r="G31" s="2712"/>
      <c r="H31" s="2712"/>
      <c r="I31" s="2712"/>
      <c r="J31" s="2712"/>
      <c r="K31" s="2712"/>
      <c r="L31" s="2712"/>
      <c r="M31" s="2712"/>
      <c r="N31" s="2712"/>
      <c r="O31" s="2712"/>
      <c r="P31" s="2712"/>
      <c r="Q31" s="2712"/>
      <c r="R31" s="2712"/>
      <c r="S31" s="2712"/>
      <c r="T31" s="2712"/>
    </row>
    <row r="32" spans="1:20" ht="15" customHeight="1">
      <c r="A32" s="143" t="s">
        <v>1722</v>
      </c>
      <c r="B32" s="2712"/>
      <c r="C32" s="2712"/>
      <c r="D32" s="2712"/>
      <c r="E32" s="2712"/>
      <c r="F32" s="2712"/>
      <c r="G32" s="2712"/>
      <c r="H32" s="2712"/>
      <c r="I32" s="2712"/>
      <c r="J32" s="2712"/>
      <c r="K32" s="2712"/>
      <c r="L32" s="2712"/>
      <c r="M32" s="2712"/>
      <c r="N32" s="2712"/>
      <c r="O32" s="2712"/>
      <c r="P32" s="2712"/>
      <c r="Q32" s="2712"/>
      <c r="R32" s="2712"/>
      <c r="S32" s="2712"/>
      <c r="T32" s="2712"/>
    </row>
    <row r="33" spans="1:20" ht="15" customHeight="1">
      <c r="A33" s="144" t="s">
        <v>382</v>
      </c>
      <c r="B33" s="2712" t="s">
        <v>1723</v>
      </c>
      <c r="C33" s="2712"/>
      <c r="D33" s="2712"/>
      <c r="E33" s="2712"/>
      <c r="F33" s="2712"/>
      <c r="G33" s="2712"/>
      <c r="H33" s="2712"/>
      <c r="I33" s="2712"/>
      <c r="J33" s="2712"/>
      <c r="K33" s="2712"/>
      <c r="L33" s="2712"/>
      <c r="M33" s="2712"/>
      <c r="N33" s="2712"/>
      <c r="O33" s="2712"/>
      <c r="P33" s="2712"/>
      <c r="Q33" s="2712"/>
      <c r="R33" s="2712"/>
      <c r="S33" s="2712"/>
      <c r="T33" s="2712"/>
    </row>
    <row r="34" spans="1:20" ht="15" customHeight="1">
      <c r="A34" s="143" t="s">
        <v>1710</v>
      </c>
      <c r="B34" s="2712"/>
      <c r="C34" s="2712"/>
      <c r="D34" s="2712"/>
      <c r="E34" s="2712"/>
      <c r="F34" s="2712"/>
      <c r="G34" s="2712"/>
      <c r="H34" s="2712"/>
      <c r="I34" s="2712"/>
      <c r="J34" s="2712"/>
      <c r="K34" s="2712"/>
      <c r="L34" s="2712"/>
      <c r="M34" s="2712"/>
      <c r="N34" s="2712"/>
      <c r="O34" s="2712"/>
      <c r="P34" s="2712"/>
      <c r="Q34" s="2712"/>
      <c r="R34" s="2712"/>
      <c r="S34" s="2712"/>
      <c r="T34" s="2712"/>
    </row>
    <row r="35" spans="1:20" ht="15" customHeight="1">
      <c r="A35" s="144" t="s">
        <v>1713</v>
      </c>
      <c r="B35" s="141" t="s">
        <v>467</v>
      </c>
    </row>
    <row r="36" spans="1:20" ht="15" customHeight="1">
      <c r="B36" s="2712" t="s">
        <v>1724</v>
      </c>
      <c r="C36" s="2712"/>
      <c r="D36" s="2712"/>
      <c r="E36" s="2712"/>
      <c r="F36" s="2712"/>
      <c r="G36" s="2712"/>
      <c r="H36" s="2712"/>
      <c r="I36" s="2712"/>
      <c r="J36" s="2712"/>
      <c r="K36" s="2712"/>
      <c r="L36" s="2712"/>
      <c r="M36" s="2712"/>
      <c r="N36" s="2712"/>
      <c r="O36" s="2712"/>
      <c r="P36" s="2712"/>
      <c r="Q36" s="2712"/>
      <c r="R36" s="2712"/>
      <c r="S36" s="2712"/>
      <c r="T36" s="2712"/>
    </row>
    <row r="37" spans="1:20" ht="15" customHeight="1">
      <c r="A37" s="143" t="s">
        <v>1725</v>
      </c>
      <c r="B37" s="2712"/>
      <c r="C37" s="2712"/>
      <c r="D37" s="2712"/>
      <c r="E37" s="2712"/>
      <c r="F37" s="2712"/>
      <c r="G37" s="2712"/>
      <c r="H37" s="2712"/>
      <c r="I37" s="2712"/>
      <c r="J37" s="2712"/>
      <c r="K37" s="2712"/>
      <c r="L37" s="2712"/>
      <c r="M37" s="2712"/>
      <c r="N37" s="2712"/>
      <c r="O37" s="2712"/>
      <c r="P37" s="2712"/>
      <c r="Q37" s="2712"/>
      <c r="R37" s="2712"/>
      <c r="S37" s="2712"/>
      <c r="T37" s="2712"/>
    </row>
    <row r="38" spans="1:20" ht="15" customHeight="1">
      <c r="A38" s="144" t="s">
        <v>983</v>
      </c>
      <c r="B38" s="143" t="s">
        <v>470</v>
      </c>
    </row>
    <row r="39" spans="1:20" ht="15" customHeight="1">
      <c r="A39" s="143" t="s">
        <v>1722</v>
      </c>
      <c r="B39" s="141" t="s">
        <v>1726</v>
      </c>
    </row>
    <row r="40" spans="1:20" ht="15" customHeight="1">
      <c r="A40" s="143" t="s">
        <v>1727</v>
      </c>
    </row>
    <row r="41" spans="1:20" ht="15" customHeight="1">
      <c r="A41" s="143" t="s">
        <v>1728</v>
      </c>
    </row>
    <row r="42" spans="1:20" ht="15" customHeight="1">
      <c r="A42" s="144" t="s">
        <v>1708</v>
      </c>
      <c r="B42" s="145" t="s">
        <v>1005</v>
      </c>
      <c r="C42" s="145"/>
      <c r="D42" s="145"/>
      <c r="E42" s="145"/>
      <c r="F42" s="145"/>
      <c r="G42" s="145"/>
      <c r="H42" s="145"/>
      <c r="I42" s="145"/>
      <c r="J42" s="145"/>
      <c r="K42" s="145"/>
      <c r="L42" s="145"/>
      <c r="M42" s="145"/>
      <c r="N42" s="145"/>
      <c r="O42" s="145"/>
      <c r="P42" s="145"/>
      <c r="Q42" s="145"/>
      <c r="R42" s="145"/>
      <c r="S42" s="145"/>
    </row>
    <row r="43" spans="1:20" ht="15" customHeight="1">
      <c r="A43" s="144" t="s">
        <v>980</v>
      </c>
      <c r="B43" s="2706" t="s">
        <v>1006</v>
      </c>
      <c r="C43" s="2706"/>
      <c r="D43" s="2706"/>
      <c r="E43" s="2706"/>
      <c r="F43" s="2706"/>
      <c r="G43" s="2706"/>
      <c r="H43" s="2706"/>
      <c r="I43" s="2706"/>
      <c r="J43" s="2706"/>
      <c r="K43" s="2706"/>
      <c r="L43" s="2706"/>
      <c r="M43" s="2706"/>
      <c r="N43" s="2706"/>
      <c r="O43" s="2706"/>
      <c r="P43" s="2706"/>
      <c r="Q43" s="2706"/>
      <c r="R43" s="2706"/>
      <c r="S43" s="2706"/>
      <c r="T43" s="2706"/>
    </row>
    <row r="44" spans="1:20" ht="15" customHeight="1">
      <c r="B44" s="2706"/>
      <c r="C44" s="2706"/>
      <c r="D44" s="2706"/>
      <c r="E44" s="2706"/>
      <c r="F44" s="2706"/>
      <c r="G44" s="2706"/>
      <c r="H44" s="2706"/>
      <c r="I44" s="2706"/>
      <c r="J44" s="2706"/>
      <c r="K44" s="2706"/>
      <c r="L44" s="2706"/>
      <c r="M44" s="2706"/>
      <c r="N44" s="2706"/>
      <c r="O44" s="2706"/>
      <c r="P44" s="2706"/>
      <c r="Q44" s="2706"/>
      <c r="R44" s="2706"/>
      <c r="S44" s="2706"/>
      <c r="T44" s="2706"/>
    </row>
    <row r="45" spans="1:20" ht="15" customHeight="1">
      <c r="A45" s="144" t="s">
        <v>981</v>
      </c>
      <c r="B45" s="145" t="s">
        <v>1007</v>
      </c>
      <c r="C45" s="145"/>
      <c r="D45" s="145"/>
      <c r="E45" s="145"/>
      <c r="F45" s="145"/>
      <c r="G45" s="145"/>
      <c r="H45" s="145"/>
      <c r="I45" s="145"/>
      <c r="J45" s="145"/>
      <c r="K45" s="145"/>
      <c r="L45" s="145"/>
      <c r="M45" s="145"/>
      <c r="N45" s="145"/>
      <c r="O45" s="145"/>
      <c r="P45" s="145"/>
      <c r="Q45" s="145"/>
      <c r="R45" s="145"/>
      <c r="S45" s="145"/>
    </row>
    <row r="46" spans="1:20" ht="15" customHeight="1">
      <c r="A46" s="144" t="s">
        <v>983</v>
      </c>
      <c r="B46" s="145" t="s">
        <v>1008</v>
      </c>
      <c r="C46" s="145"/>
      <c r="D46" s="145"/>
      <c r="E46" s="145"/>
      <c r="F46" s="145"/>
      <c r="G46" s="145"/>
      <c r="H46" s="145"/>
      <c r="I46" s="145"/>
      <c r="J46" s="145"/>
      <c r="K46" s="145"/>
      <c r="L46" s="145"/>
      <c r="M46" s="145"/>
      <c r="N46" s="145"/>
      <c r="O46" s="145"/>
      <c r="P46" s="145"/>
      <c r="Q46" s="145"/>
      <c r="R46" s="145"/>
      <c r="S46" s="145"/>
    </row>
    <row r="47" spans="1:20" ht="15" customHeight="1">
      <c r="A47" s="144" t="s">
        <v>657</v>
      </c>
      <c r="B47" s="145" t="s">
        <v>1009</v>
      </c>
      <c r="C47" s="145"/>
      <c r="D47" s="145"/>
      <c r="E47" s="145"/>
      <c r="F47" s="145"/>
      <c r="G47" s="145"/>
      <c r="H47" s="145"/>
      <c r="I47" s="145"/>
      <c r="J47" s="145"/>
      <c r="K47" s="145"/>
      <c r="L47" s="145"/>
      <c r="M47" s="145"/>
      <c r="N47" s="145"/>
      <c r="O47" s="145"/>
      <c r="P47" s="145"/>
      <c r="Q47" s="145"/>
      <c r="R47" s="145"/>
      <c r="S47" s="145"/>
    </row>
    <row r="48" spans="1:20" ht="15" customHeight="1">
      <c r="A48" s="144" t="s">
        <v>1010</v>
      </c>
      <c r="B48" s="145" t="s">
        <v>1011</v>
      </c>
      <c r="C48" s="145"/>
      <c r="D48" s="145"/>
      <c r="E48" s="145"/>
      <c r="F48" s="145"/>
      <c r="G48" s="145"/>
      <c r="H48" s="145"/>
      <c r="I48" s="145"/>
      <c r="J48" s="145"/>
      <c r="K48" s="145"/>
      <c r="L48" s="145"/>
      <c r="M48" s="145"/>
      <c r="N48" s="145"/>
      <c r="O48" s="145"/>
      <c r="P48" s="145"/>
      <c r="Q48" s="145"/>
      <c r="R48" s="145"/>
      <c r="S48" s="145"/>
    </row>
    <row r="49" spans="1:20" ht="15" customHeight="1">
      <c r="A49" s="144" t="s">
        <v>1012</v>
      </c>
      <c r="B49" s="145" t="s">
        <v>1013</v>
      </c>
      <c r="C49" s="145"/>
      <c r="D49" s="145"/>
      <c r="E49" s="145"/>
      <c r="F49" s="145"/>
      <c r="G49" s="145"/>
      <c r="H49" s="145"/>
      <c r="I49" s="145"/>
      <c r="J49" s="145"/>
      <c r="K49" s="145"/>
      <c r="L49" s="145"/>
      <c r="M49" s="145"/>
      <c r="N49" s="145"/>
      <c r="O49" s="145"/>
      <c r="P49" s="145"/>
      <c r="Q49" s="145"/>
      <c r="R49" s="145"/>
      <c r="S49" s="145"/>
    </row>
    <row r="50" spans="1:20" ht="15" customHeight="1">
      <c r="A50" s="144" t="s">
        <v>1014</v>
      </c>
      <c r="B50" s="145" t="s">
        <v>1015</v>
      </c>
      <c r="C50" s="145"/>
      <c r="D50" s="145"/>
      <c r="E50" s="145"/>
      <c r="F50" s="145"/>
      <c r="G50" s="145"/>
      <c r="H50" s="145"/>
      <c r="I50" s="145"/>
      <c r="J50" s="145"/>
      <c r="K50" s="145"/>
      <c r="L50" s="145"/>
      <c r="M50" s="145"/>
      <c r="N50" s="145"/>
      <c r="O50" s="145"/>
      <c r="P50" s="145"/>
      <c r="Q50" s="145"/>
      <c r="R50" s="145"/>
      <c r="S50" s="145"/>
    </row>
    <row r="51" spans="1:20" ht="15" customHeight="1">
      <c r="A51" s="146"/>
      <c r="B51" s="146"/>
      <c r="C51" s="146"/>
      <c r="D51" s="147"/>
      <c r="E51" s="147"/>
      <c r="F51" s="148"/>
    </row>
    <row r="52" spans="1:20" s="87" customFormat="1" ht="15" customHeight="1">
      <c r="A52" s="87" t="str">
        <f>DBCS(【マスター】!C4&amp;""&amp;【マスター】!D4&amp;"年　"&amp;【マスター】!F4&amp;"月　"&amp;【マスター】!H4&amp;"日")</f>
        <v>令和６年　６月　１日</v>
      </c>
      <c r="B52" s="149"/>
      <c r="C52" s="150"/>
      <c r="D52" s="150"/>
      <c r="E52" s="150"/>
      <c r="F52" s="150"/>
      <c r="G52" s="150"/>
      <c r="H52" s="150"/>
      <c r="I52" s="150"/>
      <c r="J52" s="150"/>
      <c r="K52" s="150"/>
      <c r="L52" s="150"/>
      <c r="M52" s="150"/>
      <c r="N52" s="150"/>
      <c r="O52" s="150"/>
      <c r="P52" s="150"/>
      <c r="Q52" s="150"/>
      <c r="R52" s="150"/>
      <c r="S52" s="150"/>
    </row>
    <row r="53" spans="1:20" s="87" customFormat="1" ht="15" customHeight="1">
      <c r="B53" s="149"/>
      <c r="C53" s="150"/>
      <c r="D53" s="150"/>
      <c r="E53" s="150"/>
      <c r="F53" s="150"/>
      <c r="G53" s="150"/>
      <c r="H53" s="150"/>
      <c r="I53" s="150"/>
      <c r="J53" s="150"/>
      <c r="K53" s="150"/>
      <c r="L53" s="150"/>
      <c r="M53" s="150"/>
      <c r="N53" s="150"/>
      <c r="O53" s="150"/>
      <c r="P53" s="150"/>
      <c r="Q53" s="150"/>
      <c r="R53" s="150"/>
      <c r="S53" s="150"/>
    </row>
    <row r="54" spans="1:20" s="87" customFormat="1" ht="15" customHeight="1">
      <c r="B54" s="149"/>
      <c r="C54" s="149" t="s">
        <v>1729</v>
      </c>
      <c r="D54" s="150"/>
      <c r="E54" s="150"/>
      <c r="F54" s="150"/>
      <c r="G54" s="150"/>
      <c r="H54" s="133" t="s">
        <v>490</v>
      </c>
      <c r="K54" s="2707" t="str">
        <f>DBCS(【マスター】!F22&amp;【マスター】!C23)</f>
        <v>愛知県豊川市大堀町２９３番地</v>
      </c>
      <c r="L54" s="2707"/>
      <c r="M54" s="2707"/>
      <c r="N54" s="2707"/>
      <c r="O54" s="2707"/>
      <c r="P54" s="2707"/>
      <c r="Q54" s="2707"/>
      <c r="R54" s="2707"/>
      <c r="S54" s="2707"/>
      <c r="T54" s="2707"/>
    </row>
    <row r="55" spans="1:20" s="87" customFormat="1" ht="15" customHeight="1">
      <c r="B55" s="149"/>
      <c r="C55" s="149"/>
      <c r="H55" s="133" t="s">
        <v>491</v>
      </c>
      <c r="K55" s="2708" t="str">
        <f>【マスター】!C21</f>
        <v>株式会社ケアサポート</v>
      </c>
      <c r="L55" s="2708"/>
      <c r="M55" s="2708"/>
      <c r="N55" s="2708"/>
      <c r="O55" s="2708"/>
      <c r="P55" s="2708"/>
      <c r="Q55" s="2708"/>
      <c r="R55" s="2708"/>
      <c r="S55" s="2708"/>
      <c r="T55" s="2708"/>
    </row>
    <row r="56" spans="1:20" s="87" customFormat="1" ht="15" customHeight="1">
      <c r="B56" s="149"/>
      <c r="C56" s="149"/>
      <c r="H56" s="133" t="s">
        <v>492</v>
      </c>
      <c r="K56" s="2709" t="str">
        <f>【マスター】!C25&amp;"　"&amp;【マスター】!I25</f>
        <v>代表取締役　本多康夫</v>
      </c>
      <c r="L56" s="2709"/>
      <c r="M56" s="2709"/>
      <c r="N56" s="2709"/>
      <c r="O56" s="2709"/>
      <c r="P56" s="2709"/>
      <c r="Q56" s="2709"/>
      <c r="R56" s="2709"/>
      <c r="S56" s="2709"/>
      <c r="T56" s="2709"/>
    </row>
    <row r="57" spans="1:20" s="87" customFormat="1" ht="15" customHeight="1">
      <c r="B57" s="149"/>
      <c r="C57" s="150"/>
      <c r="D57" s="150"/>
      <c r="E57" s="150"/>
      <c r="F57" s="150"/>
      <c r="G57" s="150"/>
      <c r="H57" s="150"/>
      <c r="I57" s="150"/>
      <c r="J57" s="150"/>
      <c r="K57" s="151"/>
      <c r="L57" s="151"/>
      <c r="M57" s="151"/>
      <c r="N57" s="151"/>
      <c r="O57" s="151"/>
      <c r="P57" s="151"/>
      <c r="Q57" s="151"/>
      <c r="R57" s="151"/>
      <c r="S57" s="151"/>
      <c r="T57" s="152"/>
    </row>
    <row r="58" spans="1:20" s="87" customFormat="1" ht="15" customHeight="1">
      <c r="B58" s="149"/>
      <c r="C58" s="149"/>
      <c r="D58" s="150"/>
      <c r="E58" s="150"/>
      <c r="F58" s="150"/>
      <c r="G58" s="150"/>
      <c r="H58" s="149" t="s">
        <v>78</v>
      </c>
      <c r="I58" s="150"/>
      <c r="J58" s="150"/>
      <c r="K58" s="2710" t="str">
        <f>【マスター】!C7&amp;【マスター】!E7</f>
        <v>デイサービスさつきの湯</v>
      </c>
      <c r="L58" s="2710"/>
      <c r="M58" s="2710"/>
      <c r="N58" s="2710"/>
      <c r="O58" s="2710"/>
      <c r="P58" s="2710"/>
      <c r="Q58" s="2710"/>
      <c r="R58" s="2710"/>
      <c r="S58" s="2710"/>
      <c r="T58" s="2710"/>
    </row>
    <row r="59" spans="1:20" s="87" customFormat="1" ht="15" customHeight="1">
      <c r="B59" s="149"/>
      <c r="C59" s="149"/>
    </row>
    <row r="60" spans="1:20" s="87" customFormat="1" ht="15" customHeight="1">
      <c r="B60" s="149"/>
      <c r="C60" s="149"/>
    </row>
    <row r="61" spans="1:20" ht="20.100000000000001" customHeight="1">
      <c r="A61" s="143"/>
    </row>
    <row r="62" spans="1:20" ht="20.100000000000001" customHeight="1">
      <c r="A62" s="143"/>
    </row>
    <row r="63" spans="1:20" ht="20.100000000000001" customHeight="1">
      <c r="A63" s="143"/>
    </row>
    <row r="64" spans="1:20"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sheetProtection selectLockedCells="1"/>
  <mergeCells count="18">
    <mergeCell ref="A2:T3"/>
    <mergeCell ref="B36:T37"/>
    <mergeCell ref="A9:T9"/>
    <mergeCell ref="A4:T5"/>
    <mergeCell ref="A6:T8"/>
    <mergeCell ref="B12:T13"/>
    <mergeCell ref="B14:T15"/>
    <mergeCell ref="B16:T18"/>
    <mergeCell ref="A20:T22"/>
    <mergeCell ref="B24:T25"/>
    <mergeCell ref="B27:T29"/>
    <mergeCell ref="B31:T32"/>
    <mergeCell ref="B33:T34"/>
    <mergeCell ref="B43:T44"/>
    <mergeCell ref="K54:T54"/>
    <mergeCell ref="K55:T55"/>
    <mergeCell ref="K56:T56"/>
    <mergeCell ref="K58:T58"/>
  </mergeCells>
  <phoneticPr fontId="17"/>
  <printOptions horizontalCentered="1" verticalCentered="1"/>
  <pageMargins left="0.59055118110236215" right="0.59055118110236215" top="0.59055118110236215" bottom="0.39370078740157483" header="0.31496062992125984" footer="0.19685039370078741"/>
  <pageSetup paperSize="9" scale="93" orientation="portrait" r:id="rId1"/>
  <headerFooter>
    <oddFooter>&amp;L【通所介護_BMC】</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O72"/>
  <sheetViews>
    <sheetView workbookViewId="0">
      <selection sqref="A1:AN3"/>
    </sheetView>
  </sheetViews>
  <sheetFormatPr defaultColWidth="2.375" defaultRowHeight="12" customHeight="1"/>
  <cols>
    <col min="1" max="16384" width="2.375" style="270"/>
  </cols>
  <sheetData>
    <row r="1" spans="1:40" ht="12" customHeight="1">
      <c r="A1" s="2759" t="s">
        <v>1730</v>
      </c>
      <c r="B1" s="2759"/>
      <c r="C1" s="2759"/>
      <c r="D1" s="2759"/>
      <c r="E1" s="2759"/>
      <c r="F1" s="2759"/>
      <c r="G1" s="2759"/>
      <c r="H1" s="2759"/>
      <c r="I1" s="2759"/>
      <c r="J1" s="2759"/>
      <c r="K1" s="2759"/>
      <c r="L1" s="2759"/>
      <c r="M1" s="2759"/>
      <c r="N1" s="2759"/>
      <c r="O1" s="2759"/>
      <c r="P1" s="2759"/>
      <c r="Q1" s="2759"/>
      <c r="R1" s="2759"/>
      <c r="S1" s="2759"/>
      <c r="T1" s="2759"/>
      <c r="U1" s="2759"/>
      <c r="V1" s="2759"/>
      <c r="W1" s="2759"/>
      <c r="X1" s="2759"/>
      <c r="Y1" s="2759"/>
      <c r="Z1" s="2759"/>
      <c r="AA1" s="2759"/>
      <c r="AB1" s="2759"/>
      <c r="AC1" s="2759"/>
      <c r="AD1" s="2759"/>
      <c r="AE1" s="2759"/>
      <c r="AF1" s="2759"/>
      <c r="AG1" s="2759"/>
      <c r="AH1" s="2759"/>
      <c r="AI1" s="2759"/>
      <c r="AJ1" s="2759"/>
      <c r="AK1" s="2759"/>
      <c r="AL1" s="2759"/>
      <c r="AM1" s="2759"/>
      <c r="AN1" s="2759"/>
    </row>
    <row r="2" spans="1:40" ht="12" customHeight="1">
      <c r="A2" s="2759"/>
      <c r="B2" s="2759"/>
      <c r="C2" s="2759"/>
      <c r="D2" s="2759"/>
      <c r="E2" s="2759"/>
      <c r="F2" s="2759"/>
      <c r="G2" s="2759"/>
      <c r="H2" s="2759"/>
      <c r="I2" s="2759"/>
      <c r="J2" s="2759"/>
      <c r="K2" s="2759"/>
      <c r="L2" s="2759"/>
      <c r="M2" s="2759"/>
      <c r="N2" s="2759"/>
      <c r="O2" s="2759"/>
      <c r="P2" s="2759"/>
      <c r="Q2" s="2759"/>
      <c r="R2" s="2759"/>
      <c r="S2" s="2759"/>
      <c r="T2" s="2759"/>
      <c r="U2" s="2759"/>
      <c r="V2" s="2759"/>
      <c r="W2" s="2759"/>
      <c r="X2" s="2759"/>
      <c r="Y2" s="2759"/>
      <c r="Z2" s="2759"/>
      <c r="AA2" s="2759"/>
      <c r="AB2" s="2759"/>
      <c r="AC2" s="2759"/>
      <c r="AD2" s="2759"/>
      <c r="AE2" s="2759"/>
      <c r="AF2" s="2759"/>
      <c r="AG2" s="2759"/>
      <c r="AH2" s="2759"/>
      <c r="AI2" s="2759"/>
      <c r="AJ2" s="2759"/>
      <c r="AK2" s="2759"/>
      <c r="AL2" s="2759"/>
      <c r="AM2" s="2759"/>
      <c r="AN2" s="2759"/>
    </row>
    <row r="3" spans="1:40" ht="8.25" customHeight="1">
      <c r="A3" s="2759"/>
      <c r="B3" s="2759"/>
      <c r="C3" s="2759"/>
      <c r="D3" s="2759"/>
      <c r="E3" s="2759"/>
      <c r="F3" s="2759"/>
      <c r="G3" s="2759"/>
      <c r="H3" s="2759"/>
      <c r="I3" s="2759"/>
      <c r="J3" s="2759"/>
      <c r="K3" s="2759"/>
      <c r="L3" s="2759"/>
      <c r="M3" s="2759"/>
      <c r="N3" s="2759"/>
      <c r="O3" s="2759"/>
      <c r="P3" s="2759"/>
      <c r="Q3" s="2759"/>
      <c r="R3" s="2759"/>
      <c r="S3" s="2759"/>
      <c r="T3" s="2759"/>
      <c r="U3" s="2759"/>
      <c r="V3" s="2759"/>
      <c r="W3" s="2759"/>
      <c r="X3" s="2759"/>
      <c r="Y3" s="2759"/>
      <c r="Z3" s="2759"/>
      <c r="AA3" s="2759"/>
      <c r="AB3" s="2759"/>
      <c r="AC3" s="2759"/>
      <c r="AD3" s="2759"/>
      <c r="AE3" s="2759"/>
      <c r="AF3" s="2759"/>
      <c r="AG3" s="2759"/>
      <c r="AH3" s="2759"/>
      <c r="AI3" s="2759"/>
      <c r="AJ3" s="2759"/>
      <c r="AK3" s="2759"/>
      <c r="AL3" s="2759"/>
      <c r="AM3" s="2759"/>
      <c r="AN3" s="2759"/>
    </row>
    <row r="4" spans="1:40" ht="8.25" customHeight="1">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0" ht="8.25" customHeight="1">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row>
    <row r="6" spans="1:40" ht="8.25" customHeight="1">
      <c r="A6" s="275"/>
      <c r="B6" s="275"/>
      <c r="C6" s="275"/>
      <c r="D6" s="275"/>
      <c r="E6" s="275"/>
      <c r="F6" s="275"/>
      <c r="G6" s="275"/>
      <c r="H6" s="275"/>
      <c r="I6" s="275"/>
      <c r="J6" s="275"/>
      <c r="K6" s="275"/>
      <c r="L6" s="275"/>
      <c r="M6" s="275"/>
      <c r="N6" s="275"/>
      <c r="O6" s="275"/>
      <c r="P6" s="275"/>
      <c r="Q6" s="275"/>
      <c r="R6" s="275"/>
      <c r="S6" s="275"/>
      <c r="T6" s="275"/>
      <c r="U6" s="275"/>
      <c r="V6" s="277"/>
      <c r="W6" s="2760"/>
      <c r="X6" s="2760"/>
      <c r="Y6" s="2760"/>
      <c r="Z6" s="2760"/>
      <c r="AA6" s="2760"/>
      <c r="AB6" s="2760" t="s">
        <v>1078</v>
      </c>
      <c r="AC6" s="2760"/>
      <c r="AD6" s="2760"/>
      <c r="AE6" s="2760"/>
      <c r="AF6" s="2760" t="s">
        <v>1731</v>
      </c>
      <c r="AG6" s="2760"/>
      <c r="AH6" s="2760"/>
      <c r="AI6" s="2760"/>
      <c r="AJ6" s="276"/>
      <c r="AK6" s="276"/>
      <c r="AL6" s="275"/>
      <c r="AM6" s="275"/>
      <c r="AN6" s="275"/>
    </row>
    <row r="7" spans="1:40" ht="12" customHeight="1">
      <c r="A7" s="275"/>
      <c r="B7" s="275"/>
      <c r="C7" s="275"/>
      <c r="D7" s="275"/>
      <c r="E7" s="275"/>
      <c r="F7" s="275"/>
      <c r="G7" s="275"/>
      <c r="H7" s="275"/>
      <c r="I7" s="275"/>
      <c r="J7" s="275"/>
      <c r="K7" s="275"/>
      <c r="L7" s="275"/>
      <c r="M7" s="275"/>
      <c r="N7" s="275"/>
      <c r="O7" s="275"/>
      <c r="P7" s="275"/>
      <c r="Q7" s="275"/>
      <c r="R7" s="275"/>
      <c r="S7" s="275"/>
      <c r="T7" s="275"/>
      <c r="U7" s="275"/>
      <c r="V7" s="277"/>
      <c r="W7" s="2761"/>
      <c r="X7" s="2761"/>
      <c r="Y7" s="2761"/>
      <c r="Z7" s="2761"/>
      <c r="AA7" s="2761"/>
      <c r="AB7" s="2761"/>
      <c r="AC7" s="2761"/>
      <c r="AD7" s="2761"/>
      <c r="AE7" s="2761"/>
      <c r="AF7" s="2761"/>
      <c r="AG7" s="2761"/>
      <c r="AH7" s="2761"/>
      <c r="AI7" s="2761"/>
      <c r="AJ7" s="276"/>
      <c r="AK7" s="276"/>
      <c r="AL7" s="275"/>
      <c r="AM7" s="275"/>
      <c r="AN7" s="274"/>
    </row>
    <row r="8" spans="1:40" ht="4.5" customHeight="1" thickBot="1"/>
    <row r="9" spans="1:40" ht="11.85" customHeight="1">
      <c r="A9" s="2720" t="s">
        <v>1732</v>
      </c>
      <c r="B9" s="2721"/>
      <c r="C9" s="2721"/>
      <c r="D9" s="2721" t="s">
        <v>1733</v>
      </c>
      <c r="E9" s="2721"/>
      <c r="F9" s="2721" t="s">
        <v>1734</v>
      </c>
      <c r="G9" s="2721"/>
      <c r="H9" s="2721"/>
      <c r="I9" s="2721"/>
      <c r="J9" s="2721"/>
      <c r="K9" s="2721" t="s">
        <v>1735</v>
      </c>
      <c r="L9" s="2721"/>
      <c r="M9" s="2721"/>
      <c r="N9" s="2721"/>
      <c r="O9" s="2721"/>
      <c r="P9" s="2721" t="s">
        <v>1736</v>
      </c>
      <c r="Q9" s="2721"/>
      <c r="R9" s="2721"/>
      <c r="S9" s="2721"/>
      <c r="T9" s="2721"/>
      <c r="U9" s="2721" t="s">
        <v>1737</v>
      </c>
      <c r="V9" s="2721"/>
      <c r="W9" s="2721"/>
      <c r="X9" s="2721"/>
      <c r="Y9" s="2721"/>
      <c r="Z9" s="2738" t="s">
        <v>1738</v>
      </c>
      <c r="AA9" s="2738"/>
      <c r="AB9" s="2738"/>
      <c r="AC9" s="2738"/>
      <c r="AD9" s="2738"/>
      <c r="AE9" s="2734" t="s">
        <v>1739</v>
      </c>
      <c r="AF9" s="2735"/>
      <c r="AG9" s="2735"/>
      <c r="AH9" s="2735"/>
      <c r="AI9" s="2735"/>
      <c r="AJ9" s="2734" t="s">
        <v>774</v>
      </c>
      <c r="AK9" s="2735"/>
      <c r="AL9" s="2735"/>
      <c r="AM9" s="2735"/>
      <c r="AN9" s="2764"/>
    </row>
    <row r="10" spans="1:40" ht="11.85" customHeight="1" thickBot="1">
      <c r="A10" s="2722"/>
      <c r="B10" s="2723"/>
      <c r="C10" s="2723"/>
      <c r="D10" s="2723"/>
      <c r="E10" s="2723"/>
      <c r="F10" s="2723"/>
      <c r="G10" s="2723"/>
      <c r="H10" s="2723"/>
      <c r="I10" s="2723"/>
      <c r="J10" s="2723"/>
      <c r="K10" s="2723"/>
      <c r="L10" s="2723"/>
      <c r="M10" s="2723"/>
      <c r="N10" s="2723"/>
      <c r="O10" s="2723"/>
      <c r="P10" s="2723"/>
      <c r="Q10" s="2723"/>
      <c r="R10" s="2723"/>
      <c r="S10" s="2723"/>
      <c r="T10" s="2723"/>
      <c r="U10" s="2723"/>
      <c r="V10" s="2723"/>
      <c r="W10" s="2723"/>
      <c r="X10" s="2723"/>
      <c r="Y10" s="2723"/>
      <c r="Z10" s="2739"/>
      <c r="AA10" s="2739"/>
      <c r="AB10" s="2739"/>
      <c r="AC10" s="2739"/>
      <c r="AD10" s="2739"/>
      <c r="AE10" s="2736"/>
      <c r="AF10" s="2737"/>
      <c r="AG10" s="2737"/>
      <c r="AH10" s="2737"/>
      <c r="AI10" s="2737"/>
      <c r="AJ10" s="2736"/>
      <c r="AK10" s="2737"/>
      <c r="AL10" s="2737"/>
      <c r="AM10" s="2737"/>
      <c r="AN10" s="2765"/>
    </row>
    <row r="11" spans="1:40" ht="11.85" customHeight="1" thickTop="1">
      <c r="A11" s="2724"/>
      <c r="B11" s="2725"/>
      <c r="C11" s="2725"/>
      <c r="D11" s="2725"/>
      <c r="E11" s="2725"/>
      <c r="F11" s="2730"/>
      <c r="G11" s="2728"/>
      <c r="H11" s="2728" t="s">
        <v>1740</v>
      </c>
      <c r="I11" s="2728"/>
      <c r="J11" s="2740"/>
      <c r="K11" s="2730"/>
      <c r="L11" s="2728"/>
      <c r="M11" s="2728" t="s">
        <v>1740</v>
      </c>
      <c r="N11" s="2728"/>
      <c r="O11" s="2740"/>
      <c r="P11" s="2732" t="s">
        <v>1741</v>
      </c>
      <c r="Q11" s="2732"/>
      <c r="R11" s="2732"/>
      <c r="S11" s="2732"/>
      <c r="T11" s="2732"/>
      <c r="U11" s="2732" t="s">
        <v>1741</v>
      </c>
      <c r="V11" s="2732"/>
      <c r="W11" s="2732"/>
      <c r="X11" s="2732"/>
      <c r="Y11" s="2732"/>
      <c r="Z11" s="2732" t="s">
        <v>1742</v>
      </c>
      <c r="AA11" s="2732"/>
      <c r="AB11" s="2732"/>
      <c r="AC11" s="2732"/>
      <c r="AD11" s="2732"/>
      <c r="AE11" s="2731"/>
      <c r="AF11" s="2729"/>
      <c r="AG11" s="2729"/>
      <c r="AH11" s="2729"/>
      <c r="AI11" s="2729"/>
      <c r="AJ11" s="2731"/>
      <c r="AK11" s="2729"/>
      <c r="AL11" s="2729"/>
      <c r="AM11" s="2729"/>
      <c r="AN11" s="2766"/>
    </row>
    <row r="12" spans="1:40" ht="11.85" customHeight="1">
      <c r="A12" s="2726"/>
      <c r="B12" s="2727"/>
      <c r="C12" s="2727"/>
      <c r="D12" s="2727"/>
      <c r="E12" s="2727"/>
      <c r="F12" s="2731"/>
      <c r="G12" s="2729"/>
      <c r="H12" s="2729"/>
      <c r="I12" s="2729"/>
      <c r="J12" s="2741"/>
      <c r="K12" s="2731"/>
      <c r="L12" s="2729"/>
      <c r="M12" s="2729"/>
      <c r="N12" s="2729"/>
      <c r="O12" s="2741"/>
      <c r="P12" s="2733"/>
      <c r="Q12" s="2733"/>
      <c r="R12" s="2733"/>
      <c r="S12" s="2733"/>
      <c r="T12" s="2733"/>
      <c r="U12" s="2733"/>
      <c r="V12" s="2733"/>
      <c r="W12" s="2733"/>
      <c r="X12" s="2733"/>
      <c r="Y12" s="2733"/>
      <c r="Z12" s="2733"/>
      <c r="AA12" s="2733"/>
      <c r="AB12" s="2733"/>
      <c r="AC12" s="2733"/>
      <c r="AD12" s="2733"/>
      <c r="AE12" s="2731"/>
      <c r="AF12" s="2729"/>
      <c r="AG12" s="2729"/>
      <c r="AH12" s="2729"/>
      <c r="AI12" s="2729"/>
      <c r="AJ12" s="2731"/>
      <c r="AK12" s="2729"/>
      <c r="AL12" s="2729"/>
      <c r="AM12" s="2729"/>
      <c r="AN12" s="2766"/>
    </row>
    <row r="13" spans="1:40" ht="11.85" customHeight="1">
      <c r="A13" s="2743"/>
      <c r="B13" s="2742"/>
      <c r="C13" s="2742"/>
      <c r="D13" s="2742"/>
      <c r="E13" s="2742"/>
      <c r="F13" s="2716"/>
      <c r="G13" s="2717"/>
      <c r="H13" s="2717" t="s">
        <v>1740</v>
      </c>
      <c r="I13" s="2717"/>
      <c r="J13" s="2744"/>
      <c r="K13" s="2716"/>
      <c r="L13" s="2717"/>
      <c r="M13" s="2717" t="s">
        <v>1740</v>
      </c>
      <c r="N13" s="2717"/>
      <c r="O13" s="2744"/>
      <c r="P13" s="2715" t="s">
        <v>1741</v>
      </c>
      <c r="Q13" s="2715"/>
      <c r="R13" s="2715"/>
      <c r="S13" s="2715"/>
      <c r="T13" s="2715"/>
      <c r="U13" s="2715" t="s">
        <v>1741</v>
      </c>
      <c r="V13" s="2715"/>
      <c r="W13" s="2715"/>
      <c r="X13" s="2715"/>
      <c r="Y13" s="2715"/>
      <c r="Z13" s="2715" t="s">
        <v>1742</v>
      </c>
      <c r="AA13" s="2715"/>
      <c r="AB13" s="2715"/>
      <c r="AC13" s="2715"/>
      <c r="AD13" s="2715"/>
      <c r="AE13" s="2716"/>
      <c r="AF13" s="2717"/>
      <c r="AG13" s="2717"/>
      <c r="AH13" s="2717"/>
      <c r="AI13" s="2717"/>
      <c r="AJ13" s="2748"/>
      <c r="AK13" s="2749"/>
      <c r="AL13" s="2749"/>
      <c r="AM13" s="2749"/>
      <c r="AN13" s="2750"/>
    </row>
    <row r="14" spans="1:40" ht="11.85" customHeight="1">
      <c r="A14" s="2743"/>
      <c r="B14" s="2742"/>
      <c r="C14" s="2742"/>
      <c r="D14" s="2742"/>
      <c r="E14" s="2742"/>
      <c r="F14" s="2718"/>
      <c r="G14" s="2719"/>
      <c r="H14" s="2719"/>
      <c r="I14" s="2719"/>
      <c r="J14" s="2745"/>
      <c r="K14" s="2718"/>
      <c r="L14" s="2719"/>
      <c r="M14" s="2719"/>
      <c r="N14" s="2719"/>
      <c r="O14" s="2745"/>
      <c r="P14" s="2715"/>
      <c r="Q14" s="2715"/>
      <c r="R14" s="2715"/>
      <c r="S14" s="2715"/>
      <c r="T14" s="2715"/>
      <c r="U14" s="2715"/>
      <c r="V14" s="2715"/>
      <c r="W14" s="2715"/>
      <c r="X14" s="2715"/>
      <c r="Y14" s="2715"/>
      <c r="Z14" s="2715"/>
      <c r="AA14" s="2715"/>
      <c r="AB14" s="2715"/>
      <c r="AC14" s="2715"/>
      <c r="AD14" s="2715"/>
      <c r="AE14" s="2718"/>
      <c r="AF14" s="2719"/>
      <c r="AG14" s="2719"/>
      <c r="AH14" s="2719"/>
      <c r="AI14" s="2719"/>
      <c r="AJ14" s="2748"/>
      <c r="AK14" s="2749"/>
      <c r="AL14" s="2749"/>
      <c r="AM14" s="2749"/>
      <c r="AN14" s="2750"/>
    </row>
    <row r="15" spans="1:40" ht="11.85" customHeight="1">
      <c r="A15" s="2743"/>
      <c r="B15" s="2742"/>
      <c r="C15" s="2742"/>
      <c r="D15" s="2742"/>
      <c r="E15" s="2742"/>
      <c r="F15" s="2716"/>
      <c r="G15" s="2717"/>
      <c r="H15" s="2717" t="s">
        <v>1740</v>
      </c>
      <c r="I15" s="2717"/>
      <c r="J15" s="2744"/>
      <c r="K15" s="2716"/>
      <c r="L15" s="2717"/>
      <c r="M15" s="2717" t="s">
        <v>1740</v>
      </c>
      <c r="N15" s="2717"/>
      <c r="O15" s="2744"/>
      <c r="P15" s="2715" t="s">
        <v>1741</v>
      </c>
      <c r="Q15" s="2715"/>
      <c r="R15" s="2715"/>
      <c r="S15" s="2715"/>
      <c r="T15" s="2715"/>
      <c r="U15" s="2715" t="s">
        <v>1741</v>
      </c>
      <c r="V15" s="2715"/>
      <c r="W15" s="2715"/>
      <c r="X15" s="2715"/>
      <c r="Y15" s="2715"/>
      <c r="Z15" s="2715" t="s">
        <v>1742</v>
      </c>
      <c r="AA15" s="2715"/>
      <c r="AB15" s="2715"/>
      <c r="AC15" s="2715"/>
      <c r="AD15" s="2715"/>
      <c r="AE15" s="2716"/>
      <c r="AF15" s="2717"/>
      <c r="AG15" s="2717"/>
      <c r="AH15" s="2717"/>
      <c r="AI15" s="2717"/>
      <c r="AJ15" s="2748"/>
      <c r="AK15" s="2749"/>
      <c r="AL15" s="2749"/>
      <c r="AM15" s="2749"/>
      <c r="AN15" s="2750"/>
    </row>
    <row r="16" spans="1:40" ht="11.85" customHeight="1">
      <c r="A16" s="2743"/>
      <c r="B16" s="2742"/>
      <c r="C16" s="2742"/>
      <c r="D16" s="2742"/>
      <c r="E16" s="2742"/>
      <c r="F16" s="2731"/>
      <c r="G16" s="2729"/>
      <c r="H16" s="2729"/>
      <c r="I16" s="2729"/>
      <c r="J16" s="2741"/>
      <c r="K16" s="2731"/>
      <c r="L16" s="2729"/>
      <c r="M16" s="2729"/>
      <c r="N16" s="2729"/>
      <c r="O16" s="2741"/>
      <c r="P16" s="2715"/>
      <c r="Q16" s="2715"/>
      <c r="R16" s="2715"/>
      <c r="S16" s="2715"/>
      <c r="T16" s="2715"/>
      <c r="U16" s="2715"/>
      <c r="V16" s="2715"/>
      <c r="W16" s="2715"/>
      <c r="X16" s="2715"/>
      <c r="Y16" s="2715"/>
      <c r="Z16" s="2715"/>
      <c r="AA16" s="2715"/>
      <c r="AB16" s="2715"/>
      <c r="AC16" s="2715"/>
      <c r="AD16" s="2715"/>
      <c r="AE16" s="2718"/>
      <c r="AF16" s="2719"/>
      <c r="AG16" s="2719"/>
      <c r="AH16" s="2719"/>
      <c r="AI16" s="2719"/>
      <c r="AJ16" s="2748"/>
      <c r="AK16" s="2749"/>
      <c r="AL16" s="2749"/>
      <c r="AM16" s="2749"/>
      <c r="AN16" s="2750"/>
    </row>
    <row r="17" spans="1:40" ht="11.85" customHeight="1">
      <c r="A17" s="2724"/>
      <c r="B17" s="2725"/>
      <c r="C17" s="2725"/>
      <c r="D17" s="2725"/>
      <c r="E17" s="2725"/>
      <c r="F17" s="2716"/>
      <c r="G17" s="2717"/>
      <c r="H17" s="2717" t="s">
        <v>1740</v>
      </c>
      <c r="I17" s="2717"/>
      <c r="J17" s="2744"/>
      <c r="K17" s="2716"/>
      <c r="L17" s="2717"/>
      <c r="M17" s="2717" t="s">
        <v>1740</v>
      </c>
      <c r="N17" s="2717"/>
      <c r="O17" s="2744"/>
      <c r="P17" s="2732" t="s">
        <v>1741</v>
      </c>
      <c r="Q17" s="2732"/>
      <c r="R17" s="2732"/>
      <c r="S17" s="2732"/>
      <c r="T17" s="2732"/>
      <c r="U17" s="2732" t="s">
        <v>1741</v>
      </c>
      <c r="V17" s="2732"/>
      <c r="W17" s="2732"/>
      <c r="X17" s="2732"/>
      <c r="Y17" s="2732"/>
      <c r="Z17" s="2732" t="s">
        <v>1742</v>
      </c>
      <c r="AA17" s="2732"/>
      <c r="AB17" s="2732"/>
      <c r="AC17" s="2732"/>
      <c r="AD17" s="2732"/>
      <c r="AE17" s="2731"/>
      <c r="AF17" s="2729"/>
      <c r="AG17" s="2729"/>
      <c r="AH17" s="2729"/>
      <c r="AI17" s="2729"/>
      <c r="AJ17" s="2748"/>
      <c r="AK17" s="2749"/>
      <c r="AL17" s="2749"/>
      <c r="AM17" s="2749"/>
      <c r="AN17" s="2750"/>
    </row>
    <row r="18" spans="1:40" ht="11.85" customHeight="1">
      <c r="A18" s="2726"/>
      <c r="B18" s="2727"/>
      <c r="C18" s="2727"/>
      <c r="D18" s="2727"/>
      <c r="E18" s="2727"/>
      <c r="F18" s="2718"/>
      <c r="G18" s="2719"/>
      <c r="H18" s="2719"/>
      <c r="I18" s="2719"/>
      <c r="J18" s="2745"/>
      <c r="K18" s="2718"/>
      <c r="L18" s="2719"/>
      <c r="M18" s="2719"/>
      <c r="N18" s="2719"/>
      <c r="O18" s="2745"/>
      <c r="P18" s="2733"/>
      <c r="Q18" s="2733"/>
      <c r="R18" s="2733"/>
      <c r="S18" s="2733"/>
      <c r="T18" s="2733"/>
      <c r="U18" s="2733"/>
      <c r="V18" s="2733"/>
      <c r="W18" s="2733"/>
      <c r="X18" s="2733"/>
      <c r="Y18" s="2733"/>
      <c r="Z18" s="2733"/>
      <c r="AA18" s="2733"/>
      <c r="AB18" s="2733"/>
      <c r="AC18" s="2733"/>
      <c r="AD18" s="2733"/>
      <c r="AE18" s="2731"/>
      <c r="AF18" s="2729"/>
      <c r="AG18" s="2729"/>
      <c r="AH18" s="2729"/>
      <c r="AI18" s="2729"/>
      <c r="AJ18" s="2748"/>
      <c r="AK18" s="2749"/>
      <c r="AL18" s="2749"/>
      <c r="AM18" s="2749"/>
      <c r="AN18" s="2750"/>
    </row>
    <row r="19" spans="1:40" ht="11.85" customHeight="1">
      <c r="A19" s="2743"/>
      <c r="B19" s="2742"/>
      <c r="C19" s="2742"/>
      <c r="D19" s="2742"/>
      <c r="E19" s="2742"/>
      <c r="F19" s="2716"/>
      <c r="G19" s="2717"/>
      <c r="H19" s="2717" t="s">
        <v>1740</v>
      </c>
      <c r="I19" s="2717"/>
      <c r="J19" s="2744"/>
      <c r="K19" s="2716"/>
      <c r="L19" s="2717"/>
      <c r="M19" s="2717" t="s">
        <v>1740</v>
      </c>
      <c r="N19" s="2717"/>
      <c r="O19" s="2744"/>
      <c r="P19" s="2715" t="s">
        <v>1741</v>
      </c>
      <c r="Q19" s="2715"/>
      <c r="R19" s="2715"/>
      <c r="S19" s="2715"/>
      <c r="T19" s="2715"/>
      <c r="U19" s="2715" t="s">
        <v>1741</v>
      </c>
      <c r="V19" s="2715"/>
      <c r="W19" s="2715"/>
      <c r="X19" s="2715"/>
      <c r="Y19" s="2715"/>
      <c r="Z19" s="2715" t="s">
        <v>1742</v>
      </c>
      <c r="AA19" s="2715"/>
      <c r="AB19" s="2715"/>
      <c r="AC19" s="2715"/>
      <c r="AD19" s="2715"/>
      <c r="AE19" s="2716"/>
      <c r="AF19" s="2717"/>
      <c r="AG19" s="2717"/>
      <c r="AH19" s="2717"/>
      <c r="AI19" s="2717"/>
      <c r="AJ19" s="2748"/>
      <c r="AK19" s="2749"/>
      <c r="AL19" s="2749"/>
      <c r="AM19" s="2749"/>
      <c r="AN19" s="2750"/>
    </row>
    <row r="20" spans="1:40" ht="11.85" customHeight="1">
      <c r="A20" s="2743"/>
      <c r="B20" s="2742"/>
      <c r="C20" s="2742"/>
      <c r="D20" s="2742"/>
      <c r="E20" s="2742"/>
      <c r="F20" s="2718"/>
      <c r="G20" s="2719"/>
      <c r="H20" s="2719"/>
      <c r="I20" s="2719"/>
      <c r="J20" s="2745"/>
      <c r="K20" s="2718"/>
      <c r="L20" s="2719"/>
      <c r="M20" s="2719"/>
      <c r="N20" s="2719"/>
      <c r="O20" s="2745"/>
      <c r="P20" s="2715"/>
      <c r="Q20" s="2715"/>
      <c r="R20" s="2715"/>
      <c r="S20" s="2715"/>
      <c r="T20" s="2715"/>
      <c r="U20" s="2715"/>
      <c r="V20" s="2715"/>
      <c r="W20" s="2715"/>
      <c r="X20" s="2715"/>
      <c r="Y20" s="2715"/>
      <c r="Z20" s="2715"/>
      <c r="AA20" s="2715"/>
      <c r="AB20" s="2715"/>
      <c r="AC20" s="2715"/>
      <c r="AD20" s="2715"/>
      <c r="AE20" s="2718"/>
      <c r="AF20" s="2719"/>
      <c r="AG20" s="2719"/>
      <c r="AH20" s="2719"/>
      <c r="AI20" s="2719"/>
      <c r="AJ20" s="2748"/>
      <c r="AK20" s="2749"/>
      <c r="AL20" s="2749"/>
      <c r="AM20" s="2749"/>
      <c r="AN20" s="2750"/>
    </row>
    <row r="21" spans="1:40" ht="11.85" customHeight="1">
      <c r="A21" s="2743"/>
      <c r="B21" s="2742"/>
      <c r="C21" s="2742"/>
      <c r="D21" s="2742"/>
      <c r="E21" s="2742"/>
      <c r="F21" s="2716"/>
      <c r="G21" s="2717"/>
      <c r="H21" s="2717" t="s">
        <v>1740</v>
      </c>
      <c r="I21" s="2717"/>
      <c r="J21" s="2744"/>
      <c r="K21" s="2716"/>
      <c r="L21" s="2717"/>
      <c r="M21" s="2717" t="s">
        <v>1740</v>
      </c>
      <c r="N21" s="2717"/>
      <c r="O21" s="2744"/>
      <c r="P21" s="2715" t="s">
        <v>1741</v>
      </c>
      <c r="Q21" s="2715"/>
      <c r="R21" s="2715"/>
      <c r="S21" s="2715"/>
      <c r="T21" s="2715"/>
      <c r="U21" s="2715" t="s">
        <v>1741</v>
      </c>
      <c r="V21" s="2715"/>
      <c r="W21" s="2715"/>
      <c r="X21" s="2715"/>
      <c r="Y21" s="2715"/>
      <c r="Z21" s="2715" t="s">
        <v>1742</v>
      </c>
      <c r="AA21" s="2715"/>
      <c r="AB21" s="2715"/>
      <c r="AC21" s="2715"/>
      <c r="AD21" s="2715"/>
      <c r="AE21" s="2716"/>
      <c r="AF21" s="2717"/>
      <c r="AG21" s="2717"/>
      <c r="AH21" s="2717"/>
      <c r="AI21" s="2717"/>
      <c r="AJ21" s="2748"/>
      <c r="AK21" s="2749"/>
      <c r="AL21" s="2749"/>
      <c r="AM21" s="2749"/>
      <c r="AN21" s="2750"/>
    </row>
    <row r="22" spans="1:40" ht="11.85" customHeight="1">
      <c r="A22" s="2743"/>
      <c r="B22" s="2742"/>
      <c r="C22" s="2742"/>
      <c r="D22" s="2742"/>
      <c r="E22" s="2742"/>
      <c r="F22" s="2731"/>
      <c r="G22" s="2729"/>
      <c r="H22" s="2729"/>
      <c r="I22" s="2729"/>
      <c r="J22" s="2741"/>
      <c r="K22" s="2731"/>
      <c r="L22" s="2729"/>
      <c r="M22" s="2729"/>
      <c r="N22" s="2729"/>
      <c r="O22" s="2741"/>
      <c r="P22" s="2715"/>
      <c r="Q22" s="2715"/>
      <c r="R22" s="2715"/>
      <c r="S22" s="2715"/>
      <c r="T22" s="2715"/>
      <c r="U22" s="2715"/>
      <c r="V22" s="2715"/>
      <c r="W22" s="2715"/>
      <c r="X22" s="2715"/>
      <c r="Y22" s="2715"/>
      <c r="Z22" s="2715"/>
      <c r="AA22" s="2715"/>
      <c r="AB22" s="2715"/>
      <c r="AC22" s="2715"/>
      <c r="AD22" s="2715"/>
      <c r="AE22" s="2718"/>
      <c r="AF22" s="2719"/>
      <c r="AG22" s="2719"/>
      <c r="AH22" s="2719"/>
      <c r="AI22" s="2719"/>
      <c r="AJ22" s="2748"/>
      <c r="AK22" s="2749"/>
      <c r="AL22" s="2749"/>
      <c r="AM22" s="2749"/>
      <c r="AN22" s="2750"/>
    </row>
    <row r="23" spans="1:40" ht="11.85" customHeight="1">
      <c r="A23" s="2724"/>
      <c r="B23" s="2725"/>
      <c r="C23" s="2725"/>
      <c r="D23" s="2725"/>
      <c r="E23" s="2725"/>
      <c r="F23" s="2716"/>
      <c r="G23" s="2717"/>
      <c r="H23" s="2717" t="s">
        <v>1740</v>
      </c>
      <c r="I23" s="2717"/>
      <c r="J23" s="2744"/>
      <c r="K23" s="2716"/>
      <c r="L23" s="2717"/>
      <c r="M23" s="2717" t="s">
        <v>1740</v>
      </c>
      <c r="N23" s="2717"/>
      <c r="O23" s="2744"/>
      <c r="P23" s="2732" t="s">
        <v>1741</v>
      </c>
      <c r="Q23" s="2732"/>
      <c r="R23" s="2732"/>
      <c r="S23" s="2732"/>
      <c r="T23" s="2732"/>
      <c r="U23" s="2732" t="s">
        <v>1741</v>
      </c>
      <c r="V23" s="2732"/>
      <c r="W23" s="2732"/>
      <c r="X23" s="2732"/>
      <c r="Y23" s="2732"/>
      <c r="Z23" s="2732" t="s">
        <v>1742</v>
      </c>
      <c r="AA23" s="2732"/>
      <c r="AB23" s="2732"/>
      <c r="AC23" s="2732"/>
      <c r="AD23" s="2732"/>
      <c r="AE23" s="2731"/>
      <c r="AF23" s="2729"/>
      <c r="AG23" s="2729"/>
      <c r="AH23" s="2729"/>
      <c r="AI23" s="2729"/>
      <c r="AJ23" s="2748"/>
      <c r="AK23" s="2749"/>
      <c r="AL23" s="2749"/>
      <c r="AM23" s="2749"/>
      <c r="AN23" s="2750"/>
    </row>
    <row r="24" spans="1:40" ht="11.85" customHeight="1">
      <c r="A24" s="2726"/>
      <c r="B24" s="2727"/>
      <c r="C24" s="2727"/>
      <c r="D24" s="2727"/>
      <c r="E24" s="2727"/>
      <c r="F24" s="2731"/>
      <c r="G24" s="2729"/>
      <c r="H24" s="2729"/>
      <c r="I24" s="2729"/>
      <c r="J24" s="2741"/>
      <c r="K24" s="2731"/>
      <c r="L24" s="2729"/>
      <c r="M24" s="2729"/>
      <c r="N24" s="2729"/>
      <c r="O24" s="2741"/>
      <c r="P24" s="2733"/>
      <c r="Q24" s="2733"/>
      <c r="R24" s="2733"/>
      <c r="S24" s="2733"/>
      <c r="T24" s="2733"/>
      <c r="U24" s="2733"/>
      <c r="V24" s="2733"/>
      <c r="W24" s="2733"/>
      <c r="X24" s="2733"/>
      <c r="Y24" s="2733"/>
      <c r="Z24" s="2733"/>
      <c r="AA24" s="2733"/>
      <c r="AB24" s="2733"/>
      <c r="AC24" s="2733"/>
      <c r="AD24" s="2733"/>
      <c r="AE24" s="2731"/>
      <c r="AF24" s="2729"/>
      <c r="AG24" s="2729"/>
      <c r="AH24" s="2729"/>
      <c r="AI24" s="2729"/>
      <c r="AJ24" s="2748"/>
      <c r="AK24" s="2749"/>
      <c r="AL24" s="2749"/>
      <c r="AM24" s="2749"/>
      <c r="AN24" s="2750"/>
    </row>
    <row r="25" spans="1:40" ht="11.85" customHeight="1">
      <c r="A25" s="2743"/>
      <c r="B25" s="2742"/>
      <c r="C25" s="2742"/>
      <c r="D25" s="2742"/>
      <c r="E25" s="2742"/>
      <c r="F25" s="2716"/>
      <c r="G25" s="2717"/>
      <c r="H25" s="2717" t="s">
        <v>1740</v>
      </c>
      <c r="I25" s="2717"/>
      <c r="J25" s="2744"/>
      <c r="K25" s="2716"/>
      <c r="L25" s="2717"/>
      <c r="M25" s="2717" t="s">
        <v>1740</v>
      </c>
      <c r="N25" s="2717"/>
      <c r="O25" s="2744"/>
      <c r="P25" s="2715" t="s">
        <v>1741</v>
      </c>
      <c r="Q25" s="2715"/>
      <c r="R25" s="2715"/>
      <c r="S25" s="2715"/>
      <c r="T25" s="2715"/>
      <c r="U25" s="2715" t="s">
        <v>1741</v>
      </c>
      <c r="V25" s="2715"/>
      <c r="W25" s="2715"/>
      <c r="X25" s="2715"/>
      <c r="Y25" s="2715"/>
      <c r="Z25" s="2715" t="s">
        <v>1742</v>
      </c>
      <c r="AA25" s="2715"/>
      <c r="AB25" s="2715"/>
      <c r="AC25" s="2715"/>
      <c r="AD25" s="2715"/>
      <c r="AE25" s="2716"/>
      <c r="AF25" s="2717"/>
      <c r="AG25" s="2717"/>
      <c r="AH25" s="2717"/>
      <c r="AI25" s="2717"/>
      <c r="AJ25" s="2748"/>
      <c r="AK25" s="2749"/>
      <c r="AL25" s="2749"/>
      <c r="AM25" s="2749"/>
      <c r="AN25" s="2750"/>
    </row>
    <row r="26" spans="1:40" ht="11.85" customHeight="1">
      <c r="A26" s="2743"/>
      <c r="B26" s="2742"/>
      <c r="C26" s="2742"/>
      <c r="D26" s="2742"/>
      <c r="E26" s="2742"/>
      <c r="F26" s="2718"/>
      <c r="G26" s="2719"/>
      <c r="H26" s="2719"/>
      <c r="I26" s="2719"/>
      <c r="J26" s="2745"/>
      <c r="K26" s="2718"/>
      <c r="L26" s="2719"/>
      <c r="M26" s="2719"/>
      <c r="N26" s="2719"/>
      <c r="O26" s="2745"/>
      <c r="P26" s="2715"/>
      <c r="Q26" s="2715"/>
      <c r="R26" s="2715"/>
      <c r="S26" s="2715"/>
      <c r="T26" s="2715"/>
      <c r="U26" s="2715"/>
      <c r="V26" s="2715"/>
      <c r="W26" s="2715"/>
      <c r="X26" s="2715"/>
      <c r="Y26" s="2715"/>
      <c r="Z26" s="2715"/>
      <c r="AA26" s="2715"/>
      <c r="AB26" s="2715"/>
      <c r="AC26" s="2715"/>
      <c r="AD26" s="2715"/>
      <c r="AE26" s="2718"/>
      <c r="AF26" s="2719"/>
      <c r="AG26" s="2719"/>
      <c r="AH26" s="2719"/>
      <c r="AI26" s="2719"/>
      <c r="AJ26" s="2748"/>
      <c r="AK26" s="2749"/>
      <c r="AL26" s="2749"/>
      <c r="AM26" s="2749"/>
      <c r="AN26" s="2750"/>
    </row>
    <row r="27" spans="1:40" ht="11.85" customHeight="1">
      <c r="A27" s="2743"/>
      <c r="B27" s="2742"/>
      <c r="C27" s="2742"/>
      <c r="D27" s="2742"/>
      <c r="E27" s="2742"/>
      <c r="F27" s="2716"/>
      <c r="G27" s="2717"/>
      <c r="H27" s="2717" t="s">
        <v>1740</v>
      </c>
      <c r="I27" s="2717"/>
      <c r="J27" s="2744"/>
      <c r="K27" s="2716"/>
      <c r="L27" s="2717"/>
      <c r="M27" s="2717" t="s">
        <v>1740</v>
      </c>
      <c r="N27" s="2717"/>
      <c r="O27" s="2744"/>
      <c r="P27" s="2715" t="s">
        <v>1741</v>
      </c>
      <c r="Q27" s="2715"/>
      <c r="R27" s="2715"/>
      <c r="S27" s="2715"/>
      <c r="T27" s="2715"/>
      <c r="U27" s="2715" t="s">
        <v>1741</v>
      </c>
      <c r="V27" s="2715"/>
      <c r="W27" s="2715"/>
      <c r="X27" s="2715"/>
      <c r="Y27" s="2715"/>
      <c r="Z27" s="2715" t="s">
        <v>1742</v>
      </c>
      <c r="AA27" s="2715"/>
      <c r="AB27" s="2715"/>
      <c r="AC27" s="2715"/>
      <c r="AD27" s="2715"/>
      <c r="AE27" s="2716"/>
      <c r="AF27" s="2717"/>
      <c r="AG27" s="2717"/>
      <c r="AH27" s="2717"/>
      <c r="AI27" s="2717"/>
      <c r="AJ27" s="2748"/>
      <c r="AK27" s="2749"/>
      <c r="AL27" s="2749"/>
      <c r="AM27" s="2749"/>
      <c r="AN27" s="2750"/>
    </row>
    <row r="28" spans="1:40" ht="11.85" customHeight="1">
      <c r="A28" s="2743"/>
      <c r="B28" s="2742"/>
      <c r="C28" s="2742"/>
      <c r="D28" s="2742"/>
      <c r="E28" s="2742"/>
      <c r="F28" s="2718"/>
      <c r="G28" s="2719"/>
      <c r="H28" s="2719"/>
      <c r="I28" s="2719"/>
      <c r="J28" s="2745"/>
      <c r="K28" s="2718"/>
      <c r="L28" s="2719"/>
      <c r="M28" s="2719"/>
      <c r="N28" s="2719"/>
      <c r="O28" s="2745"/>
      <c r="P28" s="2715"/>
      <c r="Q28" s="2715"/>
      <c r="R28" s="2715"/>
      <c r="S28" s="2715"/>
      <c r="T28" s="2715"/>
      <c r="U28" s="2715"/>
      <c r="V28" s="2715"/>
      <c r="W28" s="2715"/>
      <c r="X28" s="2715"/>
      <c r="Y28" s="2715"/>
      <c r="Z28" s="2715"/>
      <c r="AA28" s="2715"/>
      <c r="AB28" s="2715"/>
      <c r="AC28" s="2715"/>
      <c r="AD28" s="2715"/>
      <c r="AE28" s="2718"/>
      <c r="AF28" s="2719"/>
      <c r="AG28" s="2719"/>
      <c r="AH28" s="2719"/>
      <c r="AI28" s="2719"/>
      <c r="AJ28" s="2748"/>
      <c r="AK28" s="2749"/>
      <c r="AL28" s="2749"/>
      <c r="AM28" s="2749"/>
      <c r="AN28" s="2750"/>
    </row>
    <row r="29" spans="1:40" ht="11.85" customHeight="1">
      <c r="A29" s="2724"/>
      <c r="B29" s="2725"/>
      <c r="C29" s="2725"/>
      <c r="D29" s="2725"/>
      <c r="E29" s="2725"/>
      <c r="F29" s="2731"/>
      <c r="G29" s="2729"/>
      <c r="H29" s="2729" t="s">
        <v>1740</v>
      </c>
      <c r="I29" s="2729"/>
      <c r="J29" s="2741"/>
      <c r="K29" s="2731"/>
      <c r="L29" s="2729"/>
      <c r="M29" s="2729" t="s">
        <v>1740</v>
      </c>
      <c r="N29" s="2729"/>
      <c r="O29" s="2741"/>
      <c r="P29" s="2732" t="s">
        <v>1741</v>
      </c>
      <c r="Q29" s="2732"/>
      <c r="R29" s="2732"/>
      <c r="S29" s="2732"/>
      <c r="T29" s="2732"/>
      <c r="U29" s="2732" t="s">
        <v>1741</v>
      </c>
      <c r="V29" s="2732"/>
      <c r="W29" s="2732"/>
      <c r="X29" s="2732"/>
      <c r="Y29" s="2732"/>
      <c r="Z29" s="2732" t="s">
        <v>1742</v>
      </c>
      <c r="AA29" s="2732"/>
      <c r="AB29" s="2732"/>
      <c r="AC29" s="2732"/>
      <c r="AD29" s="2732"/>
      <c r="AE29" s="2731"/>
      <c r="AF29" s="2729"/>
      <c r="AG29" s="2729"/>
      <c r="AH29" s="2729"/>
      <c r="AI29" s="2729"/>
      <c r="AJ29" s="2748"/>
      <c r="AK29" s="2749"/>
      <c r="AL29" s="2749"/>
      <c r="AM29" s="2749"/>
      <c r="AN29" s="2750"/>
    </row>
    <row r="30" spans="1:40" ht="11.85" customHeight="1">
      <c r="A30" s="2726"/>
      <c r="B30" s="2727"/>
      <c r="C30" s="2727"/>
      <c r="D30" s="2727"/>
      <c r="E30" s="2727"/>
      <c r="F30" s="2731"/>
      <c r="G30" s="2729"/>
      <c r="H30" s="2729"/>
      <c r="I30" s="2729"/>
      <c r="J30" s="2741"/>
      <c r="K30" s="2731"/>
      <c r="L30" s="2729"/>
      <c r="M30" s="2729"/>
      <c r="N30" s="2729"/>
      <c r="O30" s="2741"/>
      <c r="P30" s="2733"/>
      <c r="Q30" s="2733"/>
      <c r="R30" s="2733"/>
      <c r="S30" s="2733"/>
      <c r="T30" s="2733"/>
      <c r="U30" s="2733"/>
      <c r="V30" s="2733"/>
      <c r="W30" s="2733"/>
      <c r="X30" s="2733"/>
      <c r="Y30" s="2733"/>
      <c r="Z30" s="2733"/>
      <c r="AA30" s="2733"/>
      <c r="AB30" s="2733"/>
      <c r="AC30" s="2733"/>
      <c r="AD30" s="2733"/>
      <c r="AE30" s="2731"/>
      <c r="AF30" s="2729"/>
      <c r="AG30" s="2729"/>
      <c r="AH30" s="2729"/>
      <c r="AI30" s="2729"/>
      <c r="AJ30" s="2748"/>
      <c r="AK30" s="2749"/>
      <c r="AL30" s="2749"/>
      <c r="AM30" s="2749"/>
      <c r="AN30" s="2750"/>
    </row>
    <row r="31" spans="1:40" ht="11.85" customHeight="1">
      <c r="A31" s="2743"/>
      <c r="B31" s="2742"/>
      <c r="C31" s="2742"/>
      <c r="D31" s="2742"/>
      <c r="E31" s="2742"/>
      <c r="F31" s="2716"/>
      <c r="G31" s="2717"/>
      <c r="H31" s="2717" t="s">
        <v>1740</v>
      </c>
      <c r="I31" s="2717"/>
      <c r="J31" s="2744"/>
      <c r="K31" s="2716"/>
      <c r="L31" s="2717"/>
      <c r="M31" s="2717" t="s">
        <v>1740</v>
      </c>
      <c r="N31" s="2717"/>
      <c r="O31" s="2744"/>
      <c r="P31" s="2715" t="s">
        <v>1741</v>
      </c>
      <c r="Q31" s="2715"/>
      <c r="R31" s="2715"/>
      <c r="S31" s="2715"/>
      <c r="T31" s="2715"/>
      <c r="U31" s="2715" t="s">
        <v>1741</v>
      </c>
      <c r="V31" s="2715"/>
      <c r="W31" s="2715"/>
      <c r="X31" s="2715"/>
      <c r="Y31" s="2715"/>
      <c r="Z31" s="2715" t="s">
        <v>1742</v>
      </c>
      <c r="AA31" s="2715"/>
      <c r="AB31" s="2715"/>
      <c r="AC31" s="2715"/>
      <c r="AD31" s="2715"/>
      <c r="AE31" s="2716"/>
      <c r="AF31" s="2717"/>
      <c r="AG31" s="2717"/>
      <c r="AH31" s="2717"/>
      <c r="AI31" s="2717"/>
      <c r="AJ31" s="2748"/>
      <c r="AK31" s="2749"/>
      <c r="AL31" s="2749"/>
      <c r="AM31" s="2749"/>
      <c r="AN31" s="2750"/>
    </row>
    <row r="32" spans="1:40" ht="11.85" customHeight="1">
      <c r="A32" s="2743"/>
      <c r="B32" s="2742"/>
      <c r="C32" s="2742"/>
      <c r="D32" s="2742"/>
      <c r="E32" s="2742"/>
      <c r="F32" s="2718"/>
      <c r="G32" s="2719"/>
      <c r="H32" s="2719"/>
      <c r="I32" s="2719"/>
      <c r="J32" s="2745"/>
      <c r="K32" s="2718"/>
      <c r="L32" s="2719"/>
      <c r="M32" s="2719"/>
      <c r="N32" s="2719"/>
      <c r="O32" s="2745"/>
      <c r="P32" s="2715"/>
      <c r="Q32" s="2715"/>
      <c r="R32" s="2715"/>
      <c r="S32" s="2715"/>
      <c r="T32" s="2715"/>
      <c r="U32" s="2715"/>
      <c r="V32" s="2715"/>
      <c r="W32" s="2715"/>
      <c r="X32" s="2715"/>
      <c r="Y32" s="2715"/>
      <c r="Z32" s="2715"/>
      <c r="AA32" s="2715"/>
      <c r="AB32" s="2715"/>
      <c r="AC32" s="2715"/>
      <c r="AD32" s="2715"/>
      <c r="AE32" s="2718"/>
      <c r="AF32" s="2719"/>
      <c r="AG32" s="2719"/>
      <c r="AH32" s="2719"/>
      <c r="AI32" s="2719"/>
      <c r="AJ32" s="2748"/>
      <c r="AK32" s="2749"/>
      <c r="AL32" s="2749"/>
      <c r="AM32" s="2749"/>
      <c r="AN32" s="2750"/>
    </row>
    <row r="33" spans="1:40" ht="11.85" customHeight="1">
      <c r="A33" s="2743"/>
      <c r="B33" s="2742"/>
      <c r="C33" s="2742"/>
      <c r="D33" s="2742"/>
      <c r="E33" s="2742"/>
      <c r="F33" s="2716"/>
      <c r="G33" s="2717"/>
      <c r="H33" s="2717" t="s">
        <v>1740</v>
      </c>
      <c r="I33" s="2717"/>
      <c r="J33" s="2744"/>
      <c r="K33" s="2716"/>
      <c r="L33" s="2717"/>
      <c r="M33" s="2717" t="s">
        <v>1740</v>
      </c>
      <c r="N33" s="2717"/>
      <c r="O33" s="2744"/>
      <c r="P33" s="2715" t="s">
        <v>1741</v>
      </c>
      <c r="Q33" s="2715"/>
      <c r="R33" s="2715"/>
      <c r="S33" s="2715"/>
      <c r="T33" s="2715"/>
      <c r="U33" s="2715" t="s">
        <v>1741</v>
      </c>
      <c r="V33" s="2715"/>
      <c r="W33" s="2715"/>
      <c r="X33" s="2715"/>
      <c r="Y33" s="2715"/>
      <c r="Z33" s="2715" t="s">
        <v>1742</v>
      </c>
      <c r="AA33" s="2715"/>
      <c r="AB33" s="2715"/>
      <c r="AC33" s="2715"/>
      <c r="AD33" s="2715"/>
      <c r="AE33" s="2716"/>
      <c r="AF33" s="2717"/>
      <c r="AG33" s="2717"/>
      <c r="AH33" s="2717"/>
      <c r="AI33" s="2717"/>
      <c r="AJ33" s="2748"/>
      <c r="AK33" s="2749"/>
      <c r="AL33" s="2749"/>
      <c r="AM33" s="2749"/>
      <c r="AN33" s="2750"/>
    </row>
    <row r="34" spans="1:40" ht="11.85" customHeight="1">
      <c r="A34" s="2743"/>
      <c r="B34" s="2742"/>
      <c r="C34" s="2742"/>
      <c r="D34" s="2742"/>
      <c r="E34" s="2742"/>
      <c r="F34" s="2731"/>
      <c r="G34" s="2729"/>
      <c r="H34" s="2729"/>
      <c r="I34" s="2729"/>
      <c r="J34" s="2741"/>
      <c r="K34" s="2731"/>
      <c r="L34" s="2729"/>
      <c r="M34" s="2729"/>
      <c r="N34" s="2729"/>
      <c r="O34" s="2741"/>
      <c r="P34" s="2715"/>
      <c r="Q34" s="2715"/>
      <c r="R34" s="2715"/>
      <c r="S34" s="2715"/>
      <c r="T34" s="2715"/>
      <c r="U34" s="2715"/>
      <c r="V34" s="2715"/>
      <c r="W34" s="2715"/>
      <c r="X34" s="2715"/>
      <c r="Y34" s="2715"/>
      <c r="Z34" s="2715"/>
      <c r="AA34" s="2715"/>
      <c r="AB34" s="2715"/>
      <c r="AC34" s="2715"/>
      <c r="AD34" s="2715"/>
      <c r="AE34" s="2718"/>
      <c r="AF34" s="2719"/>
      <c r="AG34" s="2719"/>
      <c r="AH34" s="2719"/>
      <c r="AI34" s="2719"/>
      <c r="AJ34" s="2748"/>
      <c r="AK34" s="2749"/>
      <c r="AL34" s="2749"/>
      <c r="AM34" s="2749"/>
      <c r="AN34" s="2750"/>
    </row>
    <row r="35" spans="1:40" ht="11.85" customHeight="1">
      <c r="A35" s="2724"/>
      <c r="B35" s="2725"/>
      <c r="C35" s="2725"/>
      <c r="D35" s="2725"/>
      <c r="E35" s="2725"/>
      <c r="F35" s="2716"/>
      <c r="G35" s="2717"/>
      <c r="H35" s="2717" t="s">
        <v>1740</v>
      </c>
      <c r="I35" s="2717"/>
      <c r="J35" s="2744"/>
      <c r="K35" s="2716"/>
      <c r="L35" s="2717"/>
      <c r="M35" s="2717" t="s">
        <v>1740</v>
      </c>
      <c r="N35" s="2717"/>
      <c r="O35" s="2744"/>
      <c r="P35" s="2732" t="s">
        <v>1741</v>
      </c>
      <c r="Q35" s="2732"/>
      <c r="R35" s="2732"/>
      <c r="S35" s="2732"/>
      <c r="T35" s="2732"/>
      <c r="U35" s="2732" t="s">
        <v>1741</v>
      </c>
      <c r="V35" s="2732"/>
      <c r="W35" s="2732"/>
      <c r="X35" s="2732"/>
      <c r="Y35" s="2732"/>
      <c r="Z35" s="2732" t="s">
        <v>1742</v>
      </c>
      <c r="AA35" s="2732"/>
      <c r="AB35" s="2732"/>
      <c r="AC35" s="2732"/>
      <c r="AD35" s="2732"/>
      <c r="AE35" s="2731"/>
      <c r="AF35" s="2729"/>
      <c r="AG35" s="2729"/>
      <c r="AH35" s="2729"/>
      <c r="AI35" s="2729"/>
      <c r="AJ35" s="2748"/>
      <c r="AK35" s="2749"/>
      <c r="AL35" s="2749"/>
      <c r="AM35" s="2749"/>
      <c r="AN35" s="2750"/>
    </row>
    <row r="36" spans="1:40" ht="11.85" customHeight="1">
      <c r="A36" s="2726"/>
      <c r="B36" s="2727"/>
      <c r="C36" s="2727"/>
      <c r="D36" s="2727"/>
      <c r="E36" s="2727"/>
      <c r="F36" s="2731"/>
      <c r="G36" s="2729"/>
      <c r="H36" s="2729"/>
      <c r="I36" s="2729"/>
      <c r="J36" s="2741"/>
      <c r="K36" s="2731"/>
      <c r="L36" s="2729"/>
      <c r="M36" s="2729"/>
      <c r="N36" s="2729"/>
      <c r="O36" s="2741"/>
      <c r="P36" s="2733"/>
      <c r="Q36" s="2733"/>
      <c r="R36" s="2733"/>
      <c r="S36" s="2733"/>
      <c r="T36" s="2733"/>
      <c r="U36" s="2733"/>
      <c r="V36" s="2733"/>
      <c r="W36" s="2733"/>
      <c r="X36" s="2733"/>
      <c r="Y36" s="2733"/>
      <c r="Z36" s="2733"/>
      <c r="AA36" s="2733"/>
      <c r="AB36" s="2733"/>
      <c r="AC36" s="2733"/>
      <c r="AD36" s="2733"/>
      <c r="AE36" s="2731"/>
      <c r="AF36" s="2729"/>
      <c r="AG36" s="2729"/>
      <c r="AH36" s="2729"/>
      <c r="AI36" s="2729"/>
      <c r="AJ36" s="2748"/>
      <c r="AK36" s="2749"/>
      <c r="AL36" s="2749"/>
      <c r="AM36" s="2749"/>
      <c r="AN36" s="2750"/>
    </row>
    <row r="37" spans="1:40" ht="11.85" customHeight="1">
      <c r="A37" s="2743"/>
      <c r="B37" s="2742"/>
      <c r="C37" s="2742"/>
      <c r="D37" s="2742"/>
      <c r="E37" s="2742"/>
      <c r="F37" s="2716"/>
      <c r="G37" s="2717"/>
      <c r="H37" s="2717" t="s">
        <v>1740</v>
      </c>
      <c r="I37" s="2717"/>
      <c r="J37" s="2744"/>
      <c r="K37" s="2716"/>
      <c r="L37" s="2717"/>
      <c r="M37" s="2717" t="s">
        <v>1740</v>
      </c>
      <c r="N37" s="2717"/>
      <c r="O37" s="2744"/>
      <c r="P37" s="2715" t="s">
        <v>1741</v>
      </c>
      <c r="Q37" s="2715"/>
      <c r="R37" s="2715"/>
      <c r="S37" s="2715"/>
      <c r="T37" s="2715"/>
      <c r="U37" s="2715" t="s">
        <v>1741</v>
      </c>
      <c r="V37" s="2715"/>
      <c r="W37" s="2715"/>
      <c r="X37" s="2715"/>
      <c r="Y37" s="2715"/>
      <c r="Z37" s="2715" t="s">
        <v>1742</v>
      </c>
      <c r="AA37" s="2715"/>
      <c r="AB37" s="2715"/>
      <c r="AC37" s="2715"/>
      <c r="AD37" s="2715"/>
      <c r="AE37" s="2716"/>
      <c r="AF37" s="2717"/>
      <c r="AG37" s="2717"/>
      <c r="AH37" s="2717"/>
      <c r="AI37" s="2717"/>
      <c r="AJ37" s="2748"/>
      <c r="AK37" s="2749"/>
      <c r="AL37" s="2749"/>
      <c r="AM37" s="2749"/>
      <c r="AN37" s="2750"/>
    </row>
    <row r="38" spans="1:40" ht="11.85" customHeight="1">
      <c r="A38" s="2743"/>
      <c r="B38" s="2742"/>
      <c r="C38" s="2742"/>
      <c r="D38" s="2742"/>
      <c r="E38" s="2742"/>
      <c r="F38" s="2718"/>
      <c r="G38" s="2719"/>
      <c r="H38" s="2719"/>
      <c r="I38" s="2719"/>
      <c r="J38" s="2745"/>
      <c r="K38" s="2718"/>
      <c r="L38" s="2719"/>
      <c r="M38" s="2719"/>
      <c r="N38" s="2719"/>
      <c r="O38" s="2745"/>
      <c r="P38" s="2715"/>
      <c r="Q38" s="2715"/>
      <c r="R38" s="2715"/>
      <c r="S38" s="2715"/>
      <c r="T38" s="2715"/>
      <c r="U38" s="2715"/>
      <c r="V38" s="2715"/>
      <c r="W38" s="2715"/>
      <c r="X38" s="2715"/>
      <c r="Y38" s="2715"/>
      <c r="Z38" s="2715"/>
      <c r="AA38" s="2715"/>
      <c r="AB38" s="2715"/>
      <c r="AC38" s="2715"/>
      <c r="AD38" s="2715"/>
      <c r="AE38" s="2718"/>
      <c r="AF38" s="2719"/>
      <c r="AG38" s="2719"/>
      <c r="AH38" s="2719"/>
      <c r="AI38" s="2719"/>
      <c r="AJ38" s="2748"/>
      <c r="AK38" s="2749"/>
      <c r="AL38" s="2749"/>
      <c r="AM38" s="2749"/>
      <c r="AN38" s="2750"/>
    </row>
    <row r="39" spans="1:40" ht="11.85" customHeight="1">
      <c r="A39" s="2743"/>
      <c r="B39" s="2742"/>
      <c r="C39" s="2742"/>
      <c r="D39" s="2742"/>
      <c r="E39" s="2742"/>
      <c r="F39" s="2716"/>
      <c r="G39" s="2717"/>
      <c r="H39" s="2717" t="s">
        <v>1740</v>
      </c>
      <c r="I39" s="2717"/>
      <c r="J39" s="2744"/>
      <c r="K39" s="2716"/>
      <c r="L39" s="2717"/>
      <c r="M39" s="2717" t="s">
        <v>1740</v>
      </c>
      <c r="N39" s="2717"/>
      <c r="O39" s="2744"/>
      <c r="P39" s="2715" t="s">
        <v>1741</v>
      </c>
      <c r="Q39" s="2715"/>
      <c r="R39" s="2715"/>
      <c r="S39" s="2715"/>
      <c r="T39" s="2715"/>
      <c r="U39" s="2715" t="s">
        <v>1741</v>
      </c>
      <c r="V39" s="2715"/>
      <c r="W39" s="2715"/>
      <c r="X39" s="2715"/>
      <c r="Y39" s="2715"/>
      <c r="Z39" s="2715" t="s">
        <v>1742</v>
      </c>
      <c r="AA39" s="2715"/>
      <c r="AB39" s="2715"/>
      <c r="AC39" s="2715"/>
      <c r="AD39" s="2715"/>
      <c r="AE39" s="2716"/>
      <c r="AF39" s="2717"/>
      <c r="AG39" s="2717"/>
      <c r="AH39" s="2717"/>
      <c r="AI39" s="2717"/>
      <c r="AJ39" s="2748"/>
      <c r="AK39" s="2749"/>
      <c r="AL39" s="2749"/>
      <c r="AM39" s="2749"/>
      <c r="AN39" s="2750"/>
    </row>
    <row r="40" spans="1:40" ht="11.85" customHeight="1">
      <c r="A40" s="2743"/>
      <c r="B40" s="2742"/>
      <c r="C40" s="2742"/>
      <c r="D40" s="2742"/>
      <c r="E40" s="2742"/>
      <c r="F40" s="2718"/>
      <c r="G40" s="2719"/>
      <c r="H40" s="2719"/>
      <c r="I40" s="2719"/>
      <c r="J40" s="2745"/>
      <c r="K40" s="2718"/>
      <c r="L40" s="2719"/>
      <c r="M40" s="2719"/>
      <c r="N40" s="2719"/>
      <c r="O40" s="2745"/>
      <c r="P40" s="2715"/>
      <c r="Q40" s="2715"/>
      <c r="R40" s="2715"/>
      <c r="S40" s="2715"/>
      <c r="T40" s="2715"/>
      <c r="U40" s="2715"/>
      <c r="V40" s="2715"/>
      <c r="W40" s="2715"/>
      <c r="X40" s="2715"/>
      <c r="Y40" s="2715"/>
      <c r="Z40" s="2715"/>
      <c r="AA40" s="2715"/>
      <c r="AB40" s="2715"/>
      <c r="AC40" s="2715"/>
      <c r="AD40" s="2715"/>
      <c r="AE40" s="2718"/>
      <c r="AF40" s="2719"/>
      <c r="AG40" s="2719"/>
      <c r="AH40" s="2719"/>
      <c r="AI40" s="2719"/>
      <c r="AJ40" s="2748"/>
      <c r="AK40" s="2749"/>
      <c r="AL40" s="2749"/>
      <c r="AM40" s="2749"/>
      <c r="AN40" s="2750"/>
    </row>
    <row r="41" spans="1:40" ht="11.85" customHeight="1">
      <c r="A41" s="2724"/>
      <c r="B41" s="2725"/>
      <c r="C41" s="2725"/>
      <c r="D41" s="2725"/>
      <c r="E41" s="2725"/>
      <c r="F41" s="2731"/>
      <c r="G41" s="2729"/>
      <c r="H41" s="2729" t="s">
        <v>1740</v>
      </c>
      <c r="I41" s="2729"/>
      <c r="J41" s="2741"/>
      <c r="K41" s="2731"/>
      <c r="L41" s="2729"/>
      <c r="M41" s="2729" t="s">
        <v>1740</v>
      </c>
      <c r="N41" s="2729"/>
      <c r="O41" s="2741"/>
      <c r="P41" s="2732" t="s">
        <v>1741</v>
      </c>
      <c r="Q41" s="2732"/>
      <c r="R41" s="2732"/>
      <c r="S41" s="2732"/>
      <c r="T41" s="2732"/>
      <c r="U41" s="2732" t="s">
        <v>1741</v>
      </c>
      <c r="V41" s="2732"/>
      <c r="W41" s="2732"/>
      <c r="X41" s="2732"/>
      <c r="Y41" s="2732"/>
      <c r="Z41" s="2732" t="s">
        <v>1742</v>
      </c>
      <c r="AA41" s="2732"/>
      <c r="AB41" s="2732"/>
      <c r="AC41" s="2732"/>
      <c r="AD41" s="2732"/>
      <c r="AE41" s="2731"/>
      <c r="AF41" s="2729"/>
      <c r="AG41" s="2729"/>
      <c r="AH41" s="2729"/>
      <c r="AI41" s="2729"/>
      <c r="AJ41" s="2748"/>
      <c r="AK41" s="2749"/>
      <c r="AL41" s="2749"/>
      <c r="AM41" s="2749"/>
      <c r="AN41" s="2750"/>
    </row>
    <row r="42" spans="1:40" ht="11.85" customHeight="1">
      <c r="A42" s="2726"/>
      <c r="B42" s="2727"/>
      <c r="C42" s="2727"/>
      <c r="D42" s="2727"/>
      <c r="E42" s="2727"/>
      <c r="F42" s="2731"/>
      <c r="G42" s="2729"/>
      <c r="H42" s="2729"/>
      <c r="I42" s="2729"/>
      <c r="J42" s="2741"/>
      <c r="K42" s="2731"/>
      <c r="L42" s="2729"/>
      <c r="M42" s="2729"/>
      <c r="N42" s="2729"/>
      <c r="O42" s="2741"/>
      <c r="P42" s="2733"/>
      <c r="Q42" s="2733"/>
      <c r="R42" s="2733"/>
      <c r="S42" s="2733"/>
      <c r="T42" s="2733"/>
      <c r="U42" s="2733"/>
      <c r="V42" s="2733"/>
      <c r="W42" s="2733"/>
      <c r="X42" s="2733"/>
      <c r="Y42" s="2733"/>
      <c r="Z42" s="2733"/>
      <c r="AA42" s="2733"/>
      <c r="AB42" s="2733"/>
      <c r="AC42" s="2733"/>
      <c r="AD42" s="2733"/>
      <c r="AE42" s="2731"/>
      <c r="AF42" s="2729"/>
      <c r="AG42" s="2729"/>
      <c r="AH42" s="2729"/>
      <c r="AI42" s="2729"/>
      <c r="AJ42" s="2748"/>
      <c r="AK42" s="2749"/>
      <c r="AL42" s="2749"/>
      <c r="AM42" s="2749"/>
      <c r="AN42" s="2750"/>
    </row>
    <row r="43" spans="1:40" ht="11.85" customHeight="1">
      <c r="A43" s="2743"/>
      <c r="B43" s="2742"/>
      <c r="C43" s="2742"/>
      <c r="D43" s="2742"/>
      <c r="E43" s="2742"/>
      <c r="F43" s="2716"/>
      <c r="G43" s="2717"/>
      <c r="H43" s="2717" t="s">
        <v>1740</v>
      </c>
      <c r="I43" s="2717"/>
      <c r="J43" s="2744"/>
      <c r="K43" s="2716"/>
      <c r="L43" s="2717"/>
      <c r="M43" s="2717" t="s">
        <v>1740</v>
      </c>
      <c r="N43" s="2717"/>
      <c r="O43" s="2744"/>
      <c r="P43" s="2715" t="s">
        <v>1741</v>
      </c>
      <c r="Q43" s="2715"/>
      <c r="R43" s="2715"/>
      <c r="S43" s="2715"/>
      <c r="T43" s="2715"/>
      <c r="U43" s="2715" t="s">
        <v>1741</v>
      </c>
      <c r="V43" s="2715"/>
      <c r="W43" s="2715"/>
      <c r="X43" s="2715"/>
      <c r="Y43" s="2715"/>
      <c r="Z43" s="2715" t="s">
        <v>1742</v>
      </c>
      <c r="AA43" s="2715"/>
      <c r="AB43" s="2715"/>
      <c r="AC43" s="2715"/>
      <c r="AD43" s="2715"/>
      <c r="AE43" s="2716"/>
      <c r="AF43" s="2717"/>
      <c r="AG43" s="2717"/>
      <c r="AH43" s="2717"/>
      <c r="AI43" s="2717"/>
      <c r="AJ43" s="2748"/>
      <c r="AK43" s="2749"/>
      <c r="AL43" s="2749"/>
      <c r="AM43" s="2749"/>
      <c r="AN43" s="2750"/>
    </row>
    <row r="44" spans="1:40" ht="11.85" customHeight="1">
      <c r="A44" s="2743"/>
      <c r="B44" s="2742"/>
      <c r="C44" s="2742"/>
      <c r="D44" s="2742"/>
      <c r="E44" s="2742"/>
      <c r="F44" s="2718"/>
      <c r="G44" s="2719"/>
      <c r="H44" s="2719"/>
      <c r="I44" s="2719"/>
      <c r="J44" s="2745"/>
      <c r="K44" s="2718"/>
      <c r="L44" s="2719"/>
      <c r="M44" s="2719"/>
      <c r="N44" s="2719"/>
      <c r="O44" s="2745"/>
      <c r="P44" s="2715"/>
      <c r="Q44" s="2715"/>
      <c r="R44" s="2715"/>
      <c r="S44" s="2715"/>
      <c r="T44" s="2715"/>
      <c r="U44" s="2715"/>
      <c r="V44" s="2715"/>
      <c r="W44" s="2715"/>
      <c r="X44" s="2715"/>
      <c r="Y44" s="2715"/>
      <c r="Z44" s="2715"/>
      <c r="AA44" s="2715"/>
      <c r="AB44" s="2715"/>
      <c r="AC44" s="2715"/>
      <c r="AD44" s="2715"/>
      <c r="AE44" s="2718"/>
      <c r="AF44" s="2719"/>
      <c r="AG44" s="2719"/>
      <c r="AH44" s="2719"/>
      <c r="AI44" s="2719"/>
      <c r="AJ44" s="2748"/>
      <c r="AK44" s="2749"/>
      <c r="AL44" s="2749"/>
      <c r="AM44" s="2749"/>
      <c r="AN44" s="2750"/>
    </row>
    <row r="45" spans="1:40" ht="11.85" customHeight="1">
      <c r="A45" s="2743"/>
      <c r="B45" s="2742"/>
      <c r="C45" s="2742"/>
      <c r="D45" s="2742"/>
      <c r="E45" s="2742"/>
      <c r="F45" s="2716"/>
      <c r="G45" s="2717"/>
      <c r="H45" s="2717" t="s">
        <v>1740</v>
      </c>
      <c r="I45" s="2717"/>
      <c r="J45" s="2744"/>
      <c r="K45" s="2716"/>
      <c r="L45" s="2717"/>
      <c r="M45" s="2717" t="s">
        <v>1740</v>
      </c>
      <c r="N45" s="2717"/>
      <c r="O45" s="2744"/>
      <c r="P45" s="2715" t="s">
        <v>1741</v>
      </c>
      <c r="Q45" s="2715"/>
      <c r="R45" s="2715"/>
      <c r="S45" s="2715"/>
      <c r="T45" s="2715"/>
      <c r="U45" s="2715" t="s">
        <v>1741</v>
      </c>
      <c r="V45" s="2715"/>
      <c r="W45" s="2715"/>
      <c r="X45" s="2715"/>
      <c r="Y45" s="2715"/>
      <c r="Z45" s="2715" t="s">
        <v>1742</v>
      </c>
      <c r="AA45" s="2715"/>
      <c r="AB45" s="2715"/>
      <c r="AC45" s="2715"/>
      <c r="AD45" s="2715"/>
      <c r="AE45" s="2716"/>
      <c r="AF45" s="2717"/>
      <c r="AG45" s="2717"/>
      <c r="AH45" s="2717"/>
      <c r="AI45" s="2717"/>
      <c r="AJ45" s="2748"/>
      <c r="AK45" s="2749"/>
      <c r="AL45" s="2749"/>
      <c r="AM45" s="2749"/>
      <c r="AN45" s="2750"/>
    </row>
    <row r="46" spans="1:40" ht="11.85" customHeight="1">
      <c r="A46" s="2743"/>
      <c r="B46" s="2742"/>
      <c r="C46" s="2742"/>
      <c r="D46" s="2742"/>
      <c r="E46" s="2742"/>
      <c r="F46" s="2718"/>
      <c r="G46" s="2719"/>
      <c r="H46" s="2719"/>
      <c r="I46" s="2719"/>
      <c r="J46" s="2745"/>
      <c r="K46" s="2718"/>
      <c r="L46" s="2719"/>
      <c r="M46" s="2719"/>
      <c r="N46" s="2719"/>
      <c r="O46" s="2745"/>
      <c r="P46" s="2715"/>
      <c r="Q46" s="2715"/>
      <c r="R46" s="2715"/>
      <c r="S46" s="2715"/>
      <c r="T46" s="2715"/>
      <c r="U46" s="2715"/>
      <c r="V46" s="2715"/>
      <c r="W46" s="2715"/>
      <c r="X46" s="2715"/>
      <c r="Y46" s="2715"/>
      <c r="Z46" s="2715"/>
      <c r="AA46" s="2715"/>
      <c r="AB46" s="2715"/>
      <c r="AC46" s="2715"/>
      <c r="AD46" s="2715"/>
      <c r="AE46" s="2718"/>
      <c r="AF46" s="2719"/>
      <c r="AG46" s="2719"/>
      <c r="AH46" s="2719"/>
      <c r="AI46" s="2719"/>
      <c r="AJ46" s="2748"/>
      <c r="AK46" s="2749"/>
      <c r="AL46" s="2749"/>
      <c r="AM46" s="2749"/>
      <c r="AN46" s="2750"/>
    </row>
    <row r="47" spans="1:40" ht="11.85" customHeight="1">
      <c r="A47" s="2724"/>
      <c r="B47" s="2725"/>
      <c r="C47" s="2725"/>
      <c r="D47" s="2725"/>
      <c r="E47" s="2725"/>
      <c r="F47" s="2731"/>
      <c r="G47" s="2729"/>
      <c r="H47" s="2729" t="s">
        <v>1740</v>
      </c>
      <c r="I47" s="2729"/>
      <c r="J47" s="2741"/>
      <c r="K47" s="2731"/>
      <c r="L47" s="2729"/>
      <c r="M47" s="2729" t="s">
        <v>1740</v>
      </c>
      <c r="N47" s="2729"/>
      <c r="O47" s="2741"/>
      <c r="P47" s="2732" t="s">
        <v>1741</v>
      </c>
      <c r="Q47" s="2732"/>
      <c r="R47" s="2732"/>
      <c r="S47" s="2732"/>
      <c r="T47" s="2732"/>
      <c r="U47" s="2732" t="s">
        <v>1741</v>
      </c>
      <c r="V47" s="2732"/>
      <c r="W47" s="2732"/>
      <c r="X47" s="2732"/>
      <c r="Y47" s="2732"/>
      <c r="Z47" s="2732" t="s">
        <v>1742</v>
      </c>
      <c r="AA47" s="2732"/>
      <c r="AB47" s="2732"/>
      <c r="AC47" s="2732"/>
      <c r="AD47" s="2732"/>
      <c r="AE47" s="2731"/>
      <c r="AF47" s="2729"/>
      <c r="AG47" s="2729"/>
      <c r="AH47" s="2729"/>
      <c r="AI47" s="2729"/>
      <c r="AJ47" s="2748"/>
      <c r="AK47" s="2749"/>
      <c r="AL47" s="2749"/>
      <c r="AM47" s="2749"/>
      <c r="AN47" s="2750"/>
    </row>
    <row r="48" spans="1:40" ht="11.85" customHeight="1">
      <c r="A48" s="2726"/>
      <c r="B48" s="2727"/>
      <c r="C48" s="2727"/>
      <c r="D48" s="2727"/>
      <c r="E48" s="2727"/>
      <c r="F48" s="2731"/>
      <c r="G48" s="2729"/>
      <c r="H48" s="2729"/>
      <c r="I48" s="2729"/>
      <c r="J48" s="2741"/>
      <c r="K48" s="2731"/>
      <c r="L48" s="2729"/>
      <c r="M48" s="2729"/>
      <c r="N48" s="2729"/>
      <c r="O48" s="2741"/>
      <c r="P48" s="2733"/>
      <c r="Q48" s="2733"/>
      <c r="R48" s="2733"/>
      <c r="S48" s="2733"/>
      <c r="T48" s="2733"/>
      <c r="U48" s="2733"/>
      <c r="V48" s="2733"/>
      <c r="W48" s="2733"/>
      <c r="X48" s="2733"/>
      <c r="Y48" s="2733"/>
      <c r="Z48" s="2733"/>
      <c r="AA48" s="2733"/>
      <c r="AB48" s="2733"/>
      <c r="AC48" s="2733"/>
      <c r="AD48" s="2733"/>
      <c r="AE48" s="2731"/>
      <c r="AF48" s="2729"/>
      <c r="AG48" s="2729"/>
      <c r="AH48" s="2729"/>
      <c r="AI48" s="2729"/>
      <c r="AJ48" s="2748"/>
      <c r="AK48" s="2749"/>
      <c r="AL48" s="2749"/>
      <c r="AM48" s="2749"/>
      <c r="AN48" s="2750"/>
    </row>
    <row r="49" spans="1:40" ht="11.85" customHeight="1">
      <c r="A49" s="2743"/>
      <c r="B49" s="2742"/>
      <c r="C49" s="2742"/>
      <c r="D49" s="2742"/>
      <c r="E49" s="2742"/>
      <c r="F49" s="2716"/>
      <c r="G49" s="2717"/>
      <c r="H49" s="2717" t="s">
        <v>1740</v>
      </c>
      <c r="I49" s="2717"/>
      <c r="J49" s="2744"/>
      <c r="K49" s="2716"/>
      <c r="L49" s="2717"/>
      <c r="M49" s="2717" t="s">
        <v>1740</v>
      </c>
      <c r="N49" s="2717"/>
      <c r="O49" s="2744"/>
      <c r="P49" s="2715" t="s">
        <v>1741</v>
      </c>
      <c r="Q49" s="2715"/>
      <c r="R49" s="2715"/>
      <c r="S49" s="2715"/>
      <c r="T49" s="2715"/>
      <c r="U49" s="2715" t="s">
        <v>1741</v>
      </c>
      <c r="V49" s="2715"/>
      <c r="W49" s="2715"/>
      <c r="X49" s="2715"/>
      <c r="Y49" s="2715"/>
      <c r="Z49" s="2715" t="s">
        <v>1742</v>
      </c>
      <c r="AA49" s="2715"/>
      <c r="AB49" s="2715"/>
      <c r="AC49" s="2715"/>
      <c r="AD49" s="2715"/>
      <c r="AE49" s="2716"/>
      <c r="AF49" s="2717"/>
      <c r="AG49" s="2717"/>
      <c r="AH49" s="2717"/>
      <c r="AI49" s="2717"/>
      <c r="AJ49" s="2748"/>
      <c r="AK49" s="2749"/>
      <c r="AL49" s="2749"/>
      <c r="AM49" s="2749"/>
      <c r="AN49" s="2750"/>
    </row>
    <row r="50" spans="1:40" ht="11.85" customHeight="1">
      <c r="A50" s="2743"/>
      <c r="B50" s="2742"/>
      <c r="C50" s="2742"/>
      <c r="D50" s="2742"/>
      <c r="E50" s="2742"/>
      <c r="F50" s="2718"/>
      <c r="G50" s="2719"/>
      <c r="H50" s="2719"/>
      <c r="I50" s="2719"/>
      <c r="J50" s="2745"/>
      <c r="K50" s="2718"/>
      <c r="L50" s="2719"/>
      <c r="M50" s="2719"/>
      <c r="N50" s="2719"/>
      <c r="O50" s="2745"/>
      <c r="P50" s="2715"/>
      <c r="Q50" s="2715"/>
      <c r="R50" s="2715"/>
      <c r="S50" s="2715"/>
      <c r="T50" s="2715"/>
      <c r="U50" s="2715"/>
      <c r="V50" s="2715"/>
      <c r="W50" s="2715"/>
      <c r="X50" s="2715"/>
      <c r="Y50" s="2715"/>
      <c r="Z50" s="2715"/>
      <c r="AA50" s="2715"/>
      <c r="AB50" s="2715"/>
      <c r="AC50" s="2715"/>
      <c r="AD50" s="2715"/>
      <c r="AE50" s="2718"/>
      <c r="AF50" s="2719"/>
      <c r="AG50" s="2719"/>
      <c r="AH50" s="2719"/>
      <c r="AI50" s="2719"/>
      <c r="AJ50" s="2748"/>
      <c r="AK50" s="2749"/>
      <c r="AL50" s="2749"/>
      <c r="AM50" s="2749"/>
      <c r="AN50" s="2750"/>
    </row>
    <row r="51" spans="1:40" ht="11.85" customHeight="1">
      <c r="A51" s="2743"/>
      <c r="B51" s="2742"/>
      <c r="C51" s="2742"/>
      <c r="D51" s="2742"/>
      <c r="E51" s="2742"/>
      <c r="F51" s="2716"/>
      <c r="G51" s="2717"/>
      <c r="H51" s="2717" t="s">
        <v>1740</v>
      </c>
      <c r="I51" s="2717"/>
      <c r="J51" s="2744"/>
      <c r="K51" s="2716"/>
      <c r="L51" s="2717"/>
      <c r="M51" s="2717" t="s">
        <v>1740</v>
      </c>
      <c r="N51" s="2717"/>
      <c r="O51" s="2744"/>
      <c r="P51" s="2715" t="s">
        <v>1741</v>
      </c>
      <c r="Q51" s="2715"/>
      <c r="R51" s="2715"/>
      <c r="S51" s="2715"/>
      <c r="T51" s="2715"/>
      <c r="U51" s="2715" t="s">
        <v>1741</v>
      </c>
      <c r="V51" s="2715"/>
      <c r="W51" s="2715"/>
      <c r="X51" s="2715"/>
      <c r="Y51" s="2715"/>
      <c r="Z51" s="2715" t="s">
        <v>1742</v>
      </c>
      <c r="AA51" s="2715"/>
      <c r="AB51" s="2715"/>
      <c r="AC51" s="2715"/>
      <c r="AD51" s="2715"/>
      <c r="AE51" s="2716"/>
      <c r="AF51" s="2717"/>
      <c r="AG51" s="2717"/>
      <c r="AH51" s="2717"/>
      <c r="AI51" s="2717"/>
      <c r="AJ51" s="2748"/>
      <c r="AK51" s="2749"/>
      <c r="AL51" s="2749"/>
      <c r="AM51" s="2749"/>
      <c r="AN51" s="2750"/>
    </row>
    <row r="52" spans="1:40" ht="11.85" customHeight="1">
      <c r="A52" s="2743"/>
      <c r="B52" s="2742"/>
      <c r="C52" s="2742"/>
      <c r="D52" s="2742"/>
      <c r="E52" s="2742"/>
      <c r="F52" s="2718"/>
      <c r="G52" s="2719"/>
      <c r="H52" s="2719"/>
      <c r="I52" s="2719"/>
      <c r="J52" s="2745"/>
      <c r="K52" s="2718"/>
      <c r="L52" s="2719"/>
      <c r="M52" s="2719"/>
      <c r="N52" s="2719"/>
      <c r="O52" s="2745"/>
      <c r="P52" s="2715"/>
      <c r="Q52" s="2715"/>
      <c r="R52" s="2715"/>
      <c r="S52" s="2715"/>
      <c r="T52" s="2715"/>
      <c r="U52" s="2715"/>
      <c r="V52" s="2715"/>
      <c r="W52" s="2715"/>
      <c r="X52" s="2715"/>
      <c r="Y52" s="2715"/>
      <c r="Z52" s="2715"/>
      <c r="AA52" s="2715"/>
      <c r="AB52" s="2715"/>
      <c r="AC52" s="2715"/>
      <c r="AD52" s="2715"/>
      <c r="AE52" s="2718"/>
      <c r="AF52" s="2719"/>
      <c r="AG52" s="2719"/>
      <c r="AH52" s="2719"/>
      <c r="AI52" s="2719"/>
      <c r="AJ52" s="2748"/>
      <c r="AK52" s="2749"/>
      <c r="AL52" s="2749"/>
      <c r="AM52" s="2749"/>
      <c r="AN52" s="2750"/>
    </row>
    <row r="53" spans="1:40" ht="11.85" customHeight="1">
      <c r="A53" s="2724"/>
      <c r="B53" s="2725"/>
      <c r="C53" s="2725"/>
      <c r="D53" s="2725"/>
      <c r="E53" s="2725"/>
      <c r="F53" s="2731"/>
      <c r="G53" s="2729"/>
      <c r="H53" s="2729" t="s">
        <v>1740</v>
      </c>
      <c r="I53" s="2729"/>
      <c r="J53" s="2741"/>
      <c r="K53" s="2731"/>
      <c r="L53" s="2729"/>
      <c r="M53" s="2729" t="s">
        <v>1740</v>
      </c>
      <c r="N53" s="2729"/>
      <c r="O53" s="2741"/>
      <c r="P53" s="2732" t="s">
        <v>1741</v>
      </c>
      <c r="Q53" s="2732"/>
      <c r="R53" s="2732"/>
      <c r="S53" s="2732"/>
      <c r="T53" s="2732"/>
      <c r="U53" s="2732" t="s">
        <v>1741</v>
      </c>
      <c r="V53" s="2732"/>
      <c r="W53" s="2732"/>
      <c r="X53" s="2732"/>
      <c r="Y53" s="2732"/>
      <c r="Z53" s="2732" t="s">
        <v>1742</v>
      </c>
      <c r="AA53" s="2732"/>
      <c r="AB53" s="2732"/>
      <c r="AC53" s="2732"/>
      <c r="AD53" s="2732"/>
      <c r="AE53" s="2731"/>
      <c r="AF53" s="2729"/>
      <c r="AG53" s="2729"/>
      <c r="AH53" s="2729"/>
      <c r="AI53" s="2729"/>
      <c r="AJ53" s="2748"/>
      <c r="AK53" s="2749"/>
      <c r="AL53" s="2749"/>
      <c r="AM53" s="2749"/>
      <c r="AN53" s="2750"/>
    </row>
    <row r="54" spans="1:40" ht="11.85" customHeight="1">
      <c r="A54" s="2726"/>
      <c r="B54" s="2727"/>
      <c r="C54" s="2727"/>
      <c r="D54" s="2727"/>
      <c r="E54" s="2727"/>
      <c r="F54" s="2731"/>
      <c r="G54" s="2729"/>
      <c r="H54" s="2729"/>
      <c r="I54" s="2729"/>
      <c r="J54" s="2741"/>
      <c r="K54" s="2731"/>
      <c r="L54" s="2729"/>
      <c r="M54" s="2729"/>
      <c r="N54" s="2729"/>
      <c r="O54" s="2741"/>
      <c r="P54" s="2733"/>
      <c r="Q54" s="2733"/>
      <c r="R54" s="2733"/>
      <c r="S54" s="2733"/>
      <c r="T54" s="2733"/>
      <c r="U54" s="2733"/>
      <c r="V54" s="2733"/>
      <c r="W54" s="2733"/>
      <c r="X54" s="2733"/>
      <c r="Y54" s="2733"/>
      <c r="Z54" s="2733"/>
      <c r="AA54" s="2733"/>
      <c r="AB54" s="2733"/>
      <c r="AC54" s="2733"/>
      <c r="AD54" s="2733"/>
      <c r="AE54" s="2731"/>
      <c r="AF54" s="2729"/>
      <c r="AG54" s="2729"/>
      <c r="AH54" s="2729"/>
      <c r="AI54" s="2729"/>
      <c r="AJ54" s="2748"/>
      <c r="AK54" s="2749"/>
      <c r="AL54" s="2749"/>
      <c r="AM54" s="2749"/>
      <c r="AN54" s="2750"/>
    </row>
    <row r="55" spans="1:40" ht="11.85" customHeight="1">
      <c r="A55" s="2743"/>
      <c r="B55" s="2742"/>
      <c r="C55" s="2742"/>
      <c r="D55" s="2742"/>
      <c r="E55" s="2742"/>
      <c r="F55" s="2716"/>
      <c r="G55" s="2717"/>
      <c r="H55" s="2717" t="s">
        <v>1740</v>
      </c>
      <c r="I55" s="2717"/>
      <c r="J55" s="2744"/>
      <c r="K55" s="2716"/>
      <c r="L55" s="2717"/>
      <c r="M55" s="2717" t="s">
        <v>1740</v>
      </c>
      <c r="N55" s="2717"/>
      <c r="O55" s="2744"/>
      <c r="P55" s="2715" t="s">
        <v>1741</v>
      </c>
      <c r="Q55" s="2715"/>
      <c r="R55" s="2715"/>
      <c r="S55" s="2715"/>
      <c r="T55" s="2715"/>
      <c r="U55" s="2715" t="s">
        <v>1741</v>
      </c>
      <c r="V55" s="2715"/>
      <c r="W55" s="2715"/>
      <c r="X55" s="2715"/>
      <c r="Y55" s="2715"/>
      <c r="Z55" s="2715" t="s">
        <v>1742</v>
      </c>
      <c r="AA55" s="2715"/>
      <c r="AB55" s="2715"/>
      <c r="AC55" s="2715"/>
      <c r="AD55" s="2715"/>
      <c r="AE55" s="2716"/>
      <c r="AF55" s="2717"/>
      <c r="AG55" s="2717"/>
      <c r="AH55" s="2717"/>
      <c r="AI55" s="2717"/>
      <c r="AJ55" s="2748"/>
      <c r="AK55" s="2749"/>
      <c r="AL55" s="2749"/>
      <c r="AM55" s="2749"/>
      <c r="AN55" s="2750"/>
    </row>
    <row r="56" spans="1:40" ht="11.85" customHeight="1">
      <c r="A56" s="2743"/>
      <c r="B56" s="2742"/>
      <c r="C56" s="2742"/>
      <c r="D56" s="2742"/>
      <c r="E56" s="2742"/>
      <c r="F56" s="2718"/>
      <c r="G56" s="2719"/>
      <c r="H56" s="2719"/>
      <c r="I56" s="2719"/>
      <c r="J56" s="2745"/>
      <c r="K56" s="2718"/>
      <c r="L56" s="2719"/>
      <c r="M56" s="2719"/>
      <c r="N56" s="2719"/>
      <c r="O56" s="2745"/>
      <c r="P56" s="2715"/>
      <c r="Q56" s="2715"/>
      <c r="R56" s="2715"/>
      <c r="S56" s="2715"/>
      <c r="T56" s="2715"/>
      <c r="U56" s="2715"/>
      <c r="V56" s="2715"/>
      <c r="W56" s="2715"/>
      <c r="X56" s="2715"/>
      <c r="Y56" s="2715"/>
      <c r="Z56" s="2715"/>
      <c r="AA56" s="2715"/>
      <c r="AB56" s="2715"/>
      <c r="AC56" s="2715"/>
      <c r="AD56" s="2715"/>
      <c r="AE56" s="2718"/>
      <c r="AF56" s="2719"/>
      <c r="AG56" s="2719"/>
      <c r="AH56" s="2719"/>
      <c r="AI56" s="2719"/>
      <c r="AJ56" s="2748"/>
      <c r="AK56" s="2749"/>
      <c r="AL56" s="2749"/>
      <c r="AM56" s="2749"/>
      <c r="AN56" s="2750"/>
    </row>
    <row r="57" spans="1:40" ht="11.85" customHeight="1">
      <c r="A57" s="2743"/>
      <c r="B57" s="2742"/>
      <c r="C57" s="2742"/>
      <c r="D57" s="2742"/>
      <c r="E57" s="2742"/>
      <c r="F57" s="2716"/>
      <c r="G57" s="2717"/>
      <c r="H57" s="2717" t="s">
        <v>1740</v>
      </c>
      <c r="I57" s="2717"/>
      <c r="J57" s="2744"/>
      <c r="K57" s="2716"/>
      <c r="L57" s="2717"/>
      <c r="M57" s="2717" t="s">
        <v>1740</v>
      </c>
      <c r="N57" s="2717"/>
      <c r="O57" s="2744"/>
      <c r="P57" s="2715" t="s">
        <v>1741</v>
      </c>
      <c r="Q57" s="2715"/>
      <c r="R57" s="2715"/>
      <c r="S57" s="2715"/>
      <c r="T57" s="2715"/>
      <c r="U57" s="2715" t="s">
        <v>1741</v>
      </c>
      <c r="V57" s="2715"/>
      <c r="W57" s="2715"/>
      <c r="X57" s="2715"/>
      <c r="Y57" s="2715"/>
      <c r="Z57" s="2715" t="s">
        <v>1742</v>
      </c>
      <c r="AA57" s="2715"/>
      <c r="AB57" s="2715"/>
      <c r="AC57" s="2715"/>
      <c r="AD57" s="2715"/>
      <c r="AE57" s="2716"/>
      <c r="AF57" s="2717"/>
      <c r="AG57" s="2717"/>
      <c r="AH57" s="2717"/>
      <c r="AI57" s="2717"/>
      <c r="AJ57" s="2748"/>
      <c r="AK57" s="2749"/>
      <c r="AL57" s="2749"/>
      <c r="AM57" s="2749"/>
      <c r="AN57" s="2750"/>
    </row>
    <row r="58" spans="1:40" ht="11.85" customHeight="1">
      <c r="A58" s="2743"/>
      <c r="B58" s="2742"/>
      <c r="C58" s="2742"/>
      <c r="D58" s="2742"/>
      <c r="E58" s="2742"/>
      <c r="F58" s="2718"/>
      <c r="G58" s="2719"/>
      <c r="H58" s="2719"/>
      <c r="I58" s="2719"/>
      <c r="J58" s="2745"/>
      <c r="K58" s="2718"/>
      <c r="L58" s="2719"/>
      <c r="M58" s="2719"/>
      <c r="N58" s="2719"/>
      <c r="O58" s="2745"/>
      <c r="P58" s="2715"/>
      <c r="Q58" s="2715"/>
      <c r="R58" s="2715"/>
      <c r="S58" s="2715"/>
      <c r="T58" s="2715"/>
      <c r="U58" s="2715"/>
      <c r="V58" s="2715"/>
      <c r="W58" s="2715"/>
      <c r="X58" s="2715"/>
      <c r="Y58" s="2715"/>
      <c r="Z58" s="2715"/>
      <c r="AA58" s="2715"/>
      <c r="AB58" s="2715"/>
      <c r="AC58" s="2715"/>
      <c r="AD58" s="2715"/>
      <c r="AE58" s="2718"/>
      <c r="AF58" s="2719"/>
      <c r="AG58" s="2719"/>
      <c r="AH58" s="2719"/>
      <c r="AI58" s="2719"/>
      <c r="AJ58" s="2748"/>
      <c r="AK58" s="2749"/>
      <c r="AL58" s="2749"/>
      <c r="AM58" s="2749"/>
      <c r="AN58" s="2750"/>
    </row>
    <row r="59" spans="1:40" ht="11.85" customHeight="1">
      <c r="A59" s="2743"/>
      <c r="B59" s="2742"/>
      <c r="C59" s="2742"/>
      <c r="D59" s="2742"/>
      <c r="E59" s="2742"/>
      <c r="F59" s="2716"/>
      <c r="G59" s="2717"/>
      <c r="H59" s="2717" t="s">
        <v>1740</v>
      </c>
      <c r="I59" s="2717"/>
      <c r="J59" s="2744"/>
      <c r="K59" s="2716"/>
      <c r="L59" s="2717"/>
      <c r="M59" s="2717" t="s">
        <v>1740</v>
      </c>
      <c r="N59" s="2717"/>
      <c r="O59" s="2744"/>
      <c r="P59" s="2715" t="s">
        <v>1741</v>
      </c>
      <c r="Q59" s="2715"/>
      <c r="R59" s="2715"/>
      <c r="S59" s="2715"/>
      <c r="T59" s="2715"/>
      <c r="U59" s="2715" t="s">
        <v>1741</v>
      </c>
      <c r="V59" s="2715"/>
      <c r="W59" s="2715"/>
      <c r="X59" s="2715"/>
      <c r="Y59" s="2715"/>
      <c r="Z59" s="2715" t="s">
        <v>1742</v>
      </c>
      <c r="AA59" s="2715"/>
      <c r="AB59" s="2715"/>
      <c r="AC59" s="2715"/>
      <c r="AD59" s="2715"/>
      <c r="AE59" s="2716"/>
      <c r="AF59" s="2717"/>
      <c r="AG59" s="2717"/>
      <c r="AH59" s="2717"/>
      <c r="AI59" s="2717"/>
      <c r="AJ59" s="2748"/>
      <c r="AK59" s="2749"/>
      <c r="AL59" s="2749"/>
      <c r="AM59" s="2749"/>
      <c r="AN59" s="2750"/>
    </row>
    <row r="60" spans="1:40" ht="11.85" customHeight="1">
      <c r="A60" s="2743"/>
      <c r="B60" s="2742"/>
      <c r="C60" s="2742"/>
      <c r="D60" s="2742"/>
      <c r="E60" s="2742"/>
      <c r="F60" s="2718"/>
      <c r="G60" s="2719"/>
      <c r="H60" s="2719"/>
      <c r="I60" s="2719"/>
      <c r="J60" s="2745"/>
      <c r="K60" s="2718"/>
      <c r="L60" s="2719"/>
      <c r="M60" s="2719"/>
      <c r="N60" s="2719"/>
      <c r="O60" s="2745"/>
      <c r="P60" s="2715"/>
      <c r="Q60" s="2715"/>
      <c r="R60" s="2715"/>
      <c r="S60" s="2715"/>
      <c r="T60" s="2715"/>
      <c r="U60" s="2715"/>
      <c r="V60" s="2715"/>
      <c r="W60" s="2715"/>
      <c r="X60" s="2715"/>
      <c r="Y60" s="2715"/>
      <c r="Z60" s="2715"/>
      <c r="AA60" s="2715"/>
      <c r="AB60" s="2715"/>
      <c r="AC60" s="2715"/>
      <c r="AD60" s="2715"/>
      <c r="AE60" s="2718"/>
      <c r="AF60" s="2719"/>
      <c r="AG60" s="2719"/>
      <c r="AH60" s="2719"/>
      <c r="AI60" s="2719"/>
      <c r="AJ60" s="2748"/>
      <c r="AK60" s="2749"/>
      <c r="AL60" s="2749"/>
      <c r="AM60" s="2749"/>
      <c r="AN60" s="2750"/>
    </row>
    <row r="61" spans="1:40" ht="11.85" customHeight="1">
      <c r="A61" s="2743"/>
      <c r="B61" s="2742"/>
      <c r="C61" s="2742"/>
      <c r="D61" s="2742"/>
      <c r="E61" s="2742"/>
      <c r="F61" s="2716"/>
      <c r="G61" s="2717"/>
      <c r="H61" s="2717" t="s">
        <v>1740</v>
      </c>
      <c r="I61" s="2717"/>
      <c r="J61" s="2744"/>
      <c r="K61" s="2716"/>
      <c r="L61" s="2717"/>
      <c r="M61" s="2717" t="s">
        <v>1740</v>
      </c>
      <c r="N61" s="2717"/>
      <c r="O61" s="2744"/>
      <c r="P61" s="2715" t="s">
        <v>1741</v>
      </c>
      <c r="Q61" s="2715"/>
      <c r="R61" s="2715"/>
      <c r="S61" s="2715"/>
      <c r="T61" s="2715"/>
      <c r="U61" s="2715" t="s">
        <v>1741</v>
      </c>
      <c r="V61" s="2715"/>
      <c r="W61" s="2715"/>
      <c r="X61" s="2715"/>
      <c r="Y61" s="2715"/>
      <c r="Z61" s="2715" t="s">
        <v>1742</v>
      </c>
      <c r="AA61" s="2715"/>
      <c r="AB61" s="2715"/>
      <c r="AC61" s="2715"/>
      <c r="AD61" s="2715"/>
      <c r="AE61" s="2716"/>
      <c r="AF61" s="2717"/>
      <c r="AG61" s="2717"/>
      <c r="AH61" s="2717"/>
      <c r="AI61" s="2717"/>
      <c r="AJ61" s="2748"/>
      <c r="AK61" s="2749"/>
      <c r="AL61" s="2749"/>
      <c r="AM61" s="2749"/>
      <c r="AN61" s="2750"/>
    </row>
    <row r="62" spans="1:40" ht="11.85" customHeight="1">
      <c r="A62" s="2743"/>
      <c r="B62" s="2742"/>
      <c r="C62" s="2742"/>
      <c r="D62" s="2742"/>
      <c r="E62" s="2742"/>
      <c r="F62" s="2718"/>
      <c r="G62" s="2719"/>
      <c r="H62" s="2719"/>
      <c r="I62" s="2719"/>
      <c r="J62" s="2745"/>
      <c r="K62" s="2718"/>
      <c r="L62" s="2719"/>
      <c r="M62" s="2719"/>
      <c r="N62" s="2719"/>
      <c r="O62" s="2745"/>
      <c r="P62" s="2715"/>
      <c r="Q62" s="2715"/>
      <c r="R62" s="2715"/>
      <c r="S62" s="2715"/>
      <c r="T62" s="2715"/>
      <c r="U62" s="2715"/>
      <c r="V62" s="2715"/>
      <c r="W62" s="2715"/>
      <c r="X62" s="2715"/>
      <c r="Y62" s="2715"/>
      <c r="Z62" s="2715"/>
      <c r="AA62" s="2715"/>
      <c r="AB62" s="2715"/>
      <c r="AC62" s="2715"/>
      <c r="AD62" s="2715"/>
      <c r="AE62" s="2718"/>
      <c r="AF62" s="2719"/>
      <c r="AG62" s="2719"/>
      <c r="AH62" s="2719"/>
      <c r="AI62" s="2719"/>
      <c r="AJ62" s="2748"/>
      <c r="AK62" s="2749"/>
      <c r="AL62" s="2749"/>
      <c r="AM62" s="2749"/>
      <c r="AN62" s="2750"/>
    </row>
    <row r="63" spans="1:40" ht="11.85" customHeight="1">
      <c r="A63" s="2743"/>
      <c r="B63" s="2742"/>
      <c r="C63" s="2742"/>
      <c r="D63" s="2742"/>
      <c r="E63" s="2742"/>
      <c r="F63" s="2716"/>
      <c r="G63" s="2717"/>
      <c r="H63" s="2717" t="s">
        <v>1740</v>
      </c>
      <c r="I63" s="2717"/>
      <c r="J63" s="2744"/>
      <c r="K63" s="2716"/>
      <c r="L63" s="2717"/>
      <c r="M63" s="2717" t="s">
        <v>1740</v>
      </c>
      <c r="N63" s="2717"/>
      <c r="O63" s="2744"/>
      <c r="P63" s="2715" t="s">
        <v>1741</v>
      </c>
      <c r="Q63" s="2715"/>
      <c r="R63" s="2715"/>
      <c r="S63" s="2715"/>
      <c r="T63" s="2715"/>
      <c r="U63" s="2715" t="s">
        <v>1741</v>
      </c>
      <c r="V63" s="2715"/>
      <c r="W63" s="2715"/>
      <c r="X63" s="2715"/>
      <c r="Y63" s="2715"/>
      <c r="Z63" s="2715" t="s">
        <v>1742</v>
      </c>
      <c r="AA63" s="2715"/>
      <c r="AB63" s="2715"/>
      <c r="AC63" s="2715"/>
      <c r="AD63" s="2715"/>
      <c r="AE63" s="2716"/>
      <c r="AF63" s="2717"/>
      <c r="AG63" s="2717"/>
      <c r="AH63" s="2717"/>
      <c r="AI63" s="2717"/>
      <c r="AJ63" s="2748"/>
      <c r="AK63" s="2749"/>
      <c r="AL63" s="2749"/>
      <c r="AM63" s="2749"/>
      <c r="AN63" s="2750"/>
    </row>
    <row r="64" spans="1:40" ht="11.85" customHeight="1">
      <c r="A64" s="2743"/>
      <c r="B64" s="2742"/>
      <c r="C64" s="2742"/>
      <c r="D64" s="2742"/>
      <c r="E64" s="2742"/>
      <c r="F64" s="2718"/>
      <c r="G64" s="2719"/>
      <c r="H64" s="2719"/>
      <c r="I64" s="2719"/>
      <c r="J64" s="2745"/>
      <c r="K64" s="2718"/>
      <c r="L64" s="2719"/>
      <c r="M64" s="2719"/>
      <c r="N64" s="2719"/>
      <c r="O64" s="2745"/>
      <c r="P64" s="2715"/>
      <c r="Q64" s="2715"/>
      <c r="R64" s="2715"/>
      <c r="S64" s="2715"/>
      <c r="T64" s="2715"/>
      <c r="U64" s="2715"/>
      <c r="V64" s="2715"/>
      <c r="W64" s="2715"/>
      <c r="X64" s="2715"/>
      <c r="Y64" s="2715"/>
      <c r="Z64" s="2715"/>
      <c r="AA64" s="2715"/>
      <c r="AB64" s="2715"/>
      <c r="AC64" s="2715"/>
      <c r="AD64" s="2715"/>
      <c r="AE64" s="2718"/>
      <c r="AF64" s="2719"/>
      <c r="AG64" s="2719"/>
      <c r="AH64" s="2719"/>
      <c r="AI64" s="2719"/>
      <c r="AJ64" s="2748"/>
      <c r="AK64" s="2749"/>
      <c r="AL64" s="2749"/>
      <c r="AM64" s="2749"/>
      <c r="AN64" s="2750"/>
    </row>
    <row r="65" spans="1:41" ht="11.85" customHeight="1">
      <c r="A65" s="2743"/>
      <c r="B65" s="2742"/>
      <c r="C65" s="2742"/>
      <c r="D65" s="2742"/>
      <c r="E65" s="2742"/>
      <c r="F65" s="2716"/>
      <c r="G65" s="2717"/>
      <c r="H65" s="2717" t="s">
        <v>1740</v>
      </c>
      <c r="I65" s="2717"/>
      <c r="J65" s="2744"/>
      <c r="K65" s="2716"/>
      <c r="L65" s="2717"/>
      <c r="M65" s="2717" t="s">
        <v>1740</v>
      </c>
      <c r="N65" s="2717"/>
      <c r="O65" s="2744"/>
      <c r="P65" s="2715" t="s">
        <v>1741</v>
      </c>
      <c r="Q65" s="2715"/>
      <c r="R65" s="2715"/>
      <c r="S65" s="2715"/>
      <c r="T65" s="2715"/>
      <c r="U65" s="2715" t="s">
        <v>1741</v>
      </c>
      <c r="V65" s="2715"/>
      <c r="W65" s="2715"/>
      <c r="X65" s="2715"/>
      <c r="Y65" s="2715"/>
      <c r="Z65" s="2715" t="s">
        <v>1742</v>
      </c>
      <c r="AA65" s="2715"/>
      <c r="AB65" s="2715"/>
      <c r="AC65" s="2715"/>
      <c r="AD65" s="2715"/>
      <c r="AE65" s="2716"/>
      <c r="AF65" s="2717"/>
      <c r="AG65" s="2717"/>
      <c r="AH65" s="2717"/>
      <c r="AI65" s="2717"/>
      <c r="AJ65" s="2748"/>
      <c r="AK65" s="2749"/>
      <c r="AL65" s="2749"/>
      <c r="AM65" s="2749"/>
      <c r="AN65" s="2750"/>
    </row>
    <row r="66" spans="1:41" ht="11.85" customHeight="1">
      <c r="A66" s="2743"/>
      <c r="B66" s="2742"/>
      <c r="C66" s="2742"/>
      <c r="D66" s="2742"/>
      <c r="E66" s="2742"/>
      <c r="F66" s="2718"/>
      <c r="G66" s="2719"/>
      <c r="H66" s="2719"/>
      <c r="I66" s="2719"/>
      <c r="J66" s="2745"/>
      <c r="K66" s="2718"/>
      <c r="L66" s="2719"/>
      <c r="M66" s="2719"/>
      <c r="N66" s="2719"/>
      <c r="O66" s="2745"/>
      <c r="P66" s="2715"/>
      <c r="Q66" s="2715"/>
      <c r="R66" s="2715"/>
      <c r="S66" s="2715"/>
      <c r="T66" s="2715"/>
      <c r="U66" s="2715"/>
      <c r="V66" s="2715"/>
      <c r="W66" s="2715"/>
      <c r="X66" s="2715"/>
      <c r="Y66" s="2715"/>
      <c r="Z66" s="2715"/>
      <c r="AA66" s="2715"/>
      <c r="AB66" s="2715"/>
      <c r="AC66" s="2715"/>
      <c r="AD66" s="2715"/>
      <c r="AE66" s="2718"/>
      <c r="AF66" s="2719"/>
      <c r="AG66" s="2719"/>
      <c r="AH66" s="2719"/>
      <c r="AI66" s="2719"/>
      <c r="AJ66" s="2748"/>
      <c r="AK66" s="2749"/>
      <c r="AL66" s="2749"/>
      <c r="AM66" s="2749"/>
      <c r="AN66" s="2750"/>
    </row>
    <row r="67" spans="1:41" ht="11.85" customHeight="1">
      <c r="A67" s="2746"/>
      <c r="B67" s="2717"/>
      <c r="C67" s="2744"/>
      <c r="D67" s="2716"/>
      <c r="E67" s="2744"/>
      <c r="F67" s="2716"/>
      <c r="G67" s="2717"/>
      <c r="H67" s="2717" t="s">
        <v>1740</v>
      </c>
      <c r="I67" s="2717"/>
      <c r="J67" s="2744"/>
      <c r="K67" s="2716"/>
      <c r="L67" s="2717"/>
      <c r="M67" s="2717" t="s">
        <v>1740</v>
      </c>
      <c r="N67" s="2717"/>
      <c r="O67" s="2744"/>
      <c r="P67" s="2753" t="s">
        <v>1741</v>
      </c>
      <c r="Q67" s="2754"/>
      <c r="R67" s="2754"/>
      <c r="S67" s="2754"/>
      <c r="T67" s="2755"/>
      <c r="U67" s="2753" t="s">
        <v>1741</v>
      </c>
      <c r="V67" s="2754"/>
      <c r="W67" s="2754"/>
      <c r="X67" s="2754"/>
      <c r="Y67" s="2755"/>
      <c r="Z67" s="2753" t="s">
        <v>1742</v>
      </c>
      <c r="AA67" s="2754"/>
      <c r="AB67" s="2754"/>
      <c r="AC67" s="2754"/>
      <c r="AD67" s="2755"/>
      <c r="AE67" s="2716"/>
      <c r="AF67" s="2717"/>
      <c r="AG67" s="2717"/>
      <c r="AH67" s="2717"/>
      <c r="AI67" s="2744"/>
      <c r="AJ67" s="2716"/>
      <c r="AK67" s="2717"/>
      <c r="AL67" s="2717"/>
      <c r="AM67" s="2717"/>
      <c r="AN67" s="2751"/>
    </row>
    <row r="68" spans="1:41" ht="11.85" customHeight="1" thickBot="1">
      <c r="A68" s="2747"/>
      <c r="B68" s="2719"/>
      <c r="C68" s="2745"/>
      <c r="D68" s="2718"/>
      <c r="E68" s="2745"/>
      <c r="F68" s="2718"/>
      <c r="G68" s="2719"/>
      <c r="H68" s="2719"/>
      <c r="I68" s="2719"/>
      <c r="J68" s="2745"/>
      <c r="K68" s="2718"/>
      <c r="L68" s="2719"/>
      <c r="M68" s="2719"/>
      <c r="N68" s="2719"/>
      <c r="O68" s="2745"/>
      <c r="P68" s="2756"/>
      <c r="Q68" s="2757"/>
      <c r="R68" s="2757"/>
      <c r="S68" s="2757"/>
      <c r="T68" s="2758"/>
      <c r="U68" s="2756"/>
      <c r="V68" s="2757"/>
      <c r="W68" s="2757"/>
      <c r="X68" s="2757"/>
      <c r="Y68" s="2758"/>
      <c r="Z68" s="2756"/>
      <c r="AA68" s="2757"/>
      <c r="AB68" s="2757"/>
      <c r="AC68" s="2757"/>
      <c r="AD68" s="2758"/>
      <c r="AE68" s="2718"/>
      <c r="AF68" s="2719"/>
      <c r="AG68" s="2719"/>
      <c r="AH68" s="2719"/>
      <c r="AI68" s="2745"/>
      <c r="AJ68" s="2718"/>
      <c r="AK68" s="2719"/>
      <c r="AL68" s="2719"/>
      <c r="AM68" s="2719"/>
      <c r="AN68" s="2752"/>
    </row>
    <row r="69" spans="1:41" ht="12" customHeight="1">
      <c r="B69" s="273"/>
      <c r="C69" s="273"/>
      <c r="D69" s="273"/>
      <c r="E69" s="273"/>
      <c r="F69" s="273"/>
      <c r="G69" s="273"/>
      <c r="H69" s="273"/>
      <c r="I69" s="273"/>
      <c r="J69" s="273"/>
      <c r="K69" s="273"/>
      <c r="L69" s="273"/>
      <c r="M69" s="273"/>
      <c r="N69" s="273"/>
      <c r="O69" s="273"/>
      <c r="P69" s="273"/>
      <c r="Q69" s="2762" t="str">
        <f>【マスター】!C7&amp;【マスター】!E7</f>
        <v>デイサービスさつきの湯</v>
      </c>
      <c r="R69" s="2762"/>
      <c r="S69" s="2762"/>
      <c r="T69" s="2762"/>
      <c r="U69" s="2762"/>
      <c r="V69" s="2762"/>
      <c r="W69" s="2762"/>
      <c r="X69" s="2762"/>
      <c r="Y69" s="2762"/>
      <c r="Z69" s="2762"/>
      <c r="AA69" s="2762"/>
      <c r="AB69" s="2762"/>
      <c r="AC69" s="2762"/>
      <c r="AD69" s="2762"/>
      <c r="AE69" s="2762"/>
      <c r="AF69" s="2762"/>
      <c r="AG69" s="2762"/>
      <c r="AH69" s="2762"/>
      <c r="AI69" s="2762"/>
      <c r="AJ69" s="2762"/>
      <c r="AK69" s="278"/>
      <c r="AL69" s="278"/>
      <c r="AM69" s="278"/>
      <c r="AN69" s="278"/>
    </row>
    <row r="70" spans="1:41" ht="12" customHeight="1">
      <c r="B70" s="272"/>
      <c r="C70" s="272"/>
      <c r="D70" s="272"/>
      <c r="E70" s="272"/>
      <c r="F70" s="272"/>
      <c r="G70" s="272"/>
      <c r="H70" s="272"/>
      <c r="I70" s="272"/>
      <c r="J70" s="272"/>
      <c r="K70" s="272"/>
      <c r="L70" s="272"/>
      <c r="M70" s="272"/>
      <c r="N70" s="272"/>
      <c r="O70" s="272"/>
      <c r="P70" s="272"/>
      <c r="Q70" s="2763"/>
      <c r="R70" s="2763"/>
      <c r="S70" s="2763"/>
      <c r="T70" s="2763"/>
      <c r="U70" s="2763"/>
      <c r="V70" s="2763"/>
      <c r="W70" s="2763"/>
      <c r="X70" s="2763"/>
      <c r="Y70" s="2763"/>
      <c r="Z70" s="2763"/>
      <c r="AA70" s="2763"/>
      <c r="AB70" s="2763"/>
      <c r="AC70" s="2763"/>
      <c r="AD70" s="2763"/>
      <c r="AE70" s="2763"/>
      <c r="AF70" s="2763"/>
      <c r="AG70" s="2763"/>
      <c r="AH70" s="2763"/>
      <c r="AI70" s="2763"/>
      <c r="AJ70" s="2763"/>
      <c r="AK70" s="279"/>
      <c r="AL70" s="279"/>
      <c r="AM70" s="279"/>
      <c r="AN70" s="279"/>
      <c r="AO70" s="482"/>
    </row>
    <row r="71" spans="1:41" ht="12" customHeight="1">
      <c r="B71" s="271"/>
      <c r="C71" s="271"/>
      <c r="D71" s="271"/>
      <c r="E71" s="271"/>
      <c r="F71" s="271"/>
      <c r="G71" s="271"/>
      <c r="H71" s="271"/>
      <c r="I71" s="271"/>
      <c r="J71" s="271"/>
      <c r="K71" s="271"/>
      <c r="L71" s="271"/>
      <c r="M71" s="271"/>
      <c r="N71" s="271"/>
      <c r="O71" s="271"/>
      <c r="P71" s="271"/>
      <c r="Q71" s="2763"/>
      <c r="R71" s="2763"/>
      <c r="S71" s="2763"/>
      <c r="T71" s="2763"/>
      <c r="U71" s="2763"/>
      <c r="V71" s="2763"/>
      <c r="W71" s="2763"/>
      <c r="X71" s="2763"/>
      <c r="Y71" s="2763"/>
      <c r="Z71" s="2763"/>
      <c r="AA71" s="2763"/>
      <c r="AB71" s="2763"/>
      <c r="AC71" s="2763"/>
      <c r="AD71" s="2763"/>
      <c r="AE71" s="2763"/>
      <c r="AF71" s="2763"/>
      <c r="AG71" s="2763"/>
      <c r="AH71" s="2763"/>
      <c r="AI71" s="2763"/>
      <c r="AJ71" s="2763"/>
      <c r="AK71" s="279"/>
      <c r="AL71" s="279"/>
      <c r="AM71" s="279"/>
      <c r="AN71" s="279"/>
    </row>
    <row r="72" spans="1:41" ht="12" customHeight="1">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row>
  </sheetData>
  <mergeCells count="393">
    <mergeCell ref="Q69:AJ71"/>
    <mergeCell ref="W6:Y7"/>
    <mergeCell ref="AF6:AI7"/>
    <mergeCell ref="Z6:AA7"/>
    <mergeCell ref="AB6:AC7"/>
    <mergeCell ref="AJ9:AN10"/>
    <mergeCell ref="AJ11:AN12"/>
    <mergeCell ref="AJ13:AN14"/>
    <mergeCell ref="AJ15:AN16"/>
    <mergeCell ref="AJ17:AN18"/>
    <mergeCell ref="AJ19:AN20"/>
    <mergeCell ref="AJ41:AN42"/>
    <mergeCell ref="AJ21:AN22"/>
    <mergeCell ref="AJ39:AN40"/>
    <mergeCell ref="AJ37:AN38"/>
    <mergeCell ref="AJ35:AN36"/>
    <mergeCell ref="AJ33:AN34"/>
    <mergeCell ref="AJ61:AN62"/>
    <mergeCell ref="AJ59:AN60"/>
    <mergeCell ref="AJ57:AN58"/>
    <mergeCell ref="AJ55:AN56"/>
    <mergeCell ref="AJ53:AN54"/>
    <mergeCell ref="AJ51:AN52"/>
    <mergeCell ref="AJ65:AN66"/>
    <mergeCell ref="A1:AN3"/>
    <mergeCell ref="AD6:AE7"/>
    <mergeCell ref="AJ23:AN24"/>
    <mergeCell ref="AJ25:AN26"/>
    <mergeCell ref="AJ31:AN32"/>
    <mergeCell ref="AJ29:AN30"/>
    <mergeCell ref="AJ27:AN28"/>
    <mergeCell ref="AJ49:AN50"/>
    <mergeCell ref="AJ47:AN48"/>
    <mergeCell ref="AJ45:AN46"/>
    <mergeCell ref="AJ43:AN44"/>
    <mergeCell ref="P15:T16"/>
    <mergeCell ref="U15:Y16"/>
    <mergeCell ref="K15:L16"/>
    <mergeCell ref="M15:M16"/>
    <mergeCell ref="N13:O14"/>
    <mergeCell ref="I11:J12"/>
    <mergeCell ref="K11:L12"/>
    <mergeCell ref="P13:T14"/>
    <mergeCell ref="U13:Y14"/>
    <mergeCell ref="N15:O16"/>
    <mergeCell ref="K13:L14"/>
    <mergeCell ref="M13:M14"/>
    <mergeCell ref="I15:J16"/>
    <mergeCell ref="AE65:AI66"/>
    <mergeCell ref="AJ63:AN64"/>
    <mergeCell ref="Z63:AD64"/>
    <mergeCell ref="AE63:AI64"/>
    <mergeCell ref="AJ67:AN68"/>
    <mergeCell ref="AE67:AI68"/>
    <mergeCell ref="Z67:AD68"/>
    <mergeCell ref="U67:Y68"/>
    <mergeCell ref="P67:T68"/>
    <mergeCell ref="P63:T64"/>
    <mergeCell ref="U63:Y64"/>
    <mergeCell ref="N67:O68"/>
    <mergeCell ref="M67:M68"/>
    <mergeCell ref="K67:L68"/>
    <mergeCell ref="I67:J68"/>
    <mergeCell ref="P65:T66"/>
    <mergeCell ref="U65:Y66"/>
    <mergeCell ref="Z65:AD66"/>
    <mergeCell ref="A65:C66"/>
    <mergeCell ref="D65:E66"/>
    <mergeCell ref="F65:G66"/>
    <mergeCell ref="H65:H66"/>
    <mergeCell ref="I65:J66"/>
    <mergeCell ref="K65:L66"/>
    <mergeCell ref="M65:M66"/>
    <mergeCell ref="N65:O66"/>
    <mergeCell ref="H67:H68"/>
    <mergeCell ref="F67:G68"/>
    <mergeCell ref="D67:E68"/>
    <mergeCell ref="A67:C68"/>
    <mergeCell ref="M53:M54"/>
    <mergeCell ref="N53:O54"/>
    <mergeCell ref="A63:C64"/>
    <mergeCell ref="D63:E64"/>
    <mergeCell ref="F63:G64"/>
    <mergeCell ref="H63:H64"/>
    <mergeCell ref="I63:J64"/>
    <mergeCell ref="K63:L64"/>
    <mergeCell ref="M63:M64"/>
    <mergeCell ref="N63:O64"/>
    <mergeCell ref="F61:G62"/>
    <mergeCell ref="H61:H62"/>
    <mergeCell ref="I61:J62"/>
    <mergeCell ref="K61:L62"/>
    <mergeCell ref="M61:M62"/>
    <mergeCell ref="N61:O62"/>
    <mergeCell ref="AE61:AI62"/>
    <mergeCell ref="A61:C62"/>
    <mergeCell ref="D61:E62"/>
    <mergeCell ref="U61:Y62"/>
    <mergeCell ref="AE13:AI14"/>
    <mergeCell ref="A13:C14"/>
    <mergeCell ref="A15:C16"/>
    <mergeCell ref="D13:E14"/>
    <mergeCell ref="F13:G14"/>
    <mergeCell ref="H13:H14"/>
    <mergeCell ref="I13:J14"/>
    <mergeCell ref="H59:H60"/>
    <mergeCell ref="I59:J60"/>
    <mergeCell ref="I47:J48"/>
    <mergeCell ref="H43:H44"/>
    <mergeCell ref="I43:J44"/>
    <mergeCell ref="I31:J32"/>
    <mergeCell ref="K59:L60"/>
    <mergeCell ref="M59:M60"/>
    <mergeCell ref="N59:O60"/>
    <mergeCell ref="Z61:AD62"/>
    <mergeCell ref="P59:T60"/>
    <mergeCell ref="U59:Y60"/>
    <mergeCell ref="P61:T62"/>
    <mergeCell ref="Z57:AD58"/>
    <mergeCell ref="AE57:AI58"/>
    <mergeCell ref="A57:C58"/>
    <mergeCell ref="D57:E58"/>
    <mergeCell ref="U57:Y58"/>
    <mergeCell ref="Z59:AD60"/>
    <mergeCell ref="AE59:AI60"/>
    <mergeCell ref="A59:C60"/>
    <mergeCell ref="D59:E60"/>
    <mergeCell ref="F59:G60"/>
    <mergeCell ref="F57:G58"/>
    <mergeCell ref="H57:H58"/>
    <mergeCell ref="I57:J58"/>
    <mergeCell ref="K57:L58"/>
    <mergeCell ref="M57:M58"/>
    <mergeCell ref="N57:O58"/>
    <mergeCell ref="P57:T58"/>
    <mergeCell ref="Z53:AD54"/>
    <mergeCell ref="AE53:AI54"/>
    <mergeCell ref="A53:C54"/>
    <mergeCell ref="D53:E54"/>
    <mergeCell ref="U53:Y54"/>
    <mergeCell ref="P51:T52"/>
    <mergeCell ref="U51:Y52"/>
    <mergeCell ref="Z55:AD56"/>
    <mergeCell ref="AE55:AI56"/>
    <mergeCell ref="A55:C56"/>
    <mergeCell ref="D55:E56"/>
    <mergeCell ref="F55:G56"/>
    <mergeCell ref="H55:H56"/>
    <mergeCell ref="I55:J56"/>
    <mergeCell ref="K55:L56"/>
    <mergeCell ref="M55:M56"/>
    <mergeCell ref="N55:O56"/>
    <mergeCell ref="P53:T54"/>
    <mergeCell ref="P55:T56"/>
    <mergeCell ref="U55:Y56"/>
    <mergeCell ref="F53:G54"/>
    <mergeCell ref="H53:H54"/>
    <mergeCell ref="I53:J54"/>
    <mergeCell ref="K53:L54"/>
    <mergeCell ref="A49:C50"/>
    <mergeCell ref="D49:E50"/>
    <mergeCell ref="U49:Y50"/>
    <mergeCell ref="Z51:AD52"/>
    <mergeCell ref="AE51:AI52"/>
    <mergeCell ref="A51:C52"/>
    <mergeCell ref="D51:E52"/>
    <mergeCell ref="F51:G52"/>
    <mergeCell ref="H51:H52"/>
    <mergeCell ref="I51:J52"/>
    <mergeCell ref="Z49:AD50"/>
    <mergeCell ref="AE49:AI50"/>
    <mergeCell ref="K51:L52"/>
    <mergeCell ref="M51:M52"/>
    <mergeCell ref="N51:O52"/>
    <mergeCell ref="F49:G50"/>
    <mergeCell ref="H49:H50"/>
    <mergeCell ref="I49:J50"/>
    <mergeCell ref="K49:L50"/>
    <mergeCell ref="M49:M50"/>
    <mergeCell ref="N49:O50"/>
    <mergeCell ref="A45:C46"/>
    <mergeCell ref="D45:E46"/>
    <mergeCell ref="U45:Y46"/>
    <mergeCell ref="Z47:AD48"/>
    <mergeCell ref="AE47:AI48"/>
    <mergeCell ref="A47:C48"/>
    <mergeCell ref="D47:E48"/>
    <mergeCell ref="F47:G48"/>
    <mergeCell ref="H47:H48"/>
    <mergeCell ref="F45:G46"/>
    <mergeCell ref="H45:H46"/>
    <mergeCell ref="I45:J46"/>
    <mergeCell ref="K45:L46"/>
    <mergeCell ref="M45:M46"/>
    <mergeCell ref="N45:O46"/>
    <mergeCell ref="K47:L48"/>
    <mergeCell ref="M47:M48"/>
    <mergeCell ref="N47:O48"/>
    <mergeCell ref="Z45:AD46"/>
    <mergeCell ref="P45:T46"/>
    <mergeCell ref="Z41:AD42"/>
    <mergeCell ref="AE41:AI42"/>
    <mergeCell ref="P47:T48"/>
    <mergeCell ref="U47:Y48"/>
    <mergeCell ref="P49:T50"/>
    <mergeCell ref="AE45:AI46"/>
    <mergeCell ref="P41:T42"/>
    <mergeCell ref="Z43:AD44"/>
    <mergeCell ref="AE43:AI44"/>
    <mergeCell ref="A43:C44"/>
    <mergeCell ref="D43:E44"/>
    <mergeCell ref="F43:G44"/>
    <mergeCell ref="Z39:AD40"/>
    <mergeCell ref="AE39:AI40"/>
    <mergeCell ref="A39:C40"/>
    <mergeCell ref="D39:E40"/>
    <mergeCell ref="F39:G40"/>
    <mergeCell ref="H39:H40"/>
    <mergeCell ref="I39:J40"/>
    <mergeCell ref="K39:L40"/>
    <mergeCell ref="M39:M40"/>
    <mergeCell ref="N39:O40"/>
    <mergeCell ref="K43:L44"/>
    <mergeCell ref="M43:M44"/>
    <mergeCell ref="N43:O44"/>
    <mergeCell ref="P39:T40"/>
    <mergeCell ref="U39:Y40"/>
    <mergeCell ref="F41:G42"/>
    <mergeCell ref="H41:H42"/>
    <mergeCell ref="I41:J42"/>
    <mergeCell ref="K41:L42"/>
    <mergeCell ref="P43:T44"/>
    <mergeCell ref="U43:Y44"/>
    <mergeCell ref="Z37:AD38"/>
    <mergeCell ref="AE37:AI38"/>
    <mergeCell ref="A37:C38"/>
    <mergeCell ref="D37:E38"/>
    <mergeCell ref="U37:Y38"/>
    <mergeCell ref="P35:T36"/>
    <mergeCell ref="U35:Y36"/>
    <mergeCell ref="A41:C42"/>
    <mergeCell ref="D41:E42"/>
    <mergeCell ref="U41:Y42"/>
    <mergeCell ref="P37:T38"/>
    <mergeCell ref="M41:M42"/>
    <mergeCell ref="N41:O42"/>
    <mergeCell ref="F37:G38"/>
    <mergeCell ref="H37:H38"/>
    <mergeCell ref="I37:J38"/>
    <mergeCell ref="K37:L38"/>
    <mergeCell ref="M37:M38"/>
    <mergeCell ref="N37:O38"/>
    <mergeCell ref="Z35:AD36"/>
    <mergeCell ref="AE35:AI36"/>
    <mergeCell ref="A35:C36"/>
    <mergeCell ref="D35:E36"/>
    <mergeCell ref="F35:G36"/>
    <mergeCell ref="H35:H36"/>
    <mergeCell ref="I35:J36"/>
    <mergeCell ref="K35:L36"/>
    <mergeCell ref="M35:M36"/>
    <mergeCell ref="N35:O36"/>
    <mergeCell ref="N31:O32"/>
    <mergeCell ref="Z33:AD34"/>
    <mergeCell ref="AE33:AI34"/>
    <mergeCell ref="P31:T32"/>
    <mergeCell ref="U31:Y32"/>
    <mergeCell ref="P33:T34"/>
    <mergeCell ref="N33:O34"/>
    <mergeCell ref="K31:L32"/>
    <mergeCell ref="M31:M32"/>
    <mergeCell ref="AE29:AI30"/>
    <mergeCell ref="A29:C30"/>
    <mergeCell ref="D29:E30"/>
    <mergeCell ref="U29:Y30"/>
    <mergeCell ref="Z31:AD32"/>
    <mergeCell ref="AE31:AI32"/>
    <mergeCell ref="A31:C32"/>
    <mergeCell ref="D31:E32"/>
    <mergeCell ref="F31:G32"/>
    <mergeCell ref="H31:H32"/>
    <mergeCell ref="Z29:AD30"/>
    <mergeCell ref="F29:G30"/>
    <mergeCell ref="H29:H30"/>
    <mergeCell ref="I29:J30"/>
    <mergeCell ref="K29:L30"/>
    <mergeCell ref="M29:M30"/>
    <mergeCell ref="N29:O30"/>
    <mergeCell ref="P29:T30"/>
    <mergeCell ref="A33:C34"/>
    <mergeCell ref="D33:E34"/>
    <mergeCell ref="U33:Y34"/>
    <mergeCell ref="F33:G34"/>
    <mergeCell ref="H33:H34"/>
    <mergeCell ref="I33:J34"/>
    <mergeCell ref="K33:L34"/>
    <mergeCell ref="M33:M34"/>
    <mergeCell ref="H27:H28"/>
    <mergeCell ref="I27:J28"/>
    <mergeCell ref="K27:L28"/>
    <mergeCell ref="M27:M28"/>
    <mergeCell ref="N27:O28"/>
    <mergeCell ref="P27:T28"/>
    <mergeCell ref="U27:Y28"/>
    <mergeCell ref="Z25:AD26"/>
    <mergeCell ref="AE25:AI26"/>
    <mergeCell ref="A25:C26"/>
    <mergeCell ref="D25:E26"/>
    <mergeCell ref="U25:Y26"/>
    <mergeCell ref="Z27:AD28"/>
    <mergeCell ref="AE27:AI28"/>
    <mergeCell ref="A27:C28"/>
    <mergeCell ref="D27:E28"/>
    <mergeCell ref="F27:G28"/>
    <mergeCell ref="P25:T26"/>
    <mergeCell ref="F25:G26"/>
    <mergeCell ref="H25:H26"/>
    <mergeCell ref="I25:J26"/>
    <mergeCell ref="K25:L26"/>
    <mergeCell ref="M25:M26"/>
    <mergeCell ref="N25:O26"/>
    <mergeCell ref="Z23:AD24"/>
    <mergeCell ref="AE23:AI24"/>
    <mergeCell ref="A23:C24"/>
    <mergeCell ref="D23:E24"/>
    <mergeCell ref="F23:G24"/>
    <mergeCell ref="H23:H24"/>
    <mergeCell ref="I23:J24"/>
    <mergeCell ref="K23:L24"/>
    <mergeCell ref="M23:M24"/>
    <mergeCell ref="N23:O24"/>
    <mergeCell ref="P23:T24"/>
    <mergeCell ref="U23:Y24"/>
    <mergeCell ref="Z21:AD22"/>
    <mergeCell ref="AE21:AI22"/>
    <mergeCell ref="A21:C22"/>
    <mergeCell ref="D21:E22"/>
    <mergeCell ref="F21:G22"/>
    <mergeCell ref="H21:H22"/>
    <mergeCell ref="I21:J22"/>
    <mergeCell ref="K21:L22"/>
    <mergeCell ref="M21:M22"/>
    <mergeCell ref="N21:O22"/>
    <mergeCell ref="P21:T22"/>
    <mergeCell ref="U21:Y22"/>
    <mergeCell ref="A17:C18"/>
    <mergeCell ref="D17:E18"/>
    <mergeCell ref="Z19:AD20"/>
    <mergeCell ref="AE19:AI20"/>
    <mergeCell ref="A19:C20"/>
    <mergeCell ref="D19:E20"/>
    <mergeCell ref="F19:G20"/>
    <mergeCell ref="H19:H20"/>
    <mergeCell ref="I19:J20"/>
    <mergeCell ref="K19:L20"/>
    <mergeCell ref="M19:M20"/>
    <mergeCell ref="N19:O20"/>
    <mergeCell ref="F17:G18"/>
    <mergeCell ref="H17:H18"/>
    <mergeCell ref="I17:J18"/>
    <mergeCell ref="K17:L18"/>
    <mergeCell ref="M17:M18"/>
    <mergeCell ref="Z17:AD18"/>
    <mergeCell ref="AE17:AI18"/>
    <mergeCell ref="N17:O18"/>
    <mergeCell ref="P17:T18"/>
    <mergeCell ref="U17:Y18"/>
    <mergeCell ref="P19:T20"/>
    <mergeCell ref="U19:Y20"/>
    <mergeCell ref="Z15:AD16"/>
    <mergeCell ref="Z13:AD14"/>
    <mergeCell ref="AE15:AI16"/>
    <mergeCell ref="A9:C10"/>
    <mergeCell ref="A11:C12"/>
    <mergeCell ref="D9:E10"/>
    <mergeCell ref="D11:E12"/>
    <mergeCell ref="H11:H12"/>
    <mergeCell ref="F11:G12"/>
    <mergeCell ref="U9:Y10"/>
    <mergeCell ref="P11:T12"/>
    <mergeCell ref="U11:Y12"/>
    <mergeCell ref="AE11:AI12"/>
    <mergeCell ref="Z11:AD12"/>
    <mergeCell ref="AE9:AI10"/>
    <mergeCell ref="Z9:AD10"/>
    <mergeCell ref="F9:J10"/>
    <mergeCell ref="K9:O10"/>
    <mergeCell ref="M11:M12"/>
    <mergeCell ref="P9:T10"/>
    <mergeCell ref="N11:O12"/>
    <mergeCell ref="D15:E16"/>
    <mergeCell ref="F15:G16"/>
    <mergeCell ref="H15:H16"/>
  </mergeCells>
  <phoneticPr fontId="17"/>
  <printOptions horizontalCentered="1" verticalCentered="1"/>
  <pageMargins left="0" right="0" top="0.51181102362204722" bottom="0.51181102362204722" header="0.51181102362204722" footer="0.51181102362204722"/>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O44"/>
  <sheetViews>
    <sheetView workbookViewId="0"/>
  </sheetViews>
  <sheetFormatPr defaultColWidth="9" defaultRowHeight="13.5"/>
  <cols>
    <col min="1" max="1" width="2.125" style="280" customWidth="1"/>
    <col min="2" max="2" width="3.125" style="280" customWidth="1"/>
    <col min="3" max="3" width="16.375" style="280" customWidth="1"/>
    <col min="4" max="4" width="9.625" style="280" customWidth="1"/>
    <col min="5" max="7" width="10" style="280" customWidth="1"/>
    <col min="8" max="8" width="13.125" style="280" customWidth="1"/>
    <col min="9" max="9" width="16.125" style="280" customWidth="1"/>
    <col min="10" max="10" width="4.375" style="280" customWidth="1"/>
    <col min="11" max="11" width="13.875" style="280" customWidth="1"/>
    <col min="12" max="12" width="4.375" style="280" customWidth="1"/>
    <col min="13" max="13" width="21.125" style="280" customWidth="1"/>
    <col min="14" max="14" width="9" style="280"/>
    <col min="15" max="15" width="7.5" style="280" bestFit="1" customWidth="1"/>
    <col min="16" max="16384" width="9" style="280"/>
  </cols>
  <sheetData>
    <row r="1" spans="2:15" ht="10.5" customHeight="1"/>
    <row r="2" spans="2:15" ht="25.5" customHeight="1">
      <c r="B2" s="296" t="s">
        <v>1743</v>
      </c>
      <c r="C2" s="295"/>
      <c r="D2" s="295"/>
      <c r="E2" s="293"/>
      <c r="F2" s="293"/>
      <c r="G2" s="293"/>
      <c r="H2" s="2769" t="str">
        <f>【マスター】!C7&amp;【マスター】!E7</f>
        <v>デイサービスさつきの湯</v>
      </c>
      <c r="I2" s="2769"/>
      <c r="J2" s="2769"/>
      <c r="K2" s="2769"/>
      <c r="L2" s="2769"/>
      <c r="M2" s="2769"/>
      <c r="O2" s="483"/>
    </row>
    <row r="3" spans="2:15" s="293" customFormat="1" ht="16.5" customHeight="1">
      <c r="B3" s="2767" t="s">
        <v>1744</v>
      </c>
      <c r="C3" s="2767" t="s">
        <v>1745</v>
      </c>
      <c r="D3" s="2770" t="s">
        <v>1746</v>
      </c>
      <c r="E3" s="2771"/>
      <c r="F3" s="2772" t="s">
        <v>1747</v>
      </c>
      <c r="G3" s="2770"/>
      <c r="H3" s="2768" t="s">
        <v>1748</v>
      </c>
      <c r="I3" s="2768" t="s">
        <v>1749</v>
      </c>
      <c r="J3" s="2773" t="s">
        <v>1750</v>
      </c>
      <c r="K3" s="2768" t="s">
        <v>1751</v>
      </c>
      <c r="L3" s="2773" t="s">
        <v>1750</v>
      </c>
      <c r="M3" s="2767" t="s">
        <v>774</v>
      </c>
    </row>
    <row r="4" spans="2:15" s="293" customFormat="1" ht="28.5" customHeight="1">
      <c r="B4" s="2767"/>
      <c r="C4" s="2767"/>
      <c r="D4" s="594" t="s">
        <v>1752</v>
      </c>
      <c r="E4" s="294" t="s">
        <v>1735</v>
      </c>
      <c r="F4" s="294" t="s">
        <v>1734</v>
      </c>
      <c r="G4" s="594" t="s">
        <v>1752</v>
      </c>
      <c r="H4" s="2768"/>
      <c r="I4" s="2768"/>
      <c r="J4" s="2774"/>
      <c r="K4" s="2768"/>
      <c r="L4" s="2774"/>
      <c r="M4" s="2767"/>
      <c r="O4" s="484"/>
    </row>
    <row r="5" spans="2:15" ht="36" customHeight="1">
      <c r="B5" s="292"/>
      <c r="C5" s="288"/>
      <c r="D5" s="291"/>
      <c r="E5" s="286"/>
      <c r="F5" s="286"/>
      <c r="G5" s="285"/>
      <c r="H5" s="284"/>
      <c r="I5" s="283"/>
      <c r="J5" s="283"/>
      <c r="K5" s="283"/>
      <c r="L5" s="283"/>
      <c r="M5" s="282"/>
    </row>
    <row r="6" spans="2:15" ht="36" customHeight="1">
      <c r="B6" s="289"/>
      <c r="C6" s="288"/>
      <c r="D6" s="287"/>
      <c r="E6" s="286"/>
      <c r="F6" s="286"/>
      <c r="G6" s="285"/>
      <c r="H6" s="284"/>
      <c r="I6" s="283"/>
      <c r="J6" s="283"/>
      <c r="K6" s="283"/>
      <c r="L6" s="283"/>
      <c r="M6" s="282"/>
    </row>
    <row r="7" spans="2:15" ht="36" customHeight="1">
      <c r="B7" s="289"/>
      <c r="C7" s="288"/>
      <c r="D7" s="287"/>
      <c r="E7" s="286"/>
      <c r="F7" s="286"/>
      <c r="G7" s="285"/>
      <c r="H7" s="284"/>
      <c r="I7" s="283"/>
      <c r="J7" s="283"/>
      <c r="K7" s="283"/>
      <c r="L7" s="283"/>
      <c r="M7" s="282"/>
    </row>
    <row r="8" spans="2:15" ht="36" customHeight="1">
      <c r="B8" s="289"/>
      <c r="C8" s="288"/>
      <c r="D8" s="287"/>
      <c r="E8" s="286"/>
      <c r="F8" s="286"/>
      <c r="G8" s="285"/>
      <c r="H8" s="284"/>
      <c r="I8" s="283"/>
      <c r="J8" s="290"/>
      <c r="K8" s="283"/>
      <c r="L8" s="283"/>
      <c r="M8" s="282"/>
    </row>
    <row r="9" spans="2:15" ht="36" customHeight="1">
      <c r="B9" s="289"/>
      <c r="C9" s="288"/>
      <c r="D9" s="285"/>
      <c r="E9" s="286"/>
      <c r="F9" s="286"/>
      <c r="G9" s="285"/>
      <c r="H9" s="284"/>
      <c r="I9" s="283"/>
      <c r="J9" s="283"/>
      <c r="K9" s="283"/>
      <c r="L9" s="283"/>
      <c r="M9" s="282"/>
    </row>
    <row r="10" spans="2:15" ht="36" customHeight="1">
      <c r="B10" s="289"/>
      <c r="C10" s="288"/>
      <c r="D10" s="287"/>
      <c r="E10" s="286"/>
      <c r="F10" s="286"/>
      <c r="G10" s="285"/>
      <c r="H10" s="284"/>
      <c r="I10" s="283"/>
      <c r="J10" s="283"/>
      <c r="K10" s="283"/>
      <c r="L10" s="283"/>
      <c r="M10" s="282"/>
    </row>
    <row r="11" spans="2:15" ht="36" customHeight="1">
      <c r="B11" s="289"/>
      <c r="C11" s="288"/>
      <c r="D11" s="287"/>
      <c r="E11" s="286"/>
      <c r="F11" s="286"/>
      <c r="G11" s="285"/>
      <c r="H11" s="284"/>
      <c r="I11" s="283"/>
      <c r="J11" s="283"/>
      <c r="K11" s="283"/>
      <c r="L11" s="283"/>
      <c r="M11" s="282"/>
    </row>
    <row r="12" spans="2:15" ht="36" customHeight="1">
      <c r="B12" s="289"/>
      <c r="C12" s="288"/>
      <c r="D12" s="287"/>
      <c r="E12" s="286"/>
      <c r="F12" s="286"/>
      <c r="G12" s="285"/>
      <c r="H12" s="284"/>
      <c r="I12" s="283"/>
      <c r="J12" s="283"/>
      <c r="K12" s="283"/>
      <c r="L12" s="283"/>
      <c r="M12" s="282"/>
    </row>
    <row r="13" spans="2:15" ht="36" customHeight="1">
      <c r="B13" s="289"/>
      <c r="C13" s="288"/>
      <c r="D13" s="287"/>
      <c r="E13" s="286"/>
      <c r="F13" s="286"/>
      <c r="G13" s="285"/>
      <c r="H13" s="284"/>
      <c r="I13" s="283"/>
      <c r="J13" s="283"/>
      <c r="K13" s="283"/>
      <c r="L13" s="283"/>
      <c r="M13" s="282"/>
    </row>
    <row r="14" spans="2:15" ht="36" customHeight="1">
      <c r="B14" s="289"/>
      <c r="C14" s="288"/>
      <c r="D14" s="287"/>
      <c r="E14" s="286"/>
      <c r="F14" s="286"/>
      <c r="G14" s="285"/>
      <c r="H14" s="284"/>
      <c r="I14" s="283"/>
      <c r="J14" s="283"/>
      <c r="K14" s="283"/>
      <c r="L14" s="283"/>
      <c r="M14" s="282"/>
    </row>
    <row r="15" spans="2:15" ht="36" customHeight="1">
      <c r="B15" s="289"/>
      <c r="C15" s="288"/>
      <c r="D15" s="287"/>
      <c r="E15" s="286"/>
      <c r="F15" s="286"/>
      <c r="G15" s="285"/>
      <c r="H15" s="284"/>
      <c r="I15" s="283"/>
      <c r="J15" s="283"/>
      <c r="K15" s="283"/>
      <c r="L15" s="283"/>
      <c r="M15" s="282"/>
    </row>
    <row r="16" spans="2:15" ht="36" customHeight="1">
      <c r="B16" s="289"/>
      <c r="C16" s="288"/>
      <c r="D16" s="287"/>
      <c r="E16" s="286"/>
      <c r="F16" s="286"/>
      <c r="G16" s="285"/>
      <c r="H16" s="284"/>
      <c r="I16" s="283"/>
      <c r="J16" s="283"/>
      <c r="K16" s="283"/>
      <c r="L16" s="283"/>
      <c r="M16" s="282"/>
    </row>
    <row r="17" spans="2:13" ht="36" customHeight="1">
      <c r="B17" s="289"/>
      <c r="C17" s="288"/>
      <c r="D17" s="287"/>
      <c r="E17" s="286"/>
      <c r="F17" s="286"/>
      <c r="G17" s="285"/>
      <c r="H17" s="284"/>
      <c r="I17" s="283"/>
      <c r="J17" s="283"/>
      <c r="K17" s="283"/>
      <c r="L17" s="283"/>
      <c r="M17" s="282"/>
    </row>
    <row r="18" spans="2:13" ht="36" customHeight="1">
      <c r="B18" s="289"/>
      <c r="C18" s="288"/>
      <c r="D18" s="287"/>
      <c r="E18" s="286"/>
      <c r="F18" s="286"/>
      <c r="G18" s="285"/>
      <c r="H18" s="284"/>
      <c r="I18" s="283"/>
      <c r="J18" s="283"/>
      <c r="K18" s="283"/>
      <c r="L18" s="283"/>
      <c r="M18" s="282"/>
    </row>
    <row r="19" spans="2:13" ht="36" customHeight="1">
      <c r="B19" s="289"/>
      <c r="C19" s="288"/>
      <c r="D19" s="287"/>
      <c r="E19" s="286"/>
      <c r="F19" s="286"/>
      <c r="G19" s="285"/>
      <c r="H19" s="284"/>
      <c r="I19" s="283"/>
      <c r="J19" s="283"/>
      <c r="K19" s="283"/>
      <c r="L19" s="283"/>
      <c r="M19" s="282"/>
    </row>
    <row r="20" spans="2:13" ht="36" customHeight="1">
      <c r="B20" s="289"/>
      <c r="C20" s="288"/>
      <c r="D20" s="287"/>
      <c r="E20" s="286"/>
      <c r="F20" s="286"/>
      <c r="G20" s="285"/>
      <c r="H20" s="284"/>
      <c r="I20" s="283"/>
      <c r="J20" s="283"/>
      <c r="K20" s="283"/>
      <c r="L20" s="283"/>
      <c r="M20" s="282"/>
    </row>
    <row r="21" spans="2:13" ht="36" customHeight="1">
      <c r="B21" s="289"/>
      <c r="C21" s="288"/>
      <c r="D21" s="287"/>
      <c r="E21" s="286"/>
      <c r="F21" s="286"/>
      <c r="G21" s="285"/>
      <c r="H21" s="284"/>
      <c r="I21" s="283"/>
      <c r="J21" s="283"/>
      <c r="K21" s="283"/>
      <c r="L21" s="283"/>
      <c r="M21" s="282"/>
    </row>
    <row r="22" spans="2:13" ht="36" customHeight="1">
      <c r="B22" s="289"/>
      <c r="C22" s="288"/>
      <c r="D22" s="287"/>
      <c r="E22" s="286"/>
      <c r="F22" s="286"/>
      <c r="G22" s="285"/>
      <c r="H22" s="284"/>
      <c r="I22" s="283"/>
      <c r="J22" s="283"/>
      <c r="K22" s="283"/>
      <c r="L22" s="283"/>
      <c r="M22" s="282"/>
    </row>
    <row r="23" spans="2:13" ht="36" customHeight="1">
      <c r="B23" s="289"/>
      <c r="C23" s="288"/>
      <c r="D23" s="287"/>
      <c r="E23" s="286"/>
      <c r="F23" s="286"/>
      <c r="G23" s="285"/>
      <c r="H23" s="284"/>
      <c r="I23" s="283"/>
      <c r="J23" s="283"/>
      <c r="K23" s="283"/>
      <c r="L23" s="283"/>
      <c r="M23" s="282"/>
    </row>
    <row r="24" spans="2:13" ht="36" customHeight="1">
      <c r="B24" s="289"/>
      <c r="C24" s="288"/>
      <c r="D24" s="287"/>
      <c r="E24" s="286"/>
      <c r="F24" s="286"/>
      <c r="G24" s="285"/>
      <c r="H24" s="284"/>
      <c r="I24" s="283"/>
      <c r="J24" s="283"/>
      <c r="K24" s="283"/>
      <c r="L24" s="283"/>
      <c r="M24" s="282"/>
    </row>
    <row r="25" spans="2:13" ht="36" customHeight="1">
      <c r="B25" s="289"/>
      <c r="C25" s="288"/>
      <c r="D25" s="287"/>
      <c r="E25" s="286"/>
      <c r="F25" s="286"/>
      <c r="G25" s="285"/>
      <c r="H25" s="284"/>
      <c r="I25" s="283"/>
      <c r="J25" s="283"/>
      <c r="K25" s="283"/>
      <c r="L25" s="283"/>
      <c r="M25" s="282"/>
    </row>
    <row r="26" spans="2:13" ht="36" customHeight="1">
      <c r="B26" s="289"/>
      <c r="C26" s="288"/>
      <c r="D26" s="287"/>
      <c r="E26" s="286"/>
      <c r="F26" s="286"/>
      <c r="G26" s="285"/>
      <c r="H26" s="284"/>
      <c r="I26" s="283"/>
      <c r="J26" s="283"/>
      <c r="K26" s="283"/>
      <c r="L26" s="283"/>
      <c r="M26" s="282"/>
    </row>
    <row r="27" spans="2:13" ht="36" customHeight="1">
      <c r="B27" s="289"/>
      <c r="C27" s="288"/>
      <c r="D27" s="287"/>
      <c r="E27" s="286"/>
      <c r="F27" s="286"/>
      <c r="G27" s="285"/>
      <c r="H27" s="284"/>
      <c r="I27" s="283"/>
      <c r="J27" s="283"/>
      <c r="K27" s="283"/>
      <c r="L27" s="283"/>
      <c r="M27" s="282"/>
    </row>
    <row r="28" spans="2:13" ht="36" customHeight="1">
      <c r="B28" s="289"/>
      <c r="C28" s="288"/>
      <c r="D28" s="287"/>
      <c r="E28" s="286"/>
      <c r="F28" s="286"/>
      <c r="G28" s="285"/>
      <c r="H28" s="284"/>
      <c r="I28" s="283"/>
      <c r="J28" s="283"/>
      <c r="K28" s="283"/>
      <c r="L28" s="283"/>
      <c r="M28" s="282"/>
    </row>
    <row r="29" spans="2:13" ht="36" customHeight="1">
      <c r="B29" s="289"/>
      <c r="C29" s="288"/>
      <c r="D29" s="287"/>
      <c r="E29" s="286"/>
      <c r="F29" s="286"/>
      <c r="G29" s="285"/>
      <c r="H29" s="284"/>
      <c r="I29" s="283"/>
      <c r="J29" s="283"/>
      <c r="K29" s="283"/>
      <c r="L29" s="283"/>
      <c r="M29" s="282"/>
    </row>
    <row r="30" spans="2:13" ht="36" customHeight="1">
      <c r="B30" s="289"/>
      <c r="C30" s="288"/>
      <c r="D30" s="287"/>
      <c r="E30" s="286"/>
      <c r="F30" s="286"/>
      <c r="G30" s="285"/>
      <c r="H30" s="284"/>
      <c r="I30" s="283"/>
      <c r="J30" s="283"/>
      <c r="K30" s="283"/>
      <c r="L30" s="283"/>
      <c r="M30" s="282"/>
    </row>
    <row r="31" spans="2:13" ht="36" customHeight="1">
      <c r="B31" s="289"/>
      <c r="C31" s="288"/>
      <c r="D31" s="287"/>
      <c r="E31" s="286"/>
      <c r="F31" s="286"/>
      <c r="G31" s="285"/>
      <c r="H31" s="284"/>
      <c r="I31" s="283"/>
      <c r="J31" s="283"/>
      <c r="K31" s="283"/>
      <c r="L31" s="283"/>
      <c r="M31" s="282"/>
    </row>
    <row r="32" spans="2:13" ht="36" customHeight="1">
      <c r="B32" s="289"/>
      <c r="C32" s="288"/>
      <c r="D32" s="287"/>
      <c r="E32" s="286"/>
      <c r="F32" s="286"/>
      <c r="G32" s="285"/>
      <c r="H32" s="284"/>
      <c r="I32" s="283"/>
      <c r="J32" s="283"/>
      <c r="K32" s="283"/>
      <c r="L32" s="283"/>
      <c r="M32" s="282"/>
    </row>
    <row r="33" spans="2:13" ht="36" customHeight="1">
      <c r="B33" s="289"/>
      <c r="C33" s="288"/>
      <c r="D33" s="287"/>
      <c r="E33" s="286"/>
      <c r="F33" s="286"/>
      <c r="G33" s="285"/>
      <c r="H33" s="284"/>
      <c r="I33" s="283"/>
      <c r="J33" s="283"/>
      <c r="K33" s="283"/>
      <c r="L33" s="283"/>
      <c r="M33" s="282"/>
    </row>
    <row r="34" spans="2:13" ht="36" customHeight="1">
      <c r="B34" s="289"/>
      <c r="C34" s="288"/>
      <c r="D34" s="287"/>
      <c r="E34" s="286"/>
      <c r="F34" s="286"/>
      <c r="G34" s="285"/>
      <c r="H34" s="284"/>
      <c r="I34" s="283"/>
      <c r="J34" s="283"/>
      <c r="K34" s="283"/>
      <c r="L34" s="283"/>
      <c r="M34" s="282"/>
    </row>
    <row r="35" spans="2:13" ht="17.25">
      <c r="M35" s="281" t="s">
        <v>1753</v>
      </c>
    </row>
    <row r="36" spans="2:13" ht="16.5" customHeight="1"/>
    <row r="37" spans="2:13" ht="16.5" customHeight="1"/>
    <row r="38" spans="2:13" ht="16.5" customHeight="1"/>
    <row r="39" spans="2:13" ht="16.5" customHeight="1"/>
    <row r="40" spans="2:13" ht="16.5" customHeight="1"/>
    <row r="41" spans="2:13" ht="16.5" customHeight="1"/>
    <row r="42" spans="2:13" ht="16.5" customHeight="1"/>
    <row r="43" spans="2:13" ht="16.5" customHeight="1"/>
    <row r="44" spans="2:13" ht="16.5" customHeight="1"/>
  </sheetData>
  <mergeCells count="11">
    <mergeCell ref="H2:M2"/>
    <mergeCell ref="M3:M4"/>
    <mergeCell ref="D3:E3"/>
    <mergeCell ref="F3:G3"/>
    <mergeCell ref="J3:J4"/>
    <mergeCell ref="L3:L4"/>
    <mergeCell ref="B3:B4"/>
    <mergeCell ref="C3:C4"/>
    <mergeCell ref="H3:H4"/>
    <mergeCell ref="I3:I4"/>
    <mergeCell ref="K3:K4"/>
  </mergeCells>
  <phoneticPr fontId="17"/>
  <printOptions horizontalCentered="1" verticalCentered="1"/>
  <pageMargins left="0" right="0" top="0" bottom="0" header="0.31496062992125984" footer="0.31496062992125984"/>
  <pageSetup paperSize="9" scale="68"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
    <tabColor rgb="FFFFC000"/>
  </sheetPr>
  <dimension ref="A1:AJ66"/>
  <sheetViews>
    <sheetView workbookViewId="0"/>
  </sheetViews>
  <sheetFormatPr defaultColWidth="8.875" defaultRowHeight="14.25"/>
  <cols>
    <col min="1" max="29" width="3.625" style="7" customWidth="1"/>
    <col min="30" max="30" width="1.625" style="7" customWidth="1"/>
    <col min="31" max="34" width="9" style="7"/>
    <col min="35" max="35" width="30.625" style="7" customWidth="1"/>
    <col min="36" max="36" width="9" style="7" hidden="1" customWidth="1"/>
    <col min="37" max="252" width="9" style="19"/>
    <col min="253" max="279" width="3.625" style="19" customWidth="1"/>
    <col min="280" max="508" width="9" style="19"/>
    <col min="509" max="535" width="3.625" style="19" customWidth="1"/>
    <col min="536" max="764" width="9" style="19"/>
    <col min="765" max="791" width="3.625" style="19" customWidth="1"/>
    <col min="792" max="1020" width="9" style="19"/>
    <col min="1021" max="1047" width="3.625" style="19" customWidth="1"/>
    <col min="1048" max="1276" width="9" style="19"/>
    <col min="1277" max="1303" width="3.625" style="19" customWidth="1"/>
    <col min="1304" max="1532" width="9" style="19"/>
    <col min="1533" max="1559" width="3.625" style="19" customWidth="1"/>
    <col min="1560" max="1788" width="9" style="19"/>
    <col min="1789" max="1815" width="3.625" style="19" customWidth="1"/>
    <col min="1816" max="2044" width="9" style="19"/>
    <col min="2045" max="2071" width="3.625" style="19" customWidth="1"/>
    <col min="2072" max="2300" width="9" style="19"/>
    <col min="2301" max="2327" width="3.625" style="19" customWidth="1"/>
    <col min="2328" max="2556" width="9" style="19"/>
    <col min="2557" max="2583" width="3.625" style="19" customWidth="1"/>
    <col min="2584" max="2812" width="9" style="19"/>
    <col min="2813" max="2839" width="3.625" style="19" customWidth="1"/>
    <col min="2840" max="3068" width="9" style="19"/>
    <col min="3069" max="3095" width="3.625" style="19" customWidth="1"/>
    <col min="3096" max="3324" width="9" style="19"/>
    <col min="3325" max="3351" width="3.625" style="19" customWidth="1"/>
    <col min="3352" max="3580" width="9" style="19"/>
    <col min="3581" max="3607" width="3.625" style="19" customWidth="1"/>
    <col min="3608" max="3836" width="9" style="19"/>
    <col min="3837" max="3863" width="3.625" style="19" customWidth="1"/>
    <col min="3864" max="4092" width="9" style="19"/>
    <col min="4093" max="4119" width="3.625" style="19" customWidth="1"/>
    <col min="4120" max="4348" width="9" style="19"/>
    <col min="4349" max="4375" width="3.625" style="19" customWidth="1"/>
    <col min="4376" max="4604" width="9" style="19"/>
    <col min="4605" max="4631" width="3.625" style="19" customWidth="1"/>
    <col min="4632" max="4860" width="9" style="19"/>
    <col min="4861" max="4887" width="3.625" style="19" customWidth="1"/>
    <col min="4888" max="5116" width="9" style="19"/>
    <col min="5117" max="5143" width="3.625" style="19" customWidth="1"/>
    <col min="5144" max="5372" width="9" style="19"/>
    <col min="5373" max="5399" width="3.625" style="19" customWidth="1"/>
    <col min="5400" max="5628" width="9" style="19"/>
    <col min="5629" max="5655" width="3.625" style="19" customWidth="1"/>
    <col min="5656" max="5884" width="9" style="19"/>
    <col min="5885" max="5911" width="3.625" style="19" customWidth="1"/>
    <col min="5912" max="6140" width="9" style="19"/>
    <col min="6141" max="6167" width="3.625" style="19" customWidth="1"/>
    <col min="6168" max="6396" width="9" style="19"/>
    <col min="6397" max="6423" width="3.625" style="19" customWidth="1"/>
    <col min="6424" max="6652" width="9" style="19"/>
    <col min="6653" max="6679" width="3.625" style="19" customWidth="1"/>
    <col min="6680" max="6908" width="9" style="19"/>
    <col min="6909" max="6935" width="3.625" style="19" customWidth="1"/>
    <col min="6936" max="7164" width="9" style="19"/>
    <col min="7165" max="7191" width="3.625" style="19" customWidth="1"/>
    <col min="7192" max="7420" width="9" style="19"/>
    <col min="7421" max="7447" width="3.625" style="19" customWidth="1"/>
    <col min="7448" max="7676" width="9" style="19"/>
    <col min="7677" max="7703" width="3.625" style="19" customWidth="1"/>
    <col min="7704" max="7932" width="9" style="19"/>
    <col min="7933" max="7959" width="3.625" style="19" customWidth="1"/>
    <col min="7960" max="8188" width="9" style="19"/>
    <col min="8189" max="8215" width="3.625" style="19" customWidth="1"/>
    <col min="8216" max="8444" width="9" style="19"/>
    <col min="8445" max="8471" width="3.625" style="19" customWidth="1"/>
    <col min="8472" max="8700" width="9" style="19"/>
    <col min="8701" max="8727" width="3.625" style="19" customWidth="1"/>
    <col min="8728" max="8956" width="9" style="19"/>
    <col min="8957" max="8983" width="3.625" style="19" customWidth="1"/>
    <col min="8984" max="9212" width="9" style="19"/>
    <col min="9213" max="9239" width="3.625" style="19" customWidth="1"/>
    <col min="9240" max="9468" width="9" style="19"/>
    <col min="9469" max="9495" width="3.625" style="19" customWidth="1"/>
    <col min="9496" max="9724" width="9" style="19"/>
    <col min="9725" max="9751" width="3.625" style="19" customWidth="1"/>
    <col min="9752" max="9980" width="9" style="19"/>
    <col min="9981" max="10007" width="3.625" style="19" customWidth="1"/>
    <col min="10008" max="10236" width="9" style="19"/>
    <col min="10237" max="10263" width="3.625" style="19" customWidth="1"/>
    <col min="10264" max="10492" width="9" style="19"/>
    <col min="10493" max="10519" width="3.625" style="19" customWidth="1"/>
    <col min="10520" max="10748" width="9" style="19"/>
    <col min="10749" max="10775" width="3.625" style="19" customWidth="1"/>
    <col min="10776" max="11004" width="9" style="19"/>
    <col min="11005" max="11031" width="3.625" style="19" customWidth="1"/>
    <col min="11032" max="11260" width="9" style="19"/>
    <col min="11261" max="11287" width="3.625" style="19" customWidth="1"/>
    <col min="11288" max="11516" width="9" style="19"/>
    <col min="11517" max="11543" width="3.625" style="19" customWidth="1"/>
    <col min="11544" max="11772" width="9" style="19"/>
    <col min="11773" max="11799" width="3.625" style="19" customWidth="1"/>
    <col min="11800" max="12028" width="9" style="19"/>
    <col min="12029" max="12055" width="3.625" style="19" customWidth="1"/>
    <col min="12056" max="12284" width="9" style="19"/>
    <col min="12285" max="12311" width="3.625" style="19" customWidth="1"/>
    <col min="12312" max="12540" width="9" style="19"/>
    <col min="12541" max="12567" width="3.625" style="19" customWidth="1"/>
    <col min="12568" max="12796" width="9" style="19"/>
    <col min="12797" max="12823" width="3.625" style="19" customWidth="1"/>
    <col min="12824" max="13052" width="9" style="19"/>
    <col min="13053" max="13079" width="3.625" style="19" customWidth="1"/>
    <col min="13080" max="13308" width="9" style="19"/>
    <col min="13309" max="13335" width="3.625" style="19" customWidth="1"/>
    <col min="13336" max="13564" width="9" style="19"/>
    <col min="13565" max="13591" width="3.625" style="19" customWidth="1"/>
    <col min="13592" max="13820" width="9" style="19"/>
    <col min="13821" max="13847" width="3.625" style="19" customWidth="1"/>
    <col min="13848" max="14076" width="9" style="19"/>
    <col min="14077" max="14103" width="3.625" style="19" customWidth="1"/>
    <col min="14104" max="14332" width="9" style="19"/>
    <col min="14333" max="14359" width="3.625" style="19" customWidth="1"/>
    <col min="14360" max="14588" width="9" style="19"/>
    <col min="14589" max="14615" width="3.625" style="19" customWidth="1"/>
    <col min="14616" max="14844" width="9" style="19"/>
    <col min="14845" max="14871" width="3.625" style="19" customWidth="1"/>
    <col min="14872" max="15100" width="9" style="19"/>
    <col min="15101" max="15127" width="3.625" style="19" customWidth="1"/>
    <col min="15128" max="15356" width="9" style="19"/>
    <col min="15357" max="15383" width="3.625" style="19" customWidth="1"/>
    <col min="15384" max="15612" width="9" style="19"/>
    <col min="15613" max="15639" width="3.625" style="19" customWidth="1"/>
    <col min="15640" max="15868" width="9" style="19"/>
    <col min="15869" max="15895" width="3.625" style="19" customWidth="1"/>
    <col min="15896" max="16124" width="9" style="19"/>
    <col min="16125" max="16151" width="3.625" style="19" customWidth="1"/>
    <col min="16152" max="16384" width="9" style="19"/>
  </cols>
  <sheetData>
    <row r="1" spans="1:36" ht="18" customHeight="1" thickBot="1">
      <c r="AC1" s="22" t="s">
        <v>1754</v>
      </c>
    </row>
    <row r="2" spans="1:36" ht="18" customHeight="1" thickBot="1">
      <c r="A2" s="2791" t="s">
        <v>1755</v>
      </c>
      <c r="B2" s="2791"/>
      <c r="C2" s="2791"/>
      <c r="D2" s="2791"/>
      <c r="E2" s="2791"/>
      <c r="F2" s="2791"/>
      <c r="G2" s="2791"/>
      <c r="H2" s="2791"/>
      <c r="I2" s="2812">
        <f>AJ5</f>
        <v>42095</v>
      </c>
      <c r="J2" s="2812"/>
      <c r="K2" s="2812"/>
      <c r="L2" s="2812"/>
      <c r="M2" s="2812"/>
      <c r="N2" s="2812"/>
      <c r="O2" s="2812"/>
      <c r="P2" s="2814">
        <f>I2</f>
        <v>42095</v>
      </c>
      <c r="Q2" s="2814"/>
      <c r="R2" s="2814"/>
      <c r="S2" s="19"/>
      <c r="T2" s="2801" t="s">
        <v>1756</v>
      </c>
      <c r="U2" s="2801"/>
      <c r="V2" s="2799" t="str">
        <f>IF(AG2=0,"",VLOOKUP(AG2,AH21:AI60,2,FALSE))</f>
        <v/>
      </c>
      <c r="W2" s="2799"/>
      <c r="X2" s="2799"/>
      <c r="Y2" s="2799"/>
      <c r="Z2" s="2799"/>
      <c r="AA2" s="2799"/>
      <c r="AB2" s="2799"/>
      <c r="AC2" s="2801" t="s">
        <v>1757</v>
      </c>
      <c r="AE2" s="2851" t="s">
        <v>1758</v>
      </c>
      <c r="AF2" s="2852"/>
      <c r="AG2" s="23"/>
      <c r="AH2" s="7" t="s">
        <v>1759</v>
      </c>
    </row>
    <row r="3" spans="1:36" ht="18" customHeight="1">
      <c r="A3" s="2791"/>
      <c r="B3" s="2791"/>
      <c r="C3" s="2791"/>
      <c r="D3" s="2791"/>
      <c r="E3" s="2791"/>
      <c r="F3" s="2791"/>
      <c r="G3" s="2791"/>
      <c r="H3" s="2791"/>
      <c r="I3" s="2813"/>
      <c r="J3" s="2813"/>
      <c r="K3" s="2813"/>
      <c r="L3" s="2813"/>
      <c r="M3" s="2813"/>
      <c r="N3" s="2813"/>
      <c r="O3" s="2813"/>
      <c r="P3" s="2815"/>
      <c r="Q3" s="2815"/>
      <c r="R3" s="2815"/>
      <c r="T3" s="2802"/>
      <c r="U3" s="2802"/>
      <c r="V3" s="2800"/>
      <c r="W3" s="2800"/>
      <c r="X3" s="2800"/>
      <c r="Y3" s="2800"/>
      <c r="Z3" s="2800"/>
      <c r="AA3" s="2800"/>
      <c r="AB3" s="2800"/>
      <c r="AC3" s="2802"/>
    </row>
    <row r="4" spans="1:36" ht="5.0999999999999996" customHeight="1" thickBot="1">
      <c r="AD4" s="24"/>
    </row>
    <row r="5" spans="1:36" ht="18" customHeight="1">
      <c r="A5" s="2816" t="s">
        <v>1760</v>
      </c>
      <c r="B5" s="2817"/>
      <c r="C5" s="2818"/>
      <c r="D5" s="2866" t="s">
        <v>1761</v>
      </c>
      <c r="E5" s="2846"/>
      <c r="F5" s="39" t="s">
        <v>1762</v>
      </c>
      <c r="G5" s="2850" t="s">
        <v>1763</v>
      </c>
      <c r="H5" s="2850"/>
      <c r="I5" s="2850"/>
      <c r="J5" s="2850"/>
      <c r="K5" s="2816" t="s">
        <v>1764</v>
      </c>
      <c r="L5" s="2817"/>
      <c r="M5" s="2818"/>
      <c r="N5" s="2871" t="s">
        <v>1765</v>
      </c>
      <c r="O5" s="2872"/>
      <c r="P5" s="2873" t="s">
        <v>1766</v>
      </c>
      <c r="Q5" s="2874"/>
      <c r="R5" s="2874"/>
      <c r="S5" s="2874"/>
      <c r="T5" s="2874"/>
      <c r="U5" s="2874"/>
      <c r="V5" s="2875" t="s">
        <v>1767</v>
      </c>
      <c r="W5" s="2876"/>
      <c r="X5" s="2873" t="s">
        <v>1766</v>
      </c>
      <c r="Y5" s="2874"/>
      <c r="Z5" s="2874"/>
      <c r="AA5" s="2874"/>
      <c r="AB5" s="2874"/>
      <c r="AC5" s="2877"/>
      <c r="AD5" s="8"/>
      <c r="AE5" s="2853" t="s">
        <v>1768</v>
      </c>
      <c r="AF5" s="25" t="s">
        <v>67</v>
      </c>
      <c r="AG5" s="25" t="s">
        <v>101</v>
      </c>
      <c r="AH5" s="26" t="s">
        <v>92</v>
      </c>
      <c r="AJ5" s="27">
        <f>DATE(AF6+1988,AG6,AH6)</f>
        <v>42095</v>
      </c>
    </row>
    <row r="6" spans="1:36" ht="18" customHeight="1" thickBot="1">
      <c r="A6" s="2816" t="s">
        <v>1769</v>
      </c>
      <c r="B6" s="2817"/>
      <c r="C6" s="2817"/>
      <c r="D6" s="2817"/>
      <c r="E6" s="2817"/>
      <c r="F6" s="2818"/>
      <c r="G6" s="2868" t="s">
        <v>1770</v>
      </c>
      <c r="H6" s="2868"/>
      <c r="I6" s="2868"/>
      <c r="J6" s="2868"/>
      <c r="K6" s="2868"/>
      <c r="L6" s="2816" t="s">
        <v>1771</v>
      </c>
      <c r="M6" s="2817"/>
      <c r="N6" s="2817"/>
      <c r="O6" s="2817"/>
      <c r="P6" s="2817"/>
      <c r="Q6" s="2818"/>
      <c r="R6" s="2867" t="s">
        <v>1772</v>
      </c>
      <c r="S6" s="2867"/>
      <c r="T6" s="2867"/>
      <c r="U6" s="2867"/>
      <c r="V6" s="2867"/>
      <c r="W6" s="2867"/>
      <c r="X6" s="2867"/>
      <c r="Y6" s="2867"/>
      <c r="Z6" s="2867"/>
      <c r="AA6" s="2867"/>
      <c r="AB6" s="2867"/>
      <c r="AC6" s="2867"/>
      <c r="AD6" s="8"/>
      <c r="AE6" s="2854"/>
      <c r="AF6" s="28">
        <v>27</v>
      </c>
      <c r="AG6" s="28">
        <v>4</v>
      </c>
      <c r="AH6" s="29">
        <v>1</v>
      </c>
    </row>
    <row r="7" spans="1:36" ht="18" customHeight="1">
      <c r="A7" s="2845" t="s">
        <v>1773</v>
      </c>
      <c r="B7" s="2087"/>
      <c r="C7" s="2846" t="s">
        <v>1774</v>
      </c>
      <c r="D7" s="2846"/>
      <c r="E7" s="2846"/>
      <c r="F7" s="2846"/>
      <c r="G7" s="2878" t="s">
        <v>1775</v>
      </c>
      <c r="H7" s="2879"/>
      <c r="I7" s="2879"/>
      <c r="J7" s="2879"/>
      <c r="K7" s="2880"/>
      <c r="L7" s="2850" t="s">
        <v>1773</v>
      </c>
      <c r="M7" s="2087"/>
      <c r="N7" s="2846" t="s">
        <v>1774</v>
      </c>
      <c r="O7" s="2846"/>
      <c r="P7" s="2846"/>
      <c r="Q7" s="2869"/>
      <c r="R7" s="2866"/>
      <c r="S7" s="2846"/>
      <c r="T7" s="2846"/>
      <c r="U7" s="2846"/>
      <c r="V7" s="2846"/>
      <c r="W7" s="2846"/>
      <c r="X7" s="2846"/>
      <c r="Y7" s="2846"/>
      <c r="Z7" s="2846"/>
      <c r="AA7" s="2846"/>
      <c r="AB7" s="2846"/>
      <c r="AC7" s="2869"/>
      <c r="AD7" s="24"/>
    </row>
    <row r="8" spans="1:36" ht="18" customHeight="1">
      <c r="A8" s="2845" t="s">
        <v>1776</v>
      </c>
      <c r="B8" s="2087"/>
      <c r="C8" s="2846"/>
      <c r="D8" s="2846"/>
      <c r="E8" s="2846"/>
      <c r="F8" s="80" t="s">
        <v>827</v>
      </c>
      <c r="G8" s="81" t="s">
        <v>1777</v>
      </c>
      <c r="H8" s="82"/>
      <c r="I8" s="82"/>
      <c r="J8" s="82"/>
      <c r="K8" s="83"/>
      <c r="L8" s="2850" t="s">
        <v>1776</v>
      </c>
      <c r="M8" s="2087"/>
      <c r="N8" s="2846"/>
      <c r="O8" s="2846"/>
      <c r="P8" s="2846"/>
      <c r="Q8" s="84" t="s">
        <v>827</v>
      </c>
      <c r="R8" s="2870" t="s">
        <v>1778</v>
      </c>
      <c r="S8" s="2870"/>
      <c r="T8" s="2870"/>
      <c r="U8" s="2870"/>
      <c r="V8" s="2870"/>
      <c r="W8" s="2870"/>
      <c r="X8" s="2870"/>
      <c r="Y8" s="2870"/>
      <c r="Z8" s="2870"/>
      <c r="AA8" s="2870"/>
      <c r="AB8" s="2870"/>
      <c r="AC8" s="2870"/>
      <c r="AD8" s="8"/>
    </row>
    <row r="9" spans="1:36" ht="18" customHeight="1">
      <c r="A9" s="2845" t="s">
        <v>1779</v>
      </c>
      <c r="B9" s="2087"/>
      <c r="C9" s="2846"/>
      <c r="D9" s="2846"/>
      <c r="E9" s="2846"/>
      <c r="F9" s="80" t="s">
        <v>1780</v>
      </c>
      <c r="G9" s="2847"/>
      <c r="H9" s="2848"/>
      <c r="I9" s="2848"/>
      <c r="J9" s="2848"/>
      <c r="K9" s="2849"/>
      <c r="L9" s="2850" t="s">
        <v>1779</v>
      </c>
      <c r="M9" s="2087"/>
      <c r="N9" s="2846"/>
      <c r="O9" s="2846"/>
      <c r="P9" s="2846"/>
      <c r="Q9" s="84" t="s">
        <v>1780</v>
      </c>
      <c r="R9" s="2806"/>
      <c r="S9" s="2806"/>
      <c r="T9" s="2806"/>
      <c r="U9" s="2806"/>
      <c r="V9" s="2806"/>
      <c r="W9" s="2806"/>
      <c r="X9" s="2806"/>
      <c r="Y9" s="2806"/>
      <c r="Z9" s="2806"/>
      <c r="AA9" s="2806"/>
      <c r="AB9" s="2806"/>
      <c r="AC9" s="2806"/>
    </row>
    <row r="10" spans="1:36" ht="5.0999999999999996" customHeight="1"/>
    <row r="11" spans="1:36" ht="18" customHeight="1">
      <c r="A11" s="2825" t="s">
        <v>1781</v>
      </c>
      <c r="B11" s="2786" t="s">
        <v>188</v>
      </c>
      <c r="C11" s="2786"/>
      <c r="D11" s="2786"/>
      <c r="E11" s="2805" t="s">
        <v>825</v>
      </c>
      <c r="F11" s="2805"/>
      <c r="G11" s="2805"/>
      <c r="H11" s="2805" t="s">
        <v>1782</v>
      </c>
      <c r="I11" s="2805"/>
      <c r="J11" s="2805"/>
      <c r="K11" s="2807" t="s">
        <v>1783</v>
      </c>
      <c r="L11" s="2810" t="s">
        <v>1784</v>
      </c>
      <c r="M11" s="2811"/>
      <c r="N11" s="2811" t="s">
        <v>1785</v>
      </c>
      <c r="O11" s="2831"/>
      <c r="P11" s="2810" t="s">
        <v>1786</v>
      </c>
      <c r="Q11" s="2811"/>
      <c r="R11" s="2811" t="s">
        <v>1787</v>
      </c>
      <c r="S11" s="2831"/>
      <c r="T11" s="2810" t="s">
        <v>1788</v>
      </c>
      <c r="U11" s="2811"/>
      <c r="V11" s="2811" t="s">
        <v>1789</v>
      </c>
      <c r="W11" s="2831"/>
      <c r="X11" s="2798" t="s">
        <v>1790</v>
      </c>
      <c r="Y11" s="2798"/>
      <c r="Z11" s="2798"/>
      <c r="AA11" s="2798"/>
      <c r="AB11" s="2798"/>
      <c r="AC11" s="2798"/>
    </row>
    <row r="12" spans="1:36" ht="18" customHeight="1">
      <c r="A12" s="2826"/>
      <c r="B12" s="2806"/>
      <c r="C12" s="2806"/>
      <c r="D12" s="2806"/>
      <c r="E12" s="2806"/>
      <c r="F12" s="2806"/>
      <c r="G12" s="2806"/>
      <c r="H12" s="2806"/>
      <c r="I12" s="2806"/>
      <c r="J12" s="2806"/>
      <c r="K12" s="2808"/>
      <c r="L12" s="2828"/>
      <c r="M12" s="2792"/>
      <c r="N12" s="2792"/>
      <c r="O12" s="2793"/>
      <c r="P12" s="2828"/>
      <c r="Q12" s="2792"/>
      <c r="R12" s="2792"/>
      <c r="S12" s="2793"/>
      <c r="T12" s="2828"/>
      <c r="U12" s="2792"/>
      <c r="V12" s="2792"/>
      <c r="W12" s="2793"/>
      <c r="X12" s="2863"/>
      <c r="Y12" s="2864"/>
      <c r="Z12" s="2864"/>
      <c r="AA12" s="2860"/>
      <c r="AB12" s="2861"/>
      <c r="AC12" s="2862"/>
    </row>
    <row r="13" spans="1:36" ht="18" customHeight="1">
      <c r="A13" s="2826"/>
      <c r="B13" s="2806"/>
      <c r="C13" s="2806"/>
      <c r="D13" s="2806"/>
      <c r="E13" s="2806"/>
      <c r="F13" s="2806"/>
      <c r="G13" s="2806"/>
      <c r="H13" s="2806"/>
      <c r="I13" s="2806"/>
      <c r="J13" s="2806"/>
      <c r="K13" s="2808"/>
      <c r="L13" s="2829"/>
      <c r="M13" s="2794"/>
      <c r="N13" s="2794"/>
      <c r="O13" s="2795"/>
      <c r="P13" s="2829"/>
      <c r="Q13" s="2794"/>
      <c r="R13" s="2794"/>
      <c r="S13" s="2795"/>
      <c r="T13" s="2829"/>
      <c r="U13" s="2794"/>
      <c r="V13" s="2794"/>
      <c r="W13" s="2795"/>
      <c r="X13" s="2835" t="s">
        <v>94</v>
      </c>
      <c r="Y13" s="2836"/>
      <c r="Z13" s="2836"/>
      <c r="AA13" s="2837" t="s">
        <v>94</v>
      </c>
      <c r="AB13" s="2836"/>
      <c r="AC13" s="2838"/>
    </row>
    <row r="14" spans="1:36" ht="16.5" customHeight="1">
      <c r="A14" s="2827"/>
      <c r="B14" s="2806"/>
      <c r="C14" s="2806"/>
      <c r="D14" s="2806"/>
      <c r="E14" s="2806"/>
      <c r="F14" s="2806"/>
      <c r="G14" s="2806"/>
      <c r="H14" s="2806"/>
      <c r="I14" s="2806"/>
      <c r="J14" s="2806"/>
      <c r="K14" s="2809"/>
      <c r="L14" s="2830"/>
      <c r="M14" s="2796"/>
      <c r="N14" s="2796"/>
      <c r="O14" s="2797"/>
      <c r="P14" s="2830"/>
      <c r="Q14" s="2796"/>
      <c r="R14" s="2796"/>
      <c r="S14" s="2797"/>
      <c r="T14" s="2830"/>
      <c r="U14" s="2796"/>
      <c r="V14" s="2796"/>
      <c r="W14" s="2797"/>
      <c r="X14" s="2856"/>
      <c r="Y14" s="2857"/>
      <c r="Z14" s="2857"/>
      <c r="AA14" s="2858"/>
      <c r="AB14" s="2857"/>
      <c r="AC14" s="2859"/>
    </row>
    <row r="15" spans="1:36" ht="15" customHeight="1">
      <c r="A15" s="2798" t="s">
        <v>1791</v>
      </c>
      <c r="B15" s="2798"/>
      <c r="C15" s="2798"/>
      <c r="D15" s="2798"/>
      <c r="E15" s="2798"/>
      <c r="F15" s="598">
        <v>6</v>
      </c>
      <c r="G15" s="598">
        <v>7</v>
      </c>
      <c r="H15" s="598">
        <v>8</v>
      </c>
      <c r="I15" s="605">
        <v>9</v>
      </c>
      <c r="J15" s="597">
        <v>10</v>
      </c>
      <c r="K15" s="597">
        <v>11</v>
      </c>
      <c r="L15" s="597">
        <v>12</v>
      </c>
      <c r="M15" s="597">
        <v>13</v>
      </c>
      <c r="N15" s="597">
        <v>14</v>
      </c>
      <c r="O15" s="597">
        <v>15</v>
      </c>
      <c r="P15" s="598">
        <v>16</v>
      </c>
      <c r="Q15" s="605">
        <v>17</v>
      </c>
      <c r="R15" s="599">
        <v>18</v>
      </c>
      <c r="S15" s="599">
        <v>19</v>
      </c>
      <c r="T15" s="597">
        <v>20</v>
      </c>
      <c r="U15" s="597">
        <v>21</v>
      </c>
      <c r="V15" s="597">
        <v>22</v>
      </c>
      <c r="W15" s="597">
        <v>23</v>
      </c>
      <c r="X15" s="2816" t="s">
        <v>1792</v>
      </c>
      <c r="Y15" s="2817"/>
      <c r="Z15" s="2817"/>
      <c r="AA15" s="2817"/>
      <c r="AB15" s="2817"/>
      <c r="AC15" s="2818"/>
    </row>
    <row r="16" spans="1:36" ht="15" customHeight="1">
      <c r="A16" s="2803" t="s">
        <v>1793</v>
      </c>
      <c r="B16" s="2803"/>
      <c r="C16" s="2803"/>
      <c r="D16" s="2803"/>
      <c r="E16" s="2803"/>
      <c r="F16" s="31"/>
      <c r="G16" s="31"/>
      <c r="H16" s="602"/>
      <c r="I16" s="32"/>
      <c r="J16" s="31"/>
      <c r="K16" s="31"/>
      <c r="L16" s="31"/>
      <c r="M16" s="31"/>
      <c r="N16" s="31"/>
      <c r="O16" s="31"/>
      <c r="P16" s="56"/>
      <c r="Q16" s="32"/>
      <c r="R16" s="30"/>
      <c r="S16" s="30"/>
      <c r="T16" s="31"/>
      <c r="U16" s="31"/>
      <c r="V16" s="31"/>
      <c r="W16" s="31"/>
      <c r="X16" s="2833" t="s">
        <v>1794</v>
      </c>
      <c r="Y16" s="2834"/>
      <c r="Z16" s="2834"/>
      <c r="AA16" s="2834" t="s">
        <v>1795</v>
      </c>
      <c r="AB16" s="2834"/>
      <c r="AC16" s="2865"/>
    </row>
    <row r="17" spans="1:36" ht="15" customHeight="1">
      <c r="A17" s="2804" t="s">
        <v>1796</v>
      </c>
      <c r="B17" s="2804"/>
      <c r="C17" s="2804"/>
      <c r="D17" s="2804"/>
      <c r="E17" s="2804"/>
      <c r="F17" s="34"/>
      <c r="G17" s="34"/>
      <c r="H17" s="595"/>
      <c r="I17" s="35"/>
      <c r="J17" s="34"/>
      <c r="K17" s="34"/>
      <c r="L17" s="34"/>
      <c r="M17" s="34"/>
      <c r="N17" s="34"/>
      <c r="O17" s="34"/>
      <c r="P17" s="57"/>
      <c r="Q17" s="35"/>
      <c r="R17" s="33"/>
      <c r="S17" s="33"/>
      <c r="T17" s="34"/>
      <c r="U17" s="34"/>
      <c r="V17" s="34"/>
      <c r="W17" s="34"/>
      <c r="X17" s="2863"/>
      <c r="Y17" s="2864"/>
      <c r="Z17" s="2864"/>
      <c r="AA17" s="2860"/>
      <c r="AB17" s="2861"/>
      <c r="AC17" s="2862"/>
    </row>
    <row r="18" spans="1:36" ht="15" customHeight="1">
      <c r="A18" s="2804" t="s">
        <v>1797</v>
      </c>
      <c r="B18" s="2804"/>
      <c r="C18" s="2804"/>
      <c r="D18" s="2804"/>
      <c r="E18" s="2804"/>
      <c r="F18" s="34"/>
      <c r="G18" s="34"/>
      <c r="H18" s="595"/>
      <c r="I18" s="35"/>
      <c r="J18" s="34"/>
      <c r="K18" s="34"/>
      <c r="L18" s="34"/>
      <c r="M18" s="34"/>
      <c r="N18" s="34"/>
      <c r="O18" s="34"/>
      <c r="P18" s="57"/>
      <c r="Q18" s="35"/>
      <c r="R18" s="33"/>
      <c r="S18" s="33"/>
      <c r="T18" s="34"/>
      <c r="U18" s="34"/>
      <c r="V18" s="34"/>
      <c r="W18" s="34"/>
      <c r="X18" s="2835" t="s">
        <v>94</v>
      </c>
      <c r="Y18" s="2836"/>
      <c r="Z18" s="2836"/>
      <c r="AA18" s="2837" t="s">
        <v>94</v>
      </c>
      <c r="AB18" s="2836"/>
      <c r="AC18" s="2838"/>
    </row>
    <row r="19" spans="1:36" ht="15" customHeight="1">
      <c r="A19" s="2832" t="s">
        <v>1798</v>
      </c>
      <c r="B19" s="2832"/>
      <c r="C19" s="2832"/>
      <c r="D19" s="2832"/>
      <c r="E19" s="2832"/>
      <c r="F19" s="37"/>
      <c r="G19" s="37"/>
      <c r="H19" s="50"/>
      <c r="I19" s="38"/>
      <c r="J19" s="37"/>
      <c r="K19" s="37"/>
      <c r="L19" s="37"/>
      <c r="M19" s="37"/>
      <c r="N19" s="37"/>
      <c r="O19" s="37"/>
      <c r="P19" s="58"/>
      <c r="Q19" s="38"/>
      <c r="R19" s="36"/>
      <c r="S19" s="36"/>
      <c r="T19" s="37"/>
      <c r="U19" s="37"/>
      <c r="V19" s="37"/>
      <c r="W19" s="37"/>
      <c r="X19" s="2856"/>
      <c r="Y19" s="2857"/>
      <c r="Z19" s="2857"/>
      <c r="AA19" s="2858"/>
      <c r="AB19" s="2857"/>
      <c r="AC19" s="2859"/>
      <c r="AD19" s="19"/>
      <c r="AE19" s="19"/>
      <c r="AF19" s="19"/>
      <c r="AG19" s="19"/>
      <c r="AJ19" s="19"/>
    </row>
    <row r="20" spans="1:36" ht="5.0999999999999996" customHeight="1" thickBot="1">
      <c r="U20" s="40"/>
      <c r="V20" s="40"/>
      <c r="W20" s="40"/>
      <c r="X20" s="40"/>
      <c r="Y20" s="40"/>
      <c r="Z20" s="40"/>
      <c r="AA20" s="40"/>
      <c r="AB20" s="40"/>
      <c r="AC20" s="40"/>
      <c r="AD20" s="19"/>
      <c r="AE20" s="19"/>
      <c r="AF20" s="19"/>
      <c r="AG20" s="19"/>
      <c r="AH20" s="19"/>
      <c r="AI20" s="19"/>
      <c r="AJ20" s="19"/>
    </row>
    <row r="21" spans="1:36" ht="18" customHeight="1">
      <c r="A21" s="2816" t="s">
        <v>1791</v>
      </c>
      <c r="B21" s="2817"/>
      <c r="C21" s="2817"/>
      <c r="D21" s="2818"/>
      <c r="E21" s="2816" t="s">
        <v>1799</v>
      </c>
      <c r="F21" s="2817"/>
      <c r="G21" s="2817"/>
      <c r="H21" s="2818"/>
      <c r="I21" s="2816" t="s">
        <v>1800</v>
      </c>
      <c r="J21" s="2817"/>
      <c r="K21" s="2817"/>
      <c r="L21" s="2817"/>
      <c r="M21" s="2817"/>
      <c r="N21" s="2817"/>
      <c r="O21" s="2817"/>
      <c r="P21" s="2817"/>
      <c r="Q21" s="2817"/>
      <c r="R21" s="2817"/>
      <c r="S21" s="2817"/>
      <c r="T21" s="2817"/>
      <c r="U21" s="2817"/>
      <c r="V21" s="2817"/>
      <c r="W21" s="2817"/>
      <c r="X21" s="2817"/>
      <c r="Y21" s="2817"/>
      <c r="Z21" s="2817"/>
      <c r="AA21" s="2817"/>
      <c r="AB21" s="2817"/>
      <c r="AC21" s="2818"/>
      <c r="AD21" s="19"/>
      <c r="AE21" s="19"/>
      <c r="AF21" s="19"/>
      <c r="AG21" s="19"/>
      <c r="AH21" s="51">
        <v>1</v>
      </c>
      <c r="AI21" s="52"/>
      <c r="AJ21" s="19"/>
    </row>
    <row r="22" spans="1:36" ht="18" customHeight="1">
      <c r="A22" s="2819"/>
      <c r="B22" s="2820"/>
      <c r="C22" s="2820"/>
      <c r="D22" s="2820"/>
      <c r="E22" s="2821"/>
      <c r="F22" s="2821"/>
      <c r="G22" s="2821"/>
      <c r="H22" s="2821"/>
      <c r="I22" s="2822"/>
      <c r="J22" s="2823"/>
      <c r="K22" s="2823"/>
      <c r="L22" s="2823"/>
      <c r="M22" s="2823"/>
      <c r="N22" s="2823"/>
      <c r="O22" s="2823"/>
      <c r="P22" s="2823"/>
      <c r="Q22" s="2823"/>
      <c r="R22" s="2823"/>
      <c r="S22" s="2823"/>
      <c r="T22" s="2823"/>
      <c r="U22" s="2823"/>
      <c r="V22" s="2823"/>
      <c r="W22" s="2823"/>
      <c r="X22" s="2823"/>
      <c r="Y22" s="2823"/>
      <c r="Z22" s="2823"/>
      <c r="AA22" s="2823"/>
      <c r="AB22" s="2823"/>
      <c r="AC22" s="2824"/>
      <c r="AD22" s="19"/>
      <c r="AE22" s="19"/>
      <c r="AF22" s="19"/>
      <c r="AG22" s="19"/>
      <c r="AH22" s="53">
        <v>2</v>
      </c>
      <c r="AI22" s="54"/>
      <c r="AJ22" s="19"/>
    </row>
    <row r="23" spans="1:36" ht="18" customHeight="1">
      <c r="A23" s="2839"/>
      <c r="B23" s="2790"/>
      <c r="C23" s="2790"/>
      <c r="D23" s="2790"/>
      <c r="E23" s="2840"/>
      <c r="F23" s="2840"/>
      <c r="G23" s="2840"/>
      <c r="H23" s="2840"/>
      <c r="I23" s="2775"/>
      <c r="J23" s="2776"/>
      <c r="K23" s="2776"/>
      <c r="L23" s="2776"/>
      <c r="M23" s="2776"/>
      <c r="N23" s="2776"/>
      <c r="O23" s="2776"/>
      <c r="P23" s="2776"/>
      <c r="Q23" s="2776"/>
      <c r="R23" s="2776"/>
      <c r="S23" s="2776"/>
      <c r="T23" s="2776"/>
      <c r="U23" s="2776"/>
      <c r="V23" s="2776"/>
      <c r="W23" s="2776"/>
      <c r="X23" s="2776"/>
      <c r="Y23" s="2776"/>
      <c r="Z23" s="2776"/>
      <c r="AA23" s="2776"/>
      <c r="AB23" s="2776"/>
      <c r="AC23" s="2777"/>
      <c r="AD23" s="19"/>
      <c r="AE23" s="19"/>
      <c r="AF23" s="19"/>
      <c r="AG23" s="19"/>
      <c r="AH23" s="53">
        <v>3</v>
      </c>
      <c r="AI23" s="54"/>
      <c r="AJ23" s="19"/>
    </row>
    <row r="24" spans="1:36" ht="18" customHeight="1">
      <c r="A24" s="2841"/>
      <c r="B24" s="2788"/>
      <c r="C24" s="2788"/>
      <c r="D24" s="2789"/>
      <c r="E24" s="2787"/>
      <c r="F24" s="2788"/>
      <c r="G24" s="2788"/>
      <c r="H24" s="2789"/>
      <c r="I24" s="2775"/>
      <c r="J24" s="2776"/>
      <c r="K24" s="2776"/>
      <c r="L24" s="2776"/>
      <c r="M24" s="2776"/>
      <c r="N24" s="2776"/>
      <c r="O24" s="2776"/>
      <c r="P24" s="2776"/>
      <c r="Q24" s="2776"/>
      <c r="R24" s="2776"/>
      <c r="S24" s="2776"/>
      <c r="T24" s="2776"/>
      <c r="U24" s="2776"/>
      <c r="V24" s="2776"/>
      <c r="W24" s="2776"/>
      <c r="X24" s="2776"/>
      <c r="Y24" s="2776"/>
      <c r="Z24" s="2776"/>
      <c r="AA24" s="2776"/>
      <c r="AB24" s="2776"/>
      <c r="AC24" s="2777"/>
      <c r="AD24" s="19"/>
      <c r="AE24" s="19"/>
      <c r="AF24" s="19"/>
      <c r="AG24" s="19"/>
      <c r="AH24" s="53">
        <v>4</v>
      </c>
      <c r="AI24" s="54"/>
      <c r="AJ24" s="19"/>
    </row>
    <row r="25" spans="1:36" ht="18" customHeight="1">
      <c r="A25" s="2839"/>
      <c r="B25" s="2790"/>
      <c r="C25" s="2790"/>
      <c r="D25" s="2790"/>
      <c r="E25" s="2790"/>
      <c r="F25" s="2790"/>
      <c r="G25" s="2790"/>
      <c r="H25" s="2790"/>
      <c r="I25" s="2775"/>
      <c r="J25" s="2776"/>
      <c r="K25" s="2776"/>
      <c r="L25" s="2776"/>
      <c r="M25" s="2776"/>
      <c r="N25" s="2776"/>
      <c r="O25" s="2776"/>
      <c r="P25" s="2776"/>
      <c r="Q25" s="2776"/>
      <c r="R25" s="2776"/>
      <c r="S25" s="2776"/>
      <c r="T25" s="2776"/>
      <c r="U25" s="2776"/>
      <c r="V25" s="2776"/>
      <c r="W25" s="2776"/>
      <c r="X25" s="2776"/>
      <c r="Y25" s="2776"/>
      <c r="Z25" s="2776"/>
      <c r="AA25" s="2776"/>
      <c r="AB25" s="2776"/>
      <c r="AC25" s="2777"/>
      <c r="AD25" s="8"/>
      <c r="AH25" s="53">
        <v>5</v>
      </c>
      <c r="AI25" s="54"/>
    </row>
    <row r="26" spans="1:36" ht="18" customHeight="1">
      <c r="A26" s="2790"/>
      <c r="B26" s="2790"/>
      <c r="C26" s="2790"/>
      <c r="D26" s="2790"/>
      <c r="E26" s="2790"/>
      <c r="F26" s="2790"/>
      <c r="G26" s="2790"/>
      <c r="H26" s="2790"/>
      <c r="I26" s="2775"/>
      <c r="J26" s="2776"/>
      <c r="K26" s="2776"/>
      <c r="L26" s="2776"/>
      <c r="M26" s="2776"/>
      <c r="N26" s="2776"/>
      <c r="O26" s="2776"/>
      <c r="P26" s="2776"/>
      <c r="Q26" s="2776"/>
      <c r="R26" s="2776"/>
      <c r="S26" s="2776"/>
      <c r="T26" s="2776"/>
      <c r="U26" s="2776"/>
      <c r="V26" s="2776"/>
      <c r="W26" s="2776"/>
      <c r="X26" s="2776"/>
      <c r="Y26" s="2776"/>
      <c r="Z26" s="2776"/>
      <c r="AA26" s="2776"/>
      <c r="AB26" s="2776"/>
      <c r="AC26" s="2777"/>
      <c r="AD26" s="8"/>
      <c r="AH26" s="53">
        <v>6</v>
      </c>
      <c r="AI26" s="54"/>
    </row>
    <row r="27" spans="1:36" ht="18" customHeight="1">
      <c r="A27" s="2839"/>
      <c r="B27" s="2790"/>
      <c r="C27" s="2790"/>
      <c r="D27" s="2790"/>
      <c r="E27" s="2790"/>
      <c r="F27" s="2790"/>
      <c r="G27" s="2790"/>
      <c r="H27" s="2790"/>
      <c r="I27" s="2775"/>
      <c r="J27" s="2776"/>
      <c r="K27" s="2776"/>
      <c r="L27" s="2776"/>
      <c r="M27" s="2776"/>
      <c r="N27" s="2776"/>
      <c r="O27" s="2776"/>
      <c r="P27" s="2776"/>
      <c r="Q27" s="2776"/>
      <c r="R27" s="2776"/>
      <c r="S27" s="2776"/>
      <c r="T27" s="2776"/>
      <c r="U27" s="2776"/>
      <c r="V27" s="2776"/>
      <c r="W27" s="2776"/>
      <c r="X27" s="2776"/>
      <c r="Y27" s="2776"/>
      <c r="Z27" s="2776"/>
      <c r="AA27" s="2776"/>
      <c r="AB27" s="2776"/>
      <c r="AC27" s="2777"/>
      <c r="AD27" s="8"/>
      <c r="AH27" s="53">
        <v>7</v>
      </c>
      <c r="AI27" s="54"/>
    </row>
    <row r="28" spans="1:36" ht="18" customHeight="1">
      <c r="A28" s="2787"/>
      <c r="B28" s="2788"/>
      <c r="C28" s="2788"/>
      <c r="D28" s="2789"/>
      <c r="E28" s="2787"/>
      <c r="F28" s="2788"/>
      <c r="G28" s="2788"/>
      <c r="H28" s="2789"/>
      <c r="I28" s="2775"/>
      <c r="J28" s="2776"/>
      <c r="K28" s="2776"/>
      <c r="L28" s="2776"/>
      <c r="M28" s="2776"/>
      <c r="N28" s="2776"/>
      <c r="O28" s="2776"/>
      <c r="P28" s="2776"/>
      <c r="Q28" s="2776"/>
      <c r="R28" s="2776"/>
      <c r="S28" s="2776"/>
      <c r="T28" s="2776"/>
      <c r="U28" s="2776"/>
      <c r="V28" s="2776"/>
      <c r="W28" s="2776"/>
      <c r="X28" s="2776"/>
      <c r="Y28" s="2776"/>
      <c r="Z28" s="2776"/>
      <c r="AA28" s="2776"/>
      <c r="AB28" s="2776"/>
      <c r="AC28" s="2777"/>
      <c r="AD28" s="8"/>
      <c r="AH28" s="53">
        <v>8</v>
      </c>
      <c r="AI28" s="54"/>
    </row>
    <row r="29" spans="1:36" ht="18" customHeight="1">
      <c r="A29" s="2841"/>
      <c r="B29" s="2788"/>
      <c r="C29" s="2788"/>
      <c r="D29" s="2789"/>
      <c r="E29" s="2787"/>
      <c r="F29" s="2788"/>
      <c r="G29" s="2788"/>
      <c r="H29" s="2789"/>
      <c r="I29" s="2775"/>
      <c r="J29" s="2776"/>
      <c r="K29" s="2776"/>
      <c r="L29" s="2776"/>
      <c r="M29" s="2776"/>
      <c r="N29" s="2776"/>
      <c r="O29" s="2776"/>
      <c r="P29" s="2776"/>
      <c r="Q29" s="2776"/>
      <c r="R29" s="2776"/>
      <c r="S29" s="2776"/>
      <c r="T29" s="2776"/>
      <c r="U29" s="2776"/>
      <c r="V29" s="2776"/>
      <c r="W29" s="2776"/>
      <c r="X29" s="2776"/>
      <c r="Y29" s="2776"/>
      <c r="Z29" s="2776"/>
      <c r="AA29" s="2776"/>
      <c r="AB29" s="2776"/>
      <c r="AC29" s="2777"/>
      <c r="AD29" s="8"/>
      <c r="AH29" s="53">
        <v>9</v>
      </c>
      <c r="AI29" s="54"/>
    </row>
    <row r="30" spans="1:36" ht="18" customHeight="1">
      <c r="A30" s="2790"/>
      <c r="B30" s="2790"/>
      <c r="C30" s="2790"/>
      <c r="D30" s="2790"/>
      <c r="E30" s="2790"/>
      <c r="F30" s="2790"/>
      <c r="G30" s="2790"/>
      <c r="H30" s="2790"/>
      <c r="I30" s="2775"/>
      <c r="J30" s="2776"/>
      <c r="K30" s="2776"/>
      <c r="L30" s="2776"/>
      <c r="M30" s="2776"/>
      <c r="N30" s="2776"/>
      <c r="O30" s="2776"/>
      <c r="P30" s="2776"/>
      <c r="Q30" s="2776"/>
      <c r="R30" s="2776"/>
      <c r="S30" s="2776"/>
      <c r="T30" s="2776"/>
      <c r="U30" s="2776"/>
      <c r="V30" s="2776"/>
      <c r="W30" s="2776"/>
      <c r="X30" s="2776"/>
      <c r="Y30" s="2776"/>
      <c r="Z30" s="2776"/>
      <c r="AA30" s="2776"/>
      <c r="AB30" s="2776"/>
      <c r="AC30" s="2777"/>
      <c r="AD30" s="8"/>
      <c r="AH30" s="53">
        <v>10</v>
      </c>
      <c r="AI30" s="54"/>
    </row>
    <row r="31" spans="1:36" ht="18" customHeight="1">
      <c r="A31" s="2839"/>
      <c r="B31" s="2790"/>
      <c r="C31" s="2790"/>
      <c r="D31" s="2790"/>
      <c r="E31" s="2842"/>
      <c r="F31" s="2843"/>
      <c r="G31" s="2843"/>
      <c r="H31" s="2844"/>
      <c r="I31" s="2775"/>
      <c r="J31" s="2776"/>
      <c r="K31" s="2776"/>
      <c r="L31" s="2776"/>
      <c r="M31" s="2776"/>
      <c r="N31" s="2776"/>
      <c r="O31" s="2776"/>
      <c r="P31" s="2776"/>
      <c r="Q31" s="2776"/>
      <c r="R31" s="2776"/>
      <c r="S31" s="2776"/>
      <c r="T31" s="2776"/>
      <c r="U31" s="2776"/>
      <c r="V31" s="2776"/>
      <c r="W31" s="2776"/>
      <c r="X31" s="2776"/>
      <c r="Y31" s="2776"/>
      <c r="Z31" s="2776"/>
      <c r="AA31" s="2776"/>
      <c r="AB31" s="2776"/>
      <c r="AC31" s="2777"/>
      <c r="AD31" s="8"/>
      <c r="AH31" s="53">
        <v>11</v>
      </c>
      <c r="AI31" s="54"/>
    </row>
    <row r="32" spans="1:36" ht="18" customHeight="1">
      <c r="A32" s="2839"/>
      <c r="B32" s="2790"/>
      <c r="C32" s="2790"/>
      <c r="D32" s="2790"/>
      <c r="E32" s="2790"/>
      <c r="F32" s="2790"/>
      <c r="G32" s="2790"/>
      <c r="H32" s="2790"/>
      <c r="I32" s="2775"/>
      <c r="J32" s="2776"/>
      <c r="K32" s="2776"/>
      <c r="L32" s="2776"/>
      <c r="M32" s="2776"/>
      <c r="N32" s="2776"/>
      <c r="O32" s="2776"/>
      <c r="P32" s="2776"/>
      <c r="Q32" s="2776"/>
      <c r="R32" s="2776"/>
      <c r="S32" s="2776"/>
      <c r="T32" s="2776"/>
      <c r="U32" s="2776"/>
      <c r="V32" s="2776"/>
      <c r="W32" s="2776"/>
      <c r="X32" s="2776"/>
      <c r="Y32" s="2776"/>
      <c r="Z32" s="2776"/>
      <c r="AA32" s="2776"/>
      <c r="AB32" s="2776"/>
      <c r="AC32" s="2777"/>
      <c r="AD32" s="8"/>
      <c r="AH32" s="53">
        <v>12</v>
      </c>
      <c r="AI32" s="54"/>
    </row>
    <row r="33" spans="1:35" ht="18" customHeight="1">
      <c r="A33" s="2790"/>
      <c r="B33" s="2790"/>
      <c r="C33" s="2790"/>
      <c r="D33" s="2790"/>
      <c r="E33" s="2790"/>
      <c r="F33" s="2790"/>
      <c r="G33" s="2790"/>
      <c r="H33" s="2790"/>
      <c r="I33" s="2775"/>
      <c r="J33" s="2776"/>
      <c r="K33" s="2776"/>
      <c r="L33" s="2776"/>
      <c r="M33" s="2776"/>
      <c r="N33" s="2776"/>
      <c r="O33" s="2776"/>
      <c r="P33" s="2776"/>
      <c r="Q33" s="2776"/>
      <c r="R33" s="2776"/>
      <c r="S33" s="2776"/>
      <c r="T33" s="2776"/>
      <c r="U33" s="2776"/>
      <c r="V33" s="2776"/>
      <c r="W33" s="2776"/>
      <c r="X33" s="2776"/>
      <c r="Y33" s="2776"/>
      <c r="Z33" s="2776"/>
      <c r="AA33" s="2776"/>
      <c r="AB33" s="2776"/>
      <c r="AC33" s="2777"/>
      <c r="AD33" s="8"/>
      <c r="AH33" s="53">
        <v>13</v>
      </c>
      <c r="AI33" s="54"/>
    </row>
    <row r="34" spans="1:35" ht="18" customHeight="1">
      <c r="A34" s="2790"/>
      <c r="B34" s="2790"/>
      <c r="C34" s="2790"/>
      <c r="D34" s="2790"/>
      <c r="E34" s="2790"/>
      <c r="F34" s="2790"/>
      <c r="G34" s="2790"/>
      <c r="H34" s="2790"/>
      <c r="I34" s="2775"/>
      <c r="J34" s="2776"/>
      <c r="K34" s="2776"/>
      <c r="L34" s="2776"/>
      <c r="M34" s="2776"/>
      <c r="N34" s="2776"/>
      <c r="O34" s="2776"/>
      <c r="P34" s="2776"/>
      <c r="Q34" s="2776"/>
      <c r="R34" s="2776"/>
      <c r="S34" s="2776"/>
      <c r="T34" s="2776"/>
      <c r="U34" s="2776"/>
      <c r="V34" s="2776"/>
      <c r="W34" s="2776"/>
      <c r="X34" s="2776"/>
      <c r="Y34" s="2776"/>
      <c r="Z34" s="2776"/>
      <c r="AA34" s="2776"/>
      <c r="AB34" s="2776"/>
      <c r="AC34" s="2777"/>
      <c r="AD34" s="8"/>
      <c r="AH34" s="53">
        <v>14</v>
      </c>
      <c r="AI34" s="54"/>
    </row>
    <row r="35" spans="1:35" ht="18" customHeight="1">
      <c r="A35" s="2787"/>
      <c r="B35" s="2788"/>
      <c r="C35" s="2788"/>
      <c r="D35" s="2789"/>
      <c r="E35" s="2787"/>
      <c r="F35" s="2788"/>
      <c r="G35" s="2788"/>
      <c r="H35" s="2789"/>
      <c r="I35" s="2775"/>
      <c r="J35" s="2776"/>
      <c r="K35" s="2776"/>
      <c r="L35" s="2776"/>
      <c r="M35" s="2776"/>
      <c r="N35" s="2776"/>
      <c r="O35" s="2776"/>
      <c r="P35" s="2776"/>
      <c r="Q35" s="2776"/>
      <c r="R35" s="2776"/>
      <c r="S35" s="2776"/>
      <c r="T35" s="2776"/>
      <c r="U35" s="2776"/>
      <c r="V35" s="2776"/>
      <c r="W35" s="2776"/>
      <c r="X35" s="2776"/>
      <c r="Y35" s="2776"/>
      <c r="Z35" s="2776"/>
      <c r="AA35" s="2776"/>
      <c r="AB35" s="2776"/>
      <c r="AC35" s="2777"/>
      <c r="AD35" s="8"/>
      <c r="AH35" s="53">
        <v>15</v>
      </c>
      <c r="AI35" s="54"/>
    </row>
    <row r="36" spans="1:35" ht="18" customHeight="1">
      <c r="A36" s="2790"/>
      <c r="B36" s="2790"/>
      <c r="C36" s="2790"/>
      <c r="D36" s="2790"/>
      <c r="E36" s="2790"/>
      <c r="F36" s="2790"/>
      <c r="G36" s="2790"/>
      <c r="H36" s="2790"/>
      <c r="I36" s="2775"/>
      <c r="J36" s="2776"/>
      <c r="K36" s="2776"/>
      <c r="L36" s="2776"/>
      <c r="M36" s="2776"/>
      <c r="N36" s="2776"/>
      <c r="O36" s="2776"/>
      <c r="P36" s="2776"/>
      <c r="Q36" s="2776"/>
      <c r="R36" s="2776"/>
      <c r="S36" s="2776"/>
      <c r="T36" s="2776"/>
      <c r="U36" s="2776"/>
      <c r="V36" s="2776"/>
      <c r="W36" s="2776"/>
      <c r="X36" s="2776"/>
      <c r="Y36" s="2776"/>
      <c r="Z36" s="2776"/>
      <c r="AA36" s="2776"/>
      <c r="AB36" s="2776"/>
      <c r="AC36" s="2777"/>
      <c r="AD36" s="8"/>
      <c r="AH36" s="53">
        <v>16</v>
      </c>
      <c r="AI36" s="54"/>
    </row>
    <row r="37" spans="1:35" ht="18" customHeight="1">
      <c r="A37" s="2790"/>
      <c r="B37" s="2790"/>
      <c r="C37" s="2790"/>
      <c r="D37" s="2790"/>
      <c r="E37" s="2790"/>
      <c r="F37" s="2790"/>
      <c r="G37" s="2790"/>
      <c r="H37" s="2790"/>
      <c r="I37" s="2775"/>
      <c r="J37" s="2776"/>
      <c r="K37" s="2776"/>
      <c r="L37" s="2776"/>
      <c r="M37" s="2776"/>
      <c r="N37" s="2776"/>
      <c r="O37" s="2776"/>
      <c r="P37" s="2776"/>
      <c r="Q37" s="2776"/>
      <c r="R37" s="2776"/>
      <c r="S37" s="2776"/>
      <c r="T37" s="2776"/>
      <c r="U37" s="2776"/>
      <c r="V37" s="2776"/>
      <c r="W37" s="2776"/>
      <c r="X37" s="2776"/>
      <c r="Y37" s="2776"/>
      <c r="Z37" s="2776"/>
      <c r="AA37" s="2776"/>
      <c r="AB37" s="2776"/>
      <c r="AC37" s="2777"/>
      <c r="AD37" s="8"/>
      <c r="AH37" s="53">
        <v>17</v>
      </c>
      <c r="AI37" s="54"/>
    </row>
    <row r="38" spans="1:35" ht="18" customHeight="1">
      <c r="A38" s="2790"/>
      <c r="B38" s="2790"/>
      <c r="C38" s="2790"/>
      <c r="D38" s="2790"/>
      <c r="E38" s="2790"/>
      <c r="F38" s="2790"/>
      <c r="G38" s="2790"/>
      <c r="H38" s="2790"/>
      <c r="I38" s="2775"/>
      <c r="J38" s="2776"/>
      <c r="K38" s="2776"/>
      <c r="L38" s="2776"/>
      <c r="M38" s="2776"/>
      <c r="N38" s="2776"/>
      <c r="O38" s="2776"/>
      <c r="P38" s="2776"/>
      <c r="Q38" s="2776"/>
      <c r="R38" s="2776"/>
      <c r="S38" s="2776"/>
      <c r="T38" s="2776"/>
      <c r="U38" s="2776"/>
      <c r="V38" s="2776"/>
      <c r="W38" s="2776"/>
      <c r="X38" s="2776"/>
      <c r="Y38" s="2776"/>
      <c r="Z38" s="2776"/>
      <c r="AA38" s="2776"/>
      <c r="AB38" s="2776"/>
      <c r="AC38" s="2777"/>
      <c r="AD38" s="8"/>
      <c r="AH38" s="53">
        <v>18</v>
      </c>
      <c r="AI38" s="54"/>
    </row>
    <row r="39" spans="1:35" ht="18" customHeight="1">
      <c r="A39" s="2787"/>
      <c r="B39" s="2788"/>
      <c r="C39" s="2788"/>
      <c r="D39" s="2789"/>
      <c r="E39" s="2787"/>
      <c r="F39" s="2788"/>
      <c r="G39" s="2788"/>
      <c r="H39" s="2789"/>
      <c r="I39" s="2775"/>
      <c r="J39" s="2776"/>
      <c r="K39" s="2776"/>
      <c r="L39" s="2776"/>
      <c r="M39" s="2776"/>
      <c r="N39" s="2776"/>
      <c r="O39" s="2776"/>
      <c r="P39" s="2776"/>
      <c r="Q39" s="2776"/>
      <c r="R39" s="2776"/>
      <c r="S39" s="2776"/>
      <c r="T39" s="2776"/>
      <c r="U39" s="2776"/>
      <c r="V39" s="2776"/>
      <c r="W39" s="2776"/>
      <c r="X39" s="2776"/>
      <c r="Y39" s="2776"/>
      <c r="Z39" s="2776"/>
      <c r="AA39" s="2776"/>
      <c r="AB39" s="2776"/>
      <c r="AC39" s="2777"/>
      <c r="AD39" s="8"/>
      <c r="AH39" s="53">
        <v>19</v>
      </c>
      <c r="AI39" s="54"/>
    </row>
    <row r="40" spans="1:35" ht="18" customHeight="1">
      <c r="A40" s="2787"/>
      <c r="B40" s="2788"/>
      <c r="C40" s="2788"/>
      <c r="D40" s="2789"/>
      <c r="E40" s="2787"/>
      <c r="F40" s="2788"/>
      <c r="G40" s="2788"/>
      <c r="H40" s="2789"/>
      <c r="I40" s="2775"/>
      <c r="J40" s="2776"/>
      <c r="K40" s="2776"/>
      <c r="L40" s="2776"/>
      <c r="M40" s="2776"/>
      <c r="N40" s="2776"/>
      <c r="O40" s="2776"/>
      <c r="P40" s="2776"/>
      <c r="Q40" s="2776"/>
      <c r="R40" s="2776"/>
      <c r="S40" s="2776"/>
      <c r="T40" s="2776"/>
      <c r="U40" s="2776"/>
      <c r="V40" s="2776"/>
      <c r="W40" s="2776"/>
      <c r="X40" s="2776"/>
      <c r="Y40" s="2776"/>
      <c r="Z40" s="2776"/>
      <c r="AA40" s="2776"/>
      <c r="AB40" s="2776"/>
      <c r="AC40" s="2777"/>
      <c r="AD40" s="8"/>
      <c r="AH40" s="53">
        <v>20</v>
      </c>
      <c r="AI40" s="54"/>
    </row>
    <row r="41" spans="1:35" ht="18" customHeight="1">
      <c r="A41" s="2790"/>
      <c r="B41" s="2790"/>
      <c r="C41" s="2790"/>
      <c r="D41" s="2790"/>
      <c r="E41" s="2790"/>
      <c r="F41" s="2790"/>
      <c r="G41" s="2790"/>
      <c r="H41" s="2790"/>
      <c r="I41" s="2775"/>
      <c r="J41" s="2776"/>
      <c r="K41" s="2776"/>
      <c r="L41" s="2776"/>
      <c r="M41" s="2776"/>
      <c r="N41" s="2776"/>
      <c r="O41" s="2776"/>
      <c r="P41" s="2776"/>
      <c r="Q41" s="2776"/>
      <c r="R41" s="2776"/>
      <c r="S41" s="2776"/>
      <c r="T41" s="2776"/>
      <c r="U41" s="2776"/>
      <c r="V41" s="2776"/>
      <c r="W41" s="2776"/>
      <c r="X41" s="2776"/>
      <c r="Y41" s="2776"/>
      <c r="Z41" s="2776"/>
      <c r="AA41" s="2776"/>
      <c r="AB41" s="2776"/>
      <c r="AC41" s="2777"/>
      <c r="AD41" s="8"/>
      <c r="AH41" s="53">
        <v>21</v>
      </c>
      <c r="AI41" s="54"/>
    </row>
    <row r="42" spans="1:35" ht="18" customHeight="1">
      <c r="A42" s="2790"/>
      <c r="B42" s="2790"/>
      <c r="C42" s="2790"/>
      <c r="D42" s="2790"/>
      <c r="E42" s="2790"/>
      <c r="F42" s="2790"/>
      <c r="G42" s="2790"/>
      <c r="H42" s="2790"/>
      <c r="I42" s="2775"/>
      <c r="J42" s="2776"/>
      <c r="K42" s="2776"/>
      <c r="L42" s="2776"/>
      <c r="M42" s="2776"/>
      <c r="N42" s="2776"/>
      <c r="O42" s="2776"/>
      <c r="P42" s="2776"/>
      <c r="Q42" s="2776"/>
      <c r="R42" s="2776"/>
      <c r="S42" s="2776"/>
      <c r="T42" s="2776"/>
      <c r="U42" s="2776"/>
      <c r="V42" s="2776"/>
      <c r="W42" s="2776"/>
      <c r="X42" s="2776"/>
      <c r="Y42" s="2776"/>
      <c r="Z42" s="2776"/>
      <c r="AA42" s="2776"/>
      <c r="AB42" s="2776"/>
      <c r="AC42" s="2777"/>
      <c r="AD42" s="8"/>
      <c r="AH42" s="53">
        <v>22</v>
      </c>
      <c r="AI42" s="54"/>
    </row>
    <row r="43" spans="1:35" ht="18" customHeight="1">
      <c r="A43" s="2790"/>
      <c r="B43" s="2790"/>
      <c r="C43" s="2790"/>
      <c r="D43" s="2790"/>
      <c r="E43" s="2790"/>
      <c r="F43" s="2790"/>
      <c r="G43" s="2790"/>
      <c r="H43" s="2790"/>
      <c r="I43" s="2775"/>
      <c r="J43" s="2776"/>
      <c r="K43" s="2776"/>
      <c r="L43" s="2776"/>
      <c r="M43" s="2776"/>
      <c r="N43" s="2776"/>
      <c r="O43" s="2776"/>
      <c r="P43" s="2776"/>
      <c r="Q43" s="2776"/>
      <c r="R43" s="2776"/>
      <c r="S43" s="2776"/>
      <c r="T43" s="2776"/>
      <c r="U43" s="2776"/>
      <c r="V43" s="2776"/>
      <c r="W43" s="2776"/>
      <c r="X43" s="2776"/>
      <c r="Y43" s="2776"/>
      <c r="Z43" s="2776"/>
      <c r="AA43" s="2776"/>
      <c r="AB43" s="2776"/>
      <c r="AC43" s="2777"/>
      <c r="AD43" s="8"/>
      <c r="AH43" s="53">
        <v>23</v>
      </c>
      <c r="AI43" s="54"/>
    </row>
    <row r="44" spans="1:35" ht="18" customHeight="1">
      <c r="A44" s="2790"/>
      <c r="B44" s="2790"/>
      <c r="C44" s="2790"/>
      <c r="D44" s="2790"/>
      <c r="E44" s="2790"/>
      <c r="F44" s="2790"/>
      <c r="G44" s="2790"/>
      <c r="H44" s="2790"/>
      <c r="I44" s="2775"/>
      <c r="J44" s="2776"/>
      <c r="K44" s="2776"/>
      <c r="L44" s="2776"/>
      <c r="M44" s="2776"/>
      <c r="N44" s="2776"/>
      <c r="O44" s="2776"/>
      <c r="P44" s="2776"/>
      <c r="Q44" s="2776"/>
      <c r="R44" s="2776"/>
      <c r="S44" s="2776"/>
      <c r="T44" s="2776"/>
      <c r="U44" s="2776"/>
      <c r="V44" s="2776"/>
      <c r="W44" s="2776"/>
      <c r="X44" s="2776"/>
      <c r="Y44" s="2776"/>
      <c r="Z44" s="2776"/>
      <c r="AA44" s="2776"/>
      <c r="AB44" s="2776"/>
      <c r="AC44" s="2777"/>
      <c r="AD44" s="8"/>
      <c r="AH44" s="53">
        <v>24</v>
      </c>
      <c r="AI44" s="54"/>
    </row>
    <row r="45" spans="1:35" ht="18" customHeight="1">
      <c r="A45" s="2790"/>
      <c r="B45" s="2790"/>
      <c r="C45" s="2790"/>
      <c r="D45" s="2790"/>
      <c r="E45" s="2790"/>
      <c r="F45" s="2790"/>
      <c r="G45" s="2790"/>
      <c r="H45" s="2790"/>
      <c r="I45" s="2775"/>
      <c r="J45" s="2776"/>
      <c r="K45" s="2776"/>
      <c r="L45" s="2776"/>
      <c r="M45" s="2776"/>
      <c r="N45" s="2776"/>
      <c r="O45" s="2776"/>
      <c r="P45" s="2776"/>
      <c r="Q45" s="2776"/>
      <c r="R45" s="2776"/>
      <c r="S45" s="2776"/>
      <c r="T45" s="2776"/>
      <c r="U45" s="2776"/>
      <c r="V45" s="2776"/>
      <c r="W45" s="2776"/>
      <c r="X45" s="2776"/>
      <c r="Y45" s="2776"/>
      <c r="Z45" s="2776"/>
      <c r="AA45" s="2776"/>
      <c r="AB45" s="2776"/>
      <c r="AC45" s="2777"/>
      <c r="AD45" s="8"/>
      <c r="AH45" s="53">
        <v>25</v>
      </c>
      <c r="AI45" s="54"/>
    </row>
    <row r="46" spans="1:35" ht="18" customHeight="1">
      <c r="A46" s="2790"/>
      <c r="B46" s="2790"/>
      <c r="C46" s="2790"/>
      <c r="D46" s="2790"/>
      <c r="E46" s="2790"/>
      <c r="F46" s="2790"/>
      <c r="G46" s="2790"/>
      <c r="H46" s="2790"/>
      <c r="I46" s="2775"/>
      <c r="J46" s="2776"/>
      <c r="K46" s="2776"/>
      <c r="L46" s="2776"/>
      <c r="M46" s="2776"/>
      <c r="N46" s="2776"/>
      <c r="O46" s="2776"/>
      <c r="P46" s="2776"/>
      <c r="Q46" s="2776"/>
      <c r="R46" s="2776"/>
      <c r="S46" s="2776"/>
      <c r="T46" s="2776"/>
      <c r="U46" s="2776"/>
      <c r="V46" s="2776"/>
      <c r="W46" s="2776"/>
      <c r="X46" s="2776"/>
      <c r="Y46" s="2776"/>
      <c r="Z46" s="2776"/>
      <c r="AA46" s="2776"/>
      <c r="AB46" s="2776"/>
      <c r="AC46" s="2777"/>
      <c r="AD46" s="8"/>
      <c r="AH46" s="53">
        <v>26</v>
      </c>
      <c r="AI46" s="54"/>
    </row>
    <row r="47" spans="1:35" ht="18" customHeight="1">
      <c r="A47" s="2790"/>
      <c r="B47" s="2790"/>
      <c r="C47" s="2790"/>
      <c r="D47" s="2790"/>
      <c r="E47" s="2790"/>
      <c r="F47" s="2790"/>
      <c r="G47" s="2790"/>
      <c r="H47" s="2790"/>
      <c r="I47" s="2775"/>
      <c r="J47" s="2776"/>
      <c r="K47" s="2776"/>
      <c r="L47" s="2776"/>
      <c r="M47" s="2776"/>
      <c r="N47" s="2776"/>
      <c r="O47" s="2776"/>
      <c r="P47" s="2776"/>
      <c r="Q47" s="2776"/>
      <c r="R47" s="2776"/>
      <c r="S47" s="2776"/>
      <c r="T47" s="2776"/>
      <c r="U47" s="2776"/>
      <c r="V47" s="2776"/>
      <c r="W47" s="2776"/>
      <c r="X47" s="2776"/>
      <c r="Y47" s="2776"/>
      <c r="Z47" s="2776"/>
      <c r="AA47" s="2776"/>
      <c r="AB47" s="2776"/>
      <c r="AC47" s="2777"/>
      <c r="AD47" s="8"/>
      <c r="AH47" s="53">
        <v>27</v>
      </c>
      <c r="AI47" s="54"/>
    </row>
    <row r="48" spans="1:35" ht="18" customHeight="1">
      <c r="A48" s="2787"/>
      <c r="B48" s="2788"/>
      <c r="C48" s="2788"/>
      <c r="D48" s="2789"/>
      <c r="E48" s="2787"/>
      <c r="F48" s="2788"/>
      <c r="G48" s="2788"/>
      <c r="H48" s="2789"/>
      <c r="I48" s="2775"/>
      <c r="J48" s="2776"/>
      <c r="K48" s="2776"/>
      <c r="L48" s="2776"/>
      <c r="M48" s="2776"/>
      <c r="N48" s="2776"/>
      <c r="O48" s="2776"/>
      <c r="P48" s="2776"/>
      <c r="Q48" s="2776"/>
      <c r="R48" s="2776"/>
      <c r="S48" s="2776"/>
      <c r="T48" s="2776"/>
      <c r="U48" s="2776"/>
      <c r="V48" s="2776"/>
      <c r="W48" s="2776"/>
      <c r="X48" s="2776"/>
      <c r="Y48" s="2776"/>
      <c r="Z48" s="2776"/>
      <c r="AA48" s="2776"/>
      <c r="AB48" s="2776"/>
      <c r="AC48" s="2777"/>
      <c r="AD48" s="8"/>
      <c r="AH48" s="53">
        <v>28</v>
      </c>
      <c r="AI48" s="54"/>
    </row>
    <row r="49" spans="1:35" ht="18" customHeight="1">
      <c r="A49" s="2787"/>
      <c r="B49" s="2788"/>
      <c r="C49" s="2788"/>
      <c r="D49" s="2789"/>
      <c r="E49" s="2787"/>
      <c r="F49" s="2788"/>
      <c r="G49" s="2788"/>
      <c r="H49" s="2789"/>
      <c r="I49" s="2775"/>
      <c r="J49" s="2776"/>
      <c r="K49" s="2776"/>
      <c r="L49" s="2776"/>
      <c r="M49" s="2776"/>
      <c r="N49" s="2776"/>
      <c r="O49" s="2776"/>
      <c r="P49" s="2776"/>
      <c r="Q49" s="2776"/>
      <c r="R49" s="2776"/>
      <c r="S49" s="2776"/>
      <c r="T49" s="2776"/>
      <c r="U49" s="2776"/>
      <c r="V49" s="2776"/>
      <c r="W49" s="2776"/>
      <c r="X49" s="2776"/>
      <c r="Y49" s="2776"/>
      <c r="Z49" s="2776"/>
      <c r="AA49" s="2776"/>
      <c r="AB49" s="2776"/>
      <c r="AC49" s="2777"/>
      <c r="AD49" s="8"/>
      <c r="AH49" s="53">
        <v>29</v>
      </c>
      <c r="AI49" s="54"/>
    </row>
    <row r="50" spans="1:35" ht="18" customHeight="1">
      <c r="A50" s="2790"/>
      <c r="B50" s="2790"/>
      <c r="C50" s="2790"/>
      <c r="D50" s="2790"/>
      <c r="E50" s="2790"/>
      <c r="F50" s="2790"/>
      <c r="G50" s="2790"/>
      <c r="H50" s="2790"/>
      <c r="I50" s="2775"/>
      <c r="J50" s="2776"/>
      <c r="K50" s="2776"/>
      <c r="L50" s="2776"/>
      <c r="M50" s="2776"/>
      <c r="N50" s="2776"/>
      <c r="O50" s="2776"/>
      <c r="P50" s="2776"/>
      <c r="Q50" s="2776"/>
      <c r="R50" s="2776"/>
      <c r="S50" s="2776"/>
      <c r="T50" s="2776"/>
      <c r="U50" s="2776"/>
      <c r="V50" s="2776"/>
      <c r="W50" s="2776"/>
      <c r="X50" s="2776"/>
      <c r="Y50" s="2776"/>
      <c r="Z50" s="2776"/>
      <c r="AA50" s="2776"/>
      <c r="AB50" s="2776"/>
      <c r="AC50" s="2777"/>
      <c r="AD50" s="8"/>
      <c r="AH50" s="53">
        <v>30</v>
      </c>
      <c r="AI50" s="54"/>
    </row>
    <row r="51" spans="1:35" ht="18" customHeight="1">
      <c r="A51" s="2855"/>
      <c r="B51" s="2855"/>
      <c r="C51" s="2855"/>
      <c r="D51" s="2855"/>
      <c r="E51" s="2855"/>
      <c r="F51" s="2855"/>
      <c r="G51" s="2855"/>
      <c r="H51" s="2855"/>
      <c r="I51" s="2778"/>
      <c r="J51" s="2779"/>
      <c r="K51" s="2779"/>
      <c r="L51" s="2779"/>
      <c r="M51" s="2779"/>
      <c r="N51" s="2779"/>
      <c r="O51" s="2779"/>
      <c r="P51" s="2779"/>
      <c r="Q51" s="2779"/>
      <c r="R51" s="2779"/>
      <c r="S51" s="2779"/>
      <c r="T51" s="2779"/>
      <c r="U51" s="2779"/>
      <c r="V51" s="2779"/>
      <c r="W51" s="2779"/>
      <c r="X51" s="2779"/>
      <c r="Y51" s="2779"/>
      <c r="Z51" s="2779"/>
      <c r="AA51" s="2779"/>
      <c r="AB51" s="2779"/>
      <c r="AC51" s="2780"/>
      <c r="AD51" s="8"/>
      <c r="AH51" s="53">
        <v>31</v>
      </c>
      <c r="AI51" s="54"/>
    </row>
    <row r="52" spans="1:35" ht="18" customHeight="1">
      <c r="A52" s="543"/>
      <c r="B52" s="543"/>
      <c r="C52" s="543"/>
      <c r="D52" s="543"/>
      <c r="E52" s="543"/>
      <c r="F52" s="543"/>
      <c r="G52" s="543"/>
      <c r="H52" s="543"/>
      <c r="I52" s="543"/>
      <c r="J52" s="543"/>
      <c r="K52" s="543"/>
      <c r="L52" s="543"/>
      <c r="M52" s="2781" t="str">
        <f>"【"&amp;【マスター】!D7&amp;"】"</f>
        <v>【】</v>
      </c>
      <c r="N52" s="2781"/>
      <c r="O52" s="2781"/>
      <c r="P52" s="2781"/>
      <c r="Q52" s="2781"/>
      <c r="R52" s="2781"/>
      <c r="S52" s="2781"/>
      <c r="T52" s="2781"/>
      <c r="U52" s="2781"/>
      <c r="V52" s="2782"/>
      <c r="W52" s="2785" t="s">
        <v>1801</v>
      </c>
      <c r="X52" s="2785"/>
      <c r="Y52" s="2785"/>
      <c r="Z52" s="2785"/>
      <c r="AA52" s="2785"/>
      <c r="AB52" s="2785"/>
      <c r="AC52" s="2785"/>
      <c r="AD52" s="8"/>
      <c r="AH52" s="53">
        <v>32</v>
      </c>
      <c r="AI52" s="54"/>
    </row>
    <row r="53" spans="1:35" ht="18" customHeight="1">
      <c r="M53" s="2783"/>
      <c r="N53" s="2783"/>
      <c r="O53" s="2783"/>
      <c r="P53" s="2783"/>
      <c r="Q53" s="2783"/>
      <c r="R53" s="2783"/>
      <c r="S53" s="2783"/>
      <c r="T53" s="2783"/>
      <c r="U53" s="2783"/>
      <c r="V53" s="2784"/>
      <c r="W53" s="2786"/>
      <c r="X53" s="2786"/>
      <c r="Y53" s="2786"/>
      <c r="Z53" s="2786"/>
      <c r="AA53" s="2786"/>
      <c r="AB53" s="2786"/>
      <c r="AC53" s="2786"/>
      <c r="AD53" s="8"/>
      <c r="AH53" s="53">
        <v>33</v>
      </c>
      <c r="AI53" s="54"/>
    </row>
    <row r="54" spans="1:35" ht="18" customHeight="1">
      <c r="K54" s="75"/>
      <c r="L54" s="75"/>
      <c r="M54" s="75"/>
      <c r="N54" s="75"/>
      <c r="O54" s="75"/>
      <c r="P54" s="75"/>
      <c r="Q54" s="75"/>
      <c r="R54" s="75"/>
      <c r="S54" s="75"/>
      <c r="T54" s="75"/>
      <c r="U54" s="75"/>
      <c r="V54" s="76"/>
      <c r="W54" s="2786"/>
      <c r="X54" s="2786"/>
      <c r="Y54" s="2786"/>
      <c r="Z54" s="2786"/>
      <c r="AA54" s="2786"/>
      <c r="AB54" s="2786"/>
      <c r="AC54" s="2786"/>
      <c r="AD54" s="8"/>
      <c r="AH54" s="53">
        <v>34</v>
      </c>
      <c r="AI54" s="54"/>
    </row>
    <row r="55" spans="1:35" ht="18" customHeight="1">
      <c r="AD55" s="8"/>
      <c r="AH55" s="53">
        <v>35</v>
      </c>
      <c r="AI55" s="54"/>
    </row>
    <row r="56" spans="1:35" ht="18" customHeight="1">
      <c r="AH56" s="53">
        <v>36</v>
      </c>
      <c r="AI56" s="54"/>
    </row>
    <row r="57" spans="1:35" ht="18" customHeight="1">
      <c r="AH57" s="53">
        <v>37</v>
      </c>
      <c r="AI57" s="54"/>
    </row>
    <row r="58" spans="1:35" ht="18" customHeight="1">
      <c r="AH58" s="53">
        <v>38</v>
      </c>
      <c r="AI58" s="54"/>
    </row>
    <row r="59" spans="1:35" ht="18" customHeight="1">
      <c r="AH59" s="53">
        <v>39</v>
      </c>
      <c r="AI59" s="54"/>
    </row>
    <row r="60" spans="1:35" ht="18" customHeight="1" thickBot="1">
      <c r="AH60" s="55">
        <v>40</v>
      </c>
      <c r="AI60" s="29"/>
    </row>
    <row r="61" spans="1:35" ht="18" customHeight="1"/>
    <row r="62" spans="1:35" ht="18" customHeight="1"/>
    <row r="63" spans="1:35" ht="18" customHeight="1"/>
    <row r="64" spans="1:35" ht="18" customHeight="1"/>
    <row r="65" ht="18" customHeight="1"/>
    <row r="66" ht="18" customHeight="1"/>
  </sheetData>
  <sheetProtection selectLockedCells="1"/>
  <mergeCells count="174">
    <mergeCell ref="A5:C5"/>
    <mergeCell ref="D5:E5"/>
    <mergeCell ref="K5:M5"/>
    <mergeCell ref="R6:AC6"/>
    <mergeCell ref="A6:F6"/>
    <mergeCell ref="G6:K6"/>
    <mergeCell ref="L6:Q6"/>
    <mergeCell ref="R7:AC7"/>
    <mergeCell ref="A8:B8"/>
    <mergeCell ref="C8:E8"/>
    <mergeCell ref="L8:M8"/>
    <mergeCell ref="N8:P8"/>
    <mergeCell ref="R8:AC8"/>
    <mergeCell ref="G5:J5"/>
    <mergeCell ref="N5:O5"/>
    <mergeCell ref="P5:U5"/>
    <mergeCell ref="V5:W5"/>
    <mergeCell ref="X5:AC5"/>
    <mergeCell ref="A7:B7"/>
    <mergeCell ref="C7:F7"/>
    <mergeCell ref="G7:K7"/>
    <mergeCell ref="L7:M7"/>
    <mergeCell ref="N7:Q7"/>
    <mergeCell ref="X19:Z19"/>
    <mergeCell ref="AA19:AC19"/>
    <mergeCell ref="AA17:AC17"/>
    <mergeCell ref="X17:Z17"/>
    <mergeCell ref="X12:Z12"/>
    <mergeCell ref="AA12:AC12"/>
    <mergeCell ref="X13:Z13"/>
    <mergeCell ref="AA13:AC13"/>
    <mergeCell ref="X14:Z14"/>
    <mergeCell ref="AA14:AC14"/>
    <mergeCell ref="X15:AC15"/>
    <mergeCell ref="AA16:AC16"/>
    <mergeCell ref="A9:B9"/>
    <mergeCell ref="C9:E9"/>
    <mergeCell ref="G9:K9"/>
    <mergeCell ref="L9:M9"/>
    <mergeCell ref="N9:P9"/>
    <mergeCell ref="R9:AC9"/>
    <mergeCell ref="AE2:AF2"/>
    <mergeCell ref="AE5:AE6"/>
    <mergeCell ref="A51:D51"/>
    <mergeCell ref="E51:H51"/>
    <mergeCell ref="A48:D48"/>
    <mergeCell ref="E48:H48"/>
    <mergeCell ref="A47:D47"/>
    <mergeCell ref="E47:H47"/>
    <mergeCell ref="A45:D45"/>
    <mergeCell ref="E45:H45"/>
    <mergeCell ref="A43:D43"/>
    <mergeCell ref="E43:H43"/>
    <mergeCell ref="A46:D46"/>
    <mergeCell ref="E46:H46"/>
    <mergeCell ref="A44:D44"/>
    <mergeCell ref="E44:H44"/>
    <mergeCell ref="A41:D41"/>
    <mergeCell ref="V11:W11"/>
    <mergeCell ref="P12:Q14"/>
    <mergeCell ref="R12:S14"/>
    <mergeCell ref="E41:H41"/>
    <mergeCell ref="A42:D42"/>
    <mergeCell ref="E42:H42"/>
    <mergeCell ref="A39:D39"/>
    <mergeCell ref="E39:H39"/>
    <mergeCell ref="A40:D40"/>
    <mergeCell ref="E40:H40"/>
    <mergeCell ref="I39:AC39"/>
    <mergeCell ref="I40:AC40"/>
    <mergeCell ref="I41:AC41"/>
    <mergeCell ref="I42:AC42"/>
    <mergeCell ref="A37:D37"/>
    <mergeCell ref="E37:H37"/>
    <mergeCell ref="A38:D38"/>
    <mergeCell ref="E38:H38"/>
    <mergeCell ref="A35:D35"/>
    <mergeCell ref="E35:H35"/>
    <mergeCell ref="A36:D36"/>
    <mergeCell ref="E36:H36"/>
    <mergeCell ref="I35:AC35"/>
    <mergeCell ref="I36:AC36"/>
    <mergeCell ref="I37:AC37"/>
    <mergeCell ref="I38:AC38"/>
    <mergeCell ref="I28:AC28"/>
    <mergeCell ref="I29:AC29"/>
    <mergeCell ref="I30:AC30"/>
    <mergeCell ref="A33:D33"/>
    <mergeCell ref="E33:H33"/>
    <mergeCell ref="A34:D34"/>
    <mergeCell ref="E34:H34"/>
    <mergeCell ref="A31:D31"/>
    <mergeCell ref="E31:H31"/>
    <mergeCell ref="A32:D32"/>
    <mergeCell ref="E32:H32"/>
    <mergeCell ref="I31:AC31"/>
    <mergeCell ref="I32:AC32"/>
    <mergeCell ref="I33:AC33"/>
    <mergeCell ref="I34:AC34"/>
    <mergeCell ref="A26:D26"/>
    <mergeCell ref="E26:H26"/>
    <mergeCell ref="A23:D23"/>
    <mergeCell ref="E23:H23"/>
    <mergeCell ref="A24:D24"/>
    <mergeCell ref="E24:H24"/>
    <mergeCell ref="A29:D29"/>
    <mergeCell ref="E29:H29"/>
    <mergeCell ref="A30:D30"/>
    <mergeCell ref="E30:H30"/>
    <mergeCell ref="A27:D27"/>
    <mergeCell ref="E27:H27"/>
    <mergeCell ref="A28:D28"/>
    <mergeCell ref="E28:H28"/>
    <mergeCell ref="A25:D25"/>
    <mergeCell ref="E25:H25"/>
    <mergeCell ref="P2:R3"/>
    <mergeCell ref="I23:AC23"/>
    <mergeCell ref="I24:AC24"/>
    <mergeCell ref="A21:D21"/>
    <mergeCell ref="E21:H21"/>
    <mergeCell ref="A22:D22"/>
    <mergeCell ref="E22:H22"/>
    <mergeCell ref="I21:AC21"/>
    <mergeCell ref="I22:AC22"/>
    <mergeCell ref="A11:A14"/>
    <mergeCell ref="B11:D11"/>
    <mergeCell ref="E11:G11"/>
    <mergeCell ref="T12:U14"/>
    <mergeCell ref="N11:O11"/>
    <mergeCell ref="L12:M14"/>
    <mergeCell ref="A18:E18"/>
    <mergeCell ref="A19:E19"/>
    <mergeCell ref="N12:O14"/>
    <mergeCell ref="P11:Q11"/>
    <mergeCell ref="R11:S11"/>
    <mergeCell ref="T11:U11"/>
    <mergeCell ref="X16:Z16"/>
    <mergeCell ref="X18:Z18"/>
    <mergeCell ref="AA18:AC18"/>
    <mergeCell ref="A2:H3"/>
    <mergeCell ref="I43:AC43"/>
    <mergeCell ref="I44:AC44"/>
    <mergeCell ref="I45:AC45"/>
    <mergeCell ref="I46:AC46"/>
    <mergeCell ref="I47:AC47"/>
    <mergeCell ref="V12:W14"/>
    <mergeCell ref="X11:AC11"/>
    <mergeCell ref="I26:AC26"/>
    <mergeCell ref="I27:AC27"/>
    <mergeCell ref="V2:AB3"/>
    <mergeCell ref="AC2:AC3"/>
    <mergeCell ref="A15:E15"/>
    <mergeCell ref="A16:E16"/>
    <mergeCell ref="A17:E17"/>
    <mergeCell ref="H11:J11"/>
    <mergeCell ref="B12:D14"/>
    <mergeCell ref="E12:G14"/>
    <mergeCell ref="H12:J14"/>
    <mergeCell ref="K11:K14"/>
    <mergeCell ref="L11:M11"/>
    <mergeCell ref="I25:AC25"/>
    <mergeCell ref="I2:O3"/>
    <mergeCell ref="T2:U3"/>
    <mergeCell ref="I48:AC48"/>
    <mergeCell ref="I49:AC49"/>
    <mergeCell ref="I50:AC50"/>
    <mergeCell ref="I51:AC51"/>
    <mergeCell ref="M52:V53"/>
    <mergeCell ref="W52:AA54"/>
    <mergeCell ref="AB52:AC54"/>
    <mergeCell ref="A49:D49"/>
    <mergeCell ref="E49:H49"/>
    <mergeCell ref="A50:D50"/>
    <mergeCell ref="E50:H50"/>
  </mergeCells>
  <phoneticPr fontId="17"/>
  <dataValidations count="4">
    <dataValidation type="list" allowBlank="1" showInputMessage="1" showErrorMessage="1" sqref="AH6" xr:uid="{00000000-0002-0000-2200-000000000000}">
      <formula1>$AH$21:$AH$51</formula1>
    </dataValidation>
    <dataValidation type="list" allowBlank="1" showInputMessage="1" showErrorMessage="1" sqref="AG6" xr:uid="{00000000-0002-0000-2200-000001000000}">
      <formula1>$AH$21:$AH$32</formula1>
    </dataValidation>
    <dataValidation type="list" allowBlank="1" showInputMessage="1" showErrorMessage="1" sqref="AF6" xr:uid="{00000000-0002-0000-2200-000002000000}">
      <formula1>$AH$46:$AH$60</formula1>
    </dataValidation>
    <dataValidation type="list" allowBlank="1" showInputMessage="1" showErrorMessage="1" sqref="AG2" xr:uid="{00000000-0002-0000-2200-000003000000}">
      <formula1>$AH$21:$AH$60</formula1>
    </dataValidation>
  </dataValidations>
  <printOptions horizontalCentered="1"/>
  <pageMargins left="0.55118110236220474" right="0.15748031496062992" top="0.23622047244094491" bottom="0.23622047244094491" header="0.27559055118110237" footer="0.23622047244094491"/>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
    <tabColor rgb="FFFFC000"/>
  </sheetPr>
  <dimension ref="A1:AH63"/>
  <sheetViews>
    <sheetView workbookViewId="0"/>
  </sheetViews>
  <sheetFormatPr defaultColWidth="8.875" defaultRowHeight="14.25"/>
  <cols>
    <col min="1" max="27" width="3.625" style="7" customWidth="1"/>
    <col min="28" max="28" width="1.625" style="19" customWidth="1"/>
    <col min="29" max="251" width="9" style="19"/>
    <col min="252" max="278" width="3.625" style="19" customWidth="1"/>
    <col min="279" max="507" width="9" style="19"/>
    <col min="508" max="534" width="3.625" style="19" customWidth="1"/>
    <col min="535" max="763" width="9" style="19"/>
    <col min="764" max="790" width="3.625" style="19" customWidth="1"/>
    <col min="791" max="1019" width="9" style="19"/>
    <col min="1020" max="1046" width="3.625" style="19" customWidth="1"/>
    <col min="1047" max="1275" width="9" style="19"/>
    <col min="1276" max="1302" width="3.625" style="19" customWidth="1"/>
    <col min="1303" max="1531" width="9" style="19"/>
    <col min="1532" max="1558" width="3.625" style="19" customWidth="1"/>
    <col min="1559" max="1787" width="9" style="19"/>
    <col min="1788" max="1814" width="3.625" style="19" customWidth="1"/>
    <col min="1815" max="2043" width="9" style="19"/>
    <col min="2044" max="2070" width="3.625" style="19" customWidth="1"/>
    <col min="2071" max="2299" width="9" style="19"/>
    <col min="2300" max="2326" width="3.625" style="19" customWidth="1"/>
    <col min="2327" max="2555" width="9" style="19"/>
    <col min="2556" max="2582" width="3.625" style="19" customWidth="1"/>
    <col min="2583" max="2811" width="9" style="19"/>
    <col min="2812" max="2838" width="3.625" style="19" customWidth="1"/>
    <col min="2839" max="3067" width="9" style="19"/>
    <col min="3068" max="3094" width="3.625" style="19" customWidth="1"/>
    <col min="3095" max="3323" width="9" style="19"/>
    <col min="3324" max="3350" width="3.625" style="19" customWidth="1"/>
    <col min="3351" max="3579" width="9" style="19"/>
    <col min="3580" max="3606" width="3.625" style="19" customWidth="1"/>
    <col min="3607" max="3835" width="9" style="19"/>
    <col min="3836" max="3862" width="3.625" style="19" customWidth="1"/>
    <col min="3863" max="4091" width="9" style="19"/>
    <col min="4092" max="4118" width="3.625" style="19" customWidth="1"/>
    <col min="4119" max="4347" width="9" style="19"/>
    <col min="4348" max="4374" width="3.625" style="19" customWidth="1"/>
    <col min="4375" max="4603" width="9" style="19"/>
    <col min="4604" max="4630" width="3.625" style="19" customWidth="1"/>
    <col min="4631" max="4859" width="9" style="19"/>
    <col min="4860" max="4886" width="3.625" style="19" customWidth="1"/>
    <col min="4887" max="5115" width="9" style="19"/>
    <col min="5116" max="5142" width="3.625" style="19" customWidth="1"/>
    <col min="5143" max="5371" width="9" style="19"/>
    <col min="5372" max="5398" width="3.625" style="19" customWidth="1"/>
    <col min="5399" max="5627" width="9" style="19"/>
    <col min="5628" max="5654" width="3.625" style="19" customWidth="1"/>
    <col min="5655" max="5883" width="9" style="19"/>
    <col min="5884" max="5910" width="3.625" style="19" customWidth="1"/>
    <col min="5911" max="6139" width="9" style="19"/>
    <col min="6140" max="6166" width="3.625" style="19" customWidth="1"/>
    <col min="6167" max="6395" width="9" style="19"/>
    <col min="6396" max="6422" width="3.625" style="19" customWidth="1"/>
    <col min="6423" max="6651" width="9" style="19"/>
    <col min="6652" max="6678" width="3.625" style="19" customWidth="1"/>
    <col min="6679" max="6907" width="9" style="19"/>
    <col min="6908" max="6934" width="3.625" style="19" customWidth="1"/>
    <col min="6935" max="7163" width="9" style="19"/>
    <col min="7164" max="7190" width="3.625" style="19" customWidth="1"/>
    <col min="7191" max="7419" width="9" style="19"/>
    <col min="7420" max="7446" width="3.625" style="19" customWidth="1"/>
    <col min="7447" max="7675" width="9" style="19"/>
    <col min="7676" max="7702" width="3.625" style="19" customWidth="1"/>
    <col min="7703" max="7931" width="9" style="19"/>
    <col min="7932" max="7958" width="3.625" style="19" customWidth="1"/>
    <col min="7959" max="8187" width="9" style="19"/>
    <col min="8188" max="8214" width="3.625" style="19" customWidth="1"/>
    <col min="8215" max="8443" width="9" style="19"/>
    <col min="8444" max="8470" width="3.625" style="19" customWidth="1"/>
    <col min="8471" max="8699" width="9" style="19"/>
    <col min="8700" max="8726" width="3.625" style="19" customWidth="1"/>
    <col min="8727" max="8955" width="9" style="19"/>
    <col min="8956" max="8982" width="3.625" style="19" customWidth="1"/>
    <col min="8983" max="9211" width="9" style="19"/>
    <col min="9212" max="9238" width="3.625" style="19" customWidth="1"/>
    <col min="9239" max="9467" width="9" style="19"/>
    <col min="9468" max="9494" width="3.625" style="19" customWidth="1"/>
    <col min="9495" max="9723" width="9" style="19"/>
    <col min="9724" max="9750" width="3.625" style="19" customWidth="1"/>
    <col min="9751" max="9979" width="9" style="19"/>
    <col min="9980" max="10006" width="3.625" style="19" customWidth="1"/>
    <col min="10007" max="10235" width="9" style="19"/>
    <col min="10236" max="10262" width="3.625" style="19" customWidth="1"/>
    <col min="10263" max="10491" width="9" style="19"/>
    <col min="10492" max="10518" width="3.625" style="19" customWidth="1"/>
    <col min="10519" max="10747" width="9" style="19"/>
    <col min="10748" max="10774" width="3.625" style="19" customWidth="1"/>
    <col min="10775" max="11003" width="9" style="19"/>
    <col min="11004" max="11030" width="3.625" style="19" customWidth="1"/>
    <col min="11031" max="11259" width="9" style="19"/>
    <col min="11260" max="11286" width="3.625" style="19" customWidth="1"/>
    <col min="11287" max="11515" width="9" style="19"/>
    <col min="11516" max="11542" width="3.625" style="19" customWidth="1"/>
    <col min="11543" max="11771" width="9" style="19"/>
    <col min="11772" max="11798" width="3.625" style="19" customWidth="1"/>
    <col min="11799" max="12027" width="9" style="19"/>
    <col min="12028" max="12054" width="3.625" style="19" customWidth="1"/>
    <col min="12055" max="12283" width="9" style="19"/>
    <col min="12284" max="12310" width="3.625" style="19" customWidth="1"/>
    <col min="12311" max="12539" width="9" style="19"/>
    <col min="12540" max="12566" width="3.625" style="19" customWidth="1"/>
    <col min="12567" max="12795" width="9" style="19"/>
    <col min="12796" max="12822" width="3.625" style="19" customWidth="1"/>
    <col min="12823" max="13051" width="9" style="19"/>
    <col min="13052" max="13078" width="3.625" style="19" customWidth="1"/>
    <col min="13079" max="13307" width="9" style="19"/>
    <col min="13308" max="13334" width="3.625" style="19" customWidth="1"/>
    <col min="13335" max="13563" width="9" style="19"/>
    <col min="13564" max="13590" width="3.625" style="19" customWidth="1"/>
    <col min="13591" max="13819" width="9" style="19"/>
    <col min="13820" max="13846" width="3.625" style="19" customWidth="1"/>
    <col min="13847" max="14075" width="9" style="19"/>
    <col min="14076" max="14102" width="3.625" style="19" customWidth="1"/>
    <col min="14103" max="14331" width="9" style="19"/>
    <col min="14332" max="14358" width="3.625" style="19" customWidth="1"/>
    <col min="14359" max="14587" width="9" style="19"/>
    <col min="14588" max="14614" width="3.625" style="19" customWidth="1"/>
    <col min="14615" max="14843" width="9" style="19"/>
    <col min="14844" max="14870" width="3.625" style="19" customWidth="1"/>
    <col min="14871" max="15099" width="9" style="19"/>
    <col min="15100" max="15126" width="3.625" style="19" customWidth="1"/>
    <col min="15127" max="15355" width="9" style="19"/>
    <col min="15356" max="15382" width="3.625" style="19" customWidth="1"/>
    <col min="15383" max="15611" width="9" style="19"/>
    <col min="15612" max="15638" width="3.625" style="19" customWidth="1"/>
    <col min="15639" max="15867" width="9" style="19"/>
    <col min="15868" max="15894" width="3.625" style="19" customWidth="1"/>
    <col min="15895" max="16123" width="9" style="19"/>
    <col min="16124" max="16150" width="3.625" style="19" customWidth="1"/>
    <col min="16151" max="16384" width="9" style="19"/>
  </cols>
  <sheetData>
    <row r="1" spans="1:34" ht="21">
      <c r="I1" s="60"/>
      <c r="J1" s="60"/>
      <c r="K1" s="60"/>
      <c r="L1" s="60"/>
      <c r="M1" s="60"/>
      <c r="N1" s="60"/>
      <c r="O1" s="60"/>
      <c r="P1" s="60"/>
      <c r="Q1" s="60"/>
      <c r="R1" s="60"/>
      <c r="AA1" s="22" t="s">
        <v>1802</v>
      </c>
    </row>
    <row r="2" spans="1:34" ht="18" customHeight="1">
      <c r="A2" s="2791" t="s">
        <v>1803</v>
      </c>
      <c r="B2" s="2791"/>
      <c r="C2" s="2791"/>
      <c r="D2" s="2791"/>
      <c r="E2" s="2791"/>
      <c r="F2" s="2791"/>
      <c r="G2" s="2791"/>
      <c r="H2" s="2791"/>
      <c r="I2" s="2812">
        <f>'経過表（内）'!I2</f>
        <v>42095</v>
      </c>
      <c r="J2" s="2812"/>
      <c r="K2" s="2812"/>
      <c r="L2" s="2812"/>
      <c r="M2" s="2812"/>
      <c r="N2" s="2812"/>
      <c r="O2" s="2812"/>
      <c r="P2" s="2906">
        <f>'経過表（内）'!I2</f>
        <v>42095</v>
      </c>
      <c r="Q2" s="2906"/>
      <c r="R2" s="2906"/>
      <c r="S2" s="19"/>
      <c r="T2" s="2801" t="s">
        <v>1756</v>
      </c>
      <c r="U2" s="2801"/>
      <c r="V2" s="2799" t="str">
        <f>IF('経過表（内）'!V2:AB3=0,"",'経過表（内）'!V2:AB3)</f>
        <v/>
      </c>
      <c r="W2" s="2799"/>
      <c r="X2" s="2799"/>
      <c r="Y2" s="2799"/>
      <c r="Z2" s="2799"/>
      <c r="AA2" s="2801" t="s">
        <v>1757</v>
      </c>
    </row>
    <row r="3" spans="1:34" ht="18" customHeight="1">
      <c r="A3" s="2791"/>
      <c r="B3" s="2791"/>
      <c r="C3" s="2791"/>
      <c r="D3" s="2791"/>
      <c r="E3" s="2791"/>
      <c r="F3" s="2791"/>
      <c r="G3" s="2791"/>
      <c r="H3" s="2791"/>
      <c r="I3" s="2813"/>
      <c r="J3" s="2813"/>
      <c r="K3" s="2813"/>
      <c r="L3" s="2813"/>
      <c r="M3" s="2813"/>
      <c r="N3" s="2813"/>
      <c r="O3" s="2813"/>
      <c r="P3" s="2907"/>
      <c r="Q3" s="2907"/>
      <c r="R3" s="2907"/>
      <c r="T3" s="2802"/>
      <c r="U3" s="2802"/>
      <c r="V3" s="2800"/>
      <c r="W3" s="2800"/>
      <c r="X3" s="2800"/>
      <c r="Y3" s="2800"/>
      <c r="Z3" s="2800"/>
      <c r="AA3" s="2802"/>
    </row>
    <row r="4" spans="1:34" ht="5.0999999999999996" customHeight="1"/>
    <row r="5" spans="1:34" ht="18" customHeight="1">
      <c r="A5" s="2816" t="s">
        <v>1760</v>
      </c>
      <c r="B5" s="2817"/>
      <c r="C5" s="2818"/>
      <c r="D5" s="2866" t="s">
        <v>1761</v>
      </c>
      <c r="E5" s="2846"/>
      <c r="F5" s="39" t="s">
        <v>1073</v>
      </c>
      <c r="G5" s="2883" t="s">
        <v>1804</v>
      </c>
      <c r="H5" s="2904"/>
      <c r="I5" s="2905"/>
      <c r="J5" s="2816" t="s">
        <v>1764</v>
      </c>
      <c r="K5" s="2817"/>
      <c r="L5" s="2818"/>
      <c r="M5" s="77" t="s">
        <v>1805</v>
      </c>
      <c r="N5" s="39" t="s">
        <v>1073</v>
      </c>
      <c r="O5" s="603" t="s">
        <v>1806</v>
      </c>
      <c r="P5" s="39" t="s">
        <v>1073</v>
      </c>
      <c r="Q5" s="604" t="s">
        <v>1100</v>
      </c>
      <c r="R5" s="2867" t="s">
        <v>1772</v>
      </c>
      <c r="S5" s="2867"/>
      <c r="T5" s="2867"/>
      <c r="U5" s="2867"/>
      <c r="V5" s="2867"/>
      <c r="W5" s="2867"/>
      <c r="X5" s="2867"/>
      <c r="Y5" s="2867"/>
      <c r="Z5" s="2867"/>
      <c r="AA5" s="2867"/>
      <c r="AB5" s="20"/>
      <c r="AH5" s="59"/>
    </row>
    <row r="6" spans="1:34" ht="18" customHeight="1">
      <c r="A6" s="2816" t="s">
        <v>1769</v>
      </c>
      <c r="B6" s="2817"/>
      <c r="C6" s="2817"/>
      <c r="D6" s="2817"/>
      <c r="E6" s="2817"/>
      <c r="F6" s="2818"/>
      <c r="G6" s="2868" t="s">
        <v>1770</v>
      </c>
      <c r="H6" s="2868"/>
      <c r="I6" s="2868"/>
      <c r="J6" s="2868"/>
      <c r="K6" s="2868"/>
      <c r="L6" s="2816" t="s">
        <v>1771</v>
      </c>
      <c r="M6" s="2817"/>
      <c r="N6" s="2817"/>
      <c r="O6" s="2817"/>
      <c r="P6" s="2817"/>
      <c r="Q6" s="2818"/>
      <c r="R6" s="2806"/>
      <c r="S6" s="2806"/>
      <c r="T6" s="2806"/>
      <c r="U6" s="2806"/>
      <c r="V6" s="2806"/>
      <c r="W6" s="2806"/>
      <c r="X6" s="2806"/>
      <c r="Y6" s="2806"/>
      <c r="Z6" s="2806"/>
      <c r="AA6" s="2806"/>
      <c r="AB6" s="21"/>
    </row>
    <row r="7" spans="1:34" ht="18" customHeight="1">
      <c r="A7" s="2845" t="s">
        <v>1773</v>
      </c>
      <c r="B7" s="2087"/>
      <c r="C7" s="2846" t="s">
        <v>1807</v>
      </c>
      <c r="D7" s="2846"/>
      <c r="E7" s="2846"/>
      <c r="F7" s="2846"/>
      <c r="G7" s="2878" t="s">
        <v>1740</v>
      </c>
      <c r="H7" s="2879"/>
      <c r="I7" s="2879"/>
      <c r="J7" s="2879"/>
      <c r="K7" s="2880"/>
      <c r="L7" s="2850" t="s">
        <v>1773</v>
      </c>
      <c r="M7" s="2087"/>
      <c r="N7" s="2846" t="s">
        <v>1807</v>
      </c>
      <c r="O7" s="2846"/>
      <c r="P7" s="2846"/>
      <c r="Q7" s="2869"/>
      <c r="R7" s="2806"/>
      <c r="S7" s="2806"/>
      <c r="T7" s="2806"/>
      <c r="U7" s="2806"/>
      <c r="V7" s="2806"/>
      <c r="W7" s="2806"/>
      <c r="X7" s="2806"/>
      <c r="Y7" s="2806"/>
      <c r="Z7" s="2806"/>
      <c r="AA7" s="2806"/>
      <c r="AB7" s="21"/>
    </row>
    <row r="8" spans="1:34" ht="18" customHeight="1">
      <c r="A8" s="2845" t="s">
        <v>1776</v>
      </c>
      <c r="B8" s="2087"/>
      <c r="C8" s="2846"/>
      <c r="D8" s="2846"/>
      <c r="E8" s="2846"/>
      <c r="F8" s="80" t="s">
        <v>827</v>
      </c>
      <c r="G8" s="81" t="s">
        <v>1777</v>
      </c>
      <c r="H8" s="82"/>
      <c r="I8" s="82"/>
      <c r="J8" s="82"/>
      <c r="K8" s="83"/>
      <c r="L8" s="2850" t="s">
        <v>1776</v>
      </c>
      <c r="M8" s="2087"/>
      <c r="N8" s="2846"/>
      <c r="O8" s="2846"/>
      <c r="P8" s="2846"/>
      <c r="Q8" s="84" t="s">
        <v>827</v>
      </c>
      <c r="R8" s="2870" t="s">
        <v>1778</v>
      </c>
      <c r="S8" s="2870"/>
      <c r="T8" s="2870"/>
      <c r="U8" s="2870"/>
      <c r="V8" s="2870"/>
      <c r="W8" s="2870"/>
      <c r="X8" s="2870"/>
      <c r="Y8" s="2870"/>
      <c r="Z8" s="2870"/>
      <c r="AA8" s="2870"/>
      <c r="AB8" s="20"/>
    </row>
    <row r="9" spans="1:34" ht="18" customHeight="1">
      <c r="A9" s="2845" t="s">
        <v>1779</v>
      </c>
      <c r="B9" s="2087"/>
      <c r="C9" s="2846"/>
      <c r="D9" s="2846"/>
      <c r="E9" s="2846"/>
      <c r="F9" s="80" t="s">
        <v>1808</v>
      </c>
      <c r="G9" s="2847"/>
      <c r="H9" s="2848"/>
      <c r="I9" s="2848"/>
      <c r="J9" s="2848"/>
      <c r="K9" s="2849"/>
      <c r="L9" s="2850" t="s">
        <v>1779</v>
      </c>
      <c r="M9" s="2087"/>
      <c r="N9" s="2846"/>
      <c r="O9" s="2846"/>
      <c r="P9" s="2846"/>
      <c r="Q9" s="84" t="s">
        <v>1808</v>
      </c>
      <c r="R9" s="2806"/>
      <c r="S9" s="2806"/>
      <c r="T9" s="2806"/>
      <c r="U9" s="2806"/>
      <c r="V9" s="2806"/>
      <c r="W9" s="2806"/>
      <c r="X9" s="2806"/>
      <c r="Y9" s="2806"/>
      <c r="Z9" s="2806"/>
      <c r="AA9" s="2806"/>
      <c r="AB9" s="21"/>
    </row>
    <row r="10" spans="1:34" ht="5.0999999999999996" customHeight="1" thickBot="1"/>
    <row r="11" spans="1:34" ht="18" customHeight="1" thickTop="1">
      <c r="A11" s="2894" t="s">
        <v>1781</v>
      </c>
      <c r="B11" s="2895"/>
      <c r="C11" s="2895"/>
      <c r="D11" s="2888" t="s">
        <v>1809</v>
      </c>
      <c r="E11" s="2889"/>
      <c r="F11" s="2888" t="s">
        <v>221</v>
      </c>
      <c r="G11" s="2889"/>
      <c r="H11" s="2888" t="s">
        <v>1782</v>
      </c>
      <c r="I11" s="2890"/>
      <c r="J11" s="2894" t="s">
        <v>1810</v>
      </c>
      <c r="K11" s="2895"/>
      <c r="L11" s="2895"/>
      <c r="M11" s="2886" t="s">
        <v>1811</v>
      </c>
      <c r="N11" s="2886"/>
      <c r="O11" s="2888" t="s">
        <v>1812</v>
      </c>
      <c r="P11" s="2889"/>
      <c r="Q11" s="2886" t="s">
        <v>1813</v>
      </c>
      <c r="R11" s="2886"/>
      <c r="S11" s="2886" t="s">
        <v>1814</v>
      </c>
      <c r="T11" s="2886"/>
      <c r="U11" s="2886"/>
      <c r="V11" s="2886"/>
      <c r="W11" s="2886"/>
      <c r="X11" s="2886"/>
      <c r="Y11" s="2886"/>
      <c r="Z11" s="2886"/>
      <c r="AA11" s="2887"/>
      <c r="AB11" s="7"/>
      <c r="AC11" s="7"/>
      <c r="AD11" s="7"/>
      <c r="AE11" s="7"/>
    </row>
    <row r="12" spans="1:34" ht="18" customHeight="1">
      <c r="A12" s="2896"/>
      <c r="B12" s="2798"/>
      <c r="C12" s="2798"/>
      <c r="D12" s="2806"/>
      <c r="E12" s="2806"/>
      <c r="F12" s="2899"/>
      <c r="G12" s="2900"/>
      <c r="H12" s="2806"/>
      <c r="I12" s="2892"/>
      <c r="J12" s="2896"/>
      <c r="K12" s="2798"/>
      <c r="L12" s="2798"/>
      <c r="M12" s="2806"/>
      <c r="N12" s="2806"/>
      <c r="O12" s="2899"/>
      <c r="P12" s="2900"/>
      <c r="Q12" s="2806"/>
      <c r="R12" s="2806"/>
      <c r="S12" s="2806"/>
      <c r="T12" s="2806"/>
      <c r="U12" s="2806"/>
      <c r="V12" s="2806"/>
      <c r="W12" s="2806"/>
      <c r="X12" s="2806"/>
      <c r="Y12" s="2806"/>
      <c r="Z12" s="2806"/>
      <c r="AA12" s="2892"/>
      <c r="AB12" s="7"/>
      <c r="AC12" s="7"/>
      <c r="AD12" s="7"/>
      <c r="AE12" s="7"/>
    </row>
    <row r="13" spans="1:34" ht="18" customHeight="1">
      <c r="A13" s="2896"/>
      <c r="B13" s="2798"/>
      <c r="C13" s="2798"/>
      <c r="D13" s="2806"/>
      <c r="E13" s="2806"/>
      <c r="F13" s="2863"/>
      <c r="G13" s="2901"/>
      <c r="H13" s="2806"/>
      <c r="I13" s="2892"/>
      <c r="J13" s="2896"/>
      <c r="K13" s="2798"/>
      <c r="L13" s="2798"/>
      <c r="M13" s="2806"/>
      <c r="N13" s="2806"/>
      <c r="O13" s="2863"/>
      <c r="P13" s="2901"/>
      <c r="Q13" s="2806"/>
      <c r="R13" s="2806"/>
      <c r="S13" s="2806"/>
      <c r="T13" s="2806"/>
      <c r="U13" s="2806"/>
      <c r="V13" s="2806"/>
      <c r="W13" s="2806"/>
      <c r="X13" s="2806"/>
      <c r="Y13" s="2806"/>
      <c r="Z13" s="2806"/>
      <c r="AA13" s="2892"/>
      <c r="AB13" s="7"/>
      <c r="AC13" s="7"/>
      <c r="AD13" s="7"/>
      <c r="AE13" s="7"/>
    </row>
    <row r="14" spans="1:34" ht="18" customHeight="1" thickBot="1">
      <c r="A14" s="2897"/>
      <c r="B14" s="2898"/>
      <c r="C14" s="2898"/>
      <c r="D14" s="2891"/>
      <c r="E14" s="2891"/>
      <c r="F14" s="2902"/>
      <c r="G14" s="2903"/>
      <c r="H14" s="2891"/>
      <c r="I14" s="2893"/>
      <c r="J14" s="2897"/>
      <c r="K14" s="2898"/>
      <c r="L14" s="2898"/>
      <c r="M14" s="2891"/>
      <c r="N14" s="2891"/>
      <c r="O14" s="2902"/>
      <c r="P14" s="2903"/>
      <c r="Q14" s="2891"/>
      <c r="R14" s="2891"/>
      <c r="S14" s="2891"/>
      <c r="T14" s="2891"/>
      <c r="U14" s="2891"/>
      <c r="V14" s="2891"/>
      <c r="W14" s="2891"/>
      <c r="X14" s="2891"/>
      <c r="Y14" s="2891"/>
      <c r="Z14" s="2891"/>
      <c r="AA14" s="2893"/>
      <c r="AB14" s="7"/>
      <c r="AC14" s="7"/>
      <c r="AD14" s="7"/>
      <c r="AE14" s="7"/>
    </row>
    <row r="15" spans="1:34" ht="5.0999999999999996" customHeight="1" thickTop="1"/>
    <row r="16" spans="1:34" ht="18" customHeight="1">
      <c r="A16" s="2798" t="s">
        <v>1791</v>
      </c>
      <c r="B16" s="2798"/>
      <c r="C16" s="2798"/>
      <c r="D16" s="597">
        <v>0</v>
      </c>
      <c r="E16" s="597">
        <v>1</v>
      </c>
      <c r="F16" s="597">
        <v>2</v>
      </c>
      <c r="G16" s="597">
        <v>3</v>
      </c>
      <c r="H16" s="597">
        <v>4</v>
      </c>
      <c r="I16" s="597">
        <v>5</v>
      </c>
      <c r="J16" s="597">
        <v>6</v>
      </c>
      <c r="K16" s="598">
        <v>7</v>
      </c>
      <c r="L16" s="598">
        <v>8</v>
      </c>
      <c r="M16" s="605">
        <v>9</v>
      </c>
      <c r="N16" s="597">
        <v>10</v>
      </c>
      <c r="O16" s="597">
        <v>11</v>
      </c>
      <c r="P16" s="597">
        <v>12</v>
      </c>
      <c r="Q16" s="597">
        <v>13</v>
      </c>
      <c r="R16" s="597">
        <v>14</v>
      </c>
      <c r="S16" s="597">
        <v>15</v>
      </c>
      <c r="T16" s="598">
        <v>16</v>
      </c>
      <c r="U16" s="605">
        <v>17</v>
      </c>
      <c r="V16" s="599">
        <v>18</v>
      </c>
      <c r="W16" s="597">
        <v>19</v>
      </c>
      <c r="X16" s="597">
        <v>20</v>
      </c>
      <c r="Y16" s="597">
        <v>21</v>
      </c>
      <c r="Z16" s="597">
        <v>22</v>
      </c>
      <c r="AA16" s="597">
        <v>23</v>
      </c>
    </row>
    <row r="17" spans="1:28" ht="14.1" customHeight="1">
      <c r="A17" s="2803" t="s">
        <v>1793</v>
      </c>
      <c r="B17" s="2803"/>
      <c r="C17" s="2803"/>
      <c r="D17" s="600"/>
      <c r="E17" s="600"/>
      <c r="F17" s="600"/>
      <c r="G17" s="600"/>
      <c r="H17" s="600"/>
      <c r="I17" s="600"/>
      <c r="J17" s="600"/>
      <c r="K17" s="602"/>
      <c r="L17" s="602"/>
      <c r="M17" s="41"/>
      <c r="N17" s="42"/>
      <c r="O17" s="42"/>
      <c r="P17" s="42"/>
      <c r="Q17" s="42"/>
      <c r="R17" s="42"/>
      <c r="S17" s="42"/>
      <c r="T17" s="43"/>
      <c r="U17" s="32"/>
      <c r="V17" s="30"/>
      <c r="W17" s="31"/>
      <c r="X17" s="31"/>
      <c r="Y17" s="31"/>
      <c r="Z17" s="31"/>
      <c r="AA17" s="31"/>
    </row>
    <row r="18" spans="1:28" ht="14.1" customHeight="1">
      <c r="A18" s="2804" t="s">
        <v>1796</v>
      </c>
      <c r="B18" s="2804"/>
      <c r="C18" s="2804"/>
      <c r="D18" s="596"/>
      <c r="E18" s="596"/>
      <c r="F18" s="596"/>
      <c r="G18" s="596"/>
      <c r="H18" s="596"/>
      <c r="I18" s="596"/>
      <c r="J18" s="596"/>
      <c r="K18" s="595"/>
      <c r="L18" s="595"/>
      <c r="M18" s="44"/>
      <c r="N18" s="45"/>
      <c r="O18" s="45"/>
      <c r="P18" s="45"/>
      <c r="Q18" s="45"/>
      <c r="R18" s="45"/>
      <c r="S18" s="45"/>
      <c r="T18" s="46"/>
      <c r="U18" s="35"/>
      <c r="V18" s="33"/>
      <c r="W18" s="34"/>
      <c r="X18" s="34"/>
      <c r="Y18" s="34"/>
      <c r="Z18" s="34"/>
      <c r="AA18" s="34"/>
    </row>
    <row r="19" spans="1:28" ht="14.1" customHeight="1">
      <c r="A19" s="2804" t="s">
        <v>1797</v>
      </c>
      <c r="B19" s="2804"/>
      <c r="C19" s="2804"/>
      <c r="D19" s="596"/>
      <c r="E19" s="596"/>
      <c r="F19" s="596"/>
      <c r="G19" s="596"/>
      <c r="H19" s="596"/>
      <c r="I19" s="596"/>
      <c r="J19" s="596"/>
      <c r="K19" s="595"/>
      <c r="L19" s="595"/>
      <c r="M19" s="44"/>
      <c r="N19" s="45"/>
      <c r="O19" s="45"/>
      <c r="P19" s="45"/>
      <c r="Q19" s="45"/>
      <c r="R19" s="45"/>
      <c r="S19" s="45"/>
      <c r="T19" s="46"/>
      <c r="U19" s="35"/>
      <c r="V19" s="33"/>
      <c r="W19" s="34"/>
      <c r="X19" s="34"/>
      <c r="Y19" s="34"/>
      <c r="Z19" s="34"/>
      <c r="AA19" s="34"/>
      <c r="AB19" s="21"/>
    </row>
    <row r="20" spans="1:28" ht="14.1" customHeight="1">
      <c r="A20" s="2804" t="s">
        <v>1798</v>
      </c>
      <c r="B20" s="2804"/>
      <c r="C20" s="2804"/>
      <c r="D20" s="596"/>
      <c r="E20" s="596"/>
      <c r="F20" s="596"/>
      <c r="G20" s="596"/>
      <c r="H20" s="596"/>
      <c r="I20" s="596"/>
      <c r="J20" s="596"/>
      <c r="K20" s="595"/>
      <c r="L20" s="595"/>
      <c r="M20" s="44"/>
      <c r="N20" s="45"/>
      <c r="O20" s="45"/>
      <c r="P20" s="45"/>
      <c r="Q20" s="45"/>
      <c r="R20" s="45"/>
      <c r="S20" s="45"/>
      <c r="T20" s="46"/>
      <c r="U20" s="35"/>
      <c r="V20" s="33"/>
      <c r="W20" s="34"/>
      <c r="X20" s="34"/>
      <c r="Y20" s="34"/>
      <c r="Z20" s="34"/>
      <c r="AA20" s="34"/>
      <c r="AB20" s="21"/>
    </row>
    <row r="21" spans="1:28" ht="14.1" customHeight="1">
      <c r="A21" s="2832" t="s">
        <v>1815</v>
      </c>
      <c r="B21" s="2832"/>
      <c r="C21" s="2832"/>
      <c r="D21" s="601"/>
      <c r="E21" s="601"/>
      <c r="F21" s="601"/>
      <c r="G21" s="601"/>
      <c r="H21" s="601"/>
      <c r="I21" s="601"/>
      <c r="J21" s="601"/>
      <c r="K21" s="50"/>
      <c r="L21" s="50"/>
      <c r="M21" s="47"/>
      <c r="N21" s="48"/>
      <c r="O21" s="48"/>
      <c r="P21" s="48"/>
      <c r="Q21" s="48"/>
      <c r="R21" s="48"/>
      <c r="S21" s="48"/>
      <c r="T21" s="49"/>
      <c r="U21" s="38"/>
      <c r="V21" s="36"/>
      <c r="W21" s="37"/>
      <c r="X21" s="37"/>
      <c r="Y21" s="37"/>
      <c r="Z21" s="37"/>
      <c r="AA21" s="37"/>
      <c r="AB21" s="21"/>
    </row>
    <row r="22" spans="1:28" ht="5.0999999999999996" customHeight="1">
      <c r="AB22" s="21"/>
    </row>
    <row r="23" spans="1:28" ht="21" customHeight="1">
      <c r="A23" s="2816" t="s">
        <v>1816</v>
      </c>
      <c r="B23" s="2817"/>
      <c r="C23" s="2817"/>
      <c r="D23" s="2818"/>
      <c r="E23" s="78" t="s">
        <v>1817</v>
      </c>
      <c r="F23" s="39" t="s">
        <v>1073</v>
      </c>
      <c r="G23" s="79" t="s">
        <v>1100</v>
      </c>
      <c r="H23" s="39" t="s">
        <v>1073</v>
      </c>
      <c r="I23" s="2883" t="s">
        <v>1818</v>
      </c>
      <c r="J23" s="2883"/>
      <c r="K23" s="2883"/>
      <c r="L23" s="2884"/>
      <c r="M23" s="2816" t="s">
        <v>1819</v>
      </c>
      <c r="N23" s="2817"/>
      <c r="O23" s="2817"/>
      <c r="P23" s="2817"/>
      <c r="Q23" s="2817"/>
      <c r="R23" s="2817"/>
      <c r="S23" s="2818"/>
      <c r="T23" s="78" t="s">
        <v>1817</v>
      </c>
      <c r="U23" s="39" t="s">
        <v>1073</v>
      </c>
      <c r="V23" s="79" t="s">
        <v>1100</v>
      </c>
      <c r="W23" s="2885"/>
      <c r="X23" s="2850"/>
      <c r="Y23" s="2850"/>
      <c r="Z23" s="2850" t="s">
        <v>829</v>
      </c>
      <c r="AA23" s="2087"/>
      <c r="AB23" s="21"/>
    </row>
    <row r="24" spans="1:28" ht="5.0999999999999996" customHeight="1">
      <c r="U24" s="40"/>
      <c r="V24" s="40"/>
      <c r="W24" s="40"/>
      <c r="X24" s="40"/>
      <c r="Y24" s="40"/>
      <c r="Z24" s="40"/>
      <c r="AA24" s="40"/>
      <c r="AB24" s="21"/>
    </row>
    <row r="25" spans="1:28" ht="18" customHeight="1">
      <c r="A25" s="2816" t="s">
        <v>1791</v>
      </c>
      <c r="B25" s="2817"/>
      <c r="C25" s="2817"/>
      <c r="D25" s="2818"/>
      <c r="E25" s="2816" t="s">
        <v>1799</v>
      </c>
      <c r="F25" s="2817"/>
      <c r="G25" s="2817"/>
      <c r="H25" s="2818"/>
      <c r="I25" s="2816" t="s">
        <v>1820</v>
      </c>
      <c r="J25" s="2817"/>
      <c r="K25" s="2817"/>
      <c r="L25" s="2817"/>
      <c r="M25" s="2817"/>
      <c r="N25" s="2817"/>
      <c r="O25" s="2817"/>
      <c r="P25" s="2817"/>
      <c r="Q25" s="2817"/>
      <c r="R25" s="2817"/>
      <c r="S25" s="2817"/>
      <c r="T25" s="2817"/>
      <c r="U25" s="2817"/>
      <c r="V25" s="2817"/>
      <c r="W25" s="2817"/>
      <c r="X25" s="2817"/>
      <c r="Y25" s="2817"/>
      <c r="Z25" s="2817"/>
      <c r="AA25" s="2818"/>
      <c r="AB25" s="21"/>
    </row>
    <row r="26" spans="1:28" ht="18" customHeight="1">
      <c r="A26" s="2819"/>
      <c r="B26" s="2820"/>
      <c r="C26" s="2820"/>
      <c r="D26" s="2820"/>
      <c r="E26" s="2821"/>
      <c r="F26" s="2821"/>
      <c r="G26" s="2821"/>
      <c r="H26" s="2821"/>
      <c r="I26" s="2822"/>
      <c r="J26" s="2823"/>
      <c r="K26" s="2823"/>
      <c r="L26" s="2823"/>
      <c r="M26" s="2823"/>
      <c r="N26" s="2823"/>
      <c r="O26" s="2823"/>
      <c r="P26" s="2823"/>
      <c r="Q26" s="2823"/>
      <c r="R26" s="2823"/>
      <c r="S26" s="2823"/>
      <c r="T26" s="2823"/>
      <c r="U26" s="2823"/>
      <c r="V26" s="2823"/>
      <c r="W26" s="2823"/>
      <c r="X26" s="2823"/>
      <c r="Y26" s="2823"/>
      <c r="Z26" s="2823"/>
      <c r="AA26" s="2824"/>
      <c r="AB26" s="21"/>
    </row>
    <row r="27" spans="1:28" ht="18" customHeight="1">
      <c r="A27" s="2839"/>
      <c r="B27" s="2790"/>
      <c r="C27" s="2790"/>
      <c r="D27" s="2790"/>
      <c r="E27" s="2840"/>
      <c r="F27" s="2840"/>
      <c r="G27" s="2840"/>
      <c r="H27" s="2840"/>
      <c r="I27" s="2775"/>
      <c r="J27" s="2776"/>
      <c r="K27" s="2776"/>
      <c r="L27" s="2776"/>
      <c r="M27" s="2776"/>
      <c r="N27" s="2776"/>
      <c r="O27" s="2776"/>
      <c r="P27" s="2776"/>
      <c r="Q27" s="2776"/>
      <c r="R27" s="2776"/>
      <c r="S27" s="2776"/>
      <c r="T27" s="2776"/>
      <c r="U27" s="2776"/>
      <c r="V27" s="2776"/>
      <c r="W27" s="2776"/>
      <c r="X27" s="2776"/>
      <c r="Y27" s="2776"/>
      <c r="Z27" s="2776"/>
      <c r="AA27" s="2777"/>
      <c r="AB27" s="21"/>
    </row>
    <row r="28" spans="1:28" ht="18" customHeight="1">
      <c r="A28" s="2841"/>
      <c r="B28" s="2788"/>
      <c r="C28" s="2788"/>
      <c r="D28" s="2789"/>
      <c r="E28" s="2787"/>
      <c r="F28" s="2788"/>
      <c r="G28" s="2788"/>
      <c r="H28" s="2789"/>
      <c r="I28" s="2775"/>
      <c r="J28" s="2776"/>
      <c r="K28" s="2776"/>
      <c r="L28" s="2776"/>
      <c r="M28" s="2776"/>
      <c r="N28" s="2776"/>
      <c r="O28" s="2776"/>
      <c r="P28" s="2776"/>
      <c r="Q28" s="2776"/>
      <c r="R28" s="2776"/>
      <c r="S28" s="2776"/>
      <c r="T28" s="2776"/>
      <c r="U28" s="2776"/>
      <c r="V28" s="2776"/>
      <c r="W28" s="2776"/>
      <c r="X28" s="2776"/>
      <c r="Y28" s="2776"/>
      <c r="Z28" s="2776"/>
      <c r="AA28" s="2777"/>
      <c r="AB28" s="21"/>
    </row>
    <row r="29" spans="1:28" ht="18" customHeight="1">
      <c r="A29" s="2839"/>
      <c r="B29" s="2790"/>
      <c r="C29" s="2790"/>
      <c r="D29" s="2790"/>
      <c r="E29" s="2790"/>
      <c r="F29" s="2790"/>
      <c r="G29" s="2790"/>
      <c r="H29" s="2790"/>
      <c r="I29" s="2775"/>
      <c r="J29" s="2776"/>
      <c r="K29" s="2776"/>
      <c r="L29" s="2776"/>
      <c r="M29" s="2776"/>
      <c r="N29" s="2776"/>
      <c r="O29" s="2776"/>
      <c r="P29" s="2776"/>
      <c r="Q29" s="2776"/>
      <c r="R29" s="2776"/>
      <c r="S29" s="2776"/>
      <c r="T29" s="2776"/>
      <c r="U29" s="2776"/>
      <c r="V29" s="2776"/>
      <c r="W29" s="2776"/>
      <c r="X29" s="2776"/>
      <c r="Y29" s="2776"/>
      <c r="Z29" s="2776"/>
      <c r="AA29" s="2777"/>
      <c r="AB29" s="21"/>
    </row>
    <row r="30" spans="1:28" ht="18" customHeight="1">
      <c r="A30" s="2790"/>
      <c r="B30" s="2790"/>
      <c r="C30" s="2790"/>
      <c r="D30" s="2790"/>
      <c r="E30" s="2790"/>
      <c r="F30" s="2790"/>
      <c r="G30" s="2790"/>
      <c r="H30" s="2790"/>
      <c r="I30" s="2775"/>
      <c r="J30" s="2776"/>
      <c r="K30" s="2776"/>
      <c r="L30" s="2776"/>
      <c r="M30" s="2776"/>
      <c r="N30" s="2776"/>
      <c r="O30" s="2776"/>
      <c r="P30" s="2776"/>
      <c r="Q30" s="2776"/>
      <c r="R30" s="2776"/>
      <c r="S30" s="2776"/>
      <c r="T30" s="2776"/>
      <c r="U30" s="2776"/>
      <c r="V30" s="2776"/>
      <c r="W30" s="2776"/>
      <c r="X30" s="2776"/>
      <c r="Y30" s="2776"/>
      <c r="Z30" s="2776"/>
      <c r="AA30" s="2777"/>
      <c r="AB30" s="21"/>
    </row>
    <row r="31" spans="1:28" ht="18" customHeight="1">
      <c r="A31" s="2839"/>
      <c r="B31" s="2790"/>
      <c r="C31" s="2790"/>
      <c r="D31" s="2790"/>
      <c r="E31" s="2790"/>
      <c r="F31" s="2790"/>
      <c r="G31" s="2790"/>
      <c r="H31" s="2790"/>
      <c r="I31" s="2775"/>
      <c r="J31" s="2776"/>
      <c r="K31" s="2776"/>
      <c r="L31" s="2776"/>
      <c r="M31" s="2776"/>
      <c r="N31" s="2776"/>
      <c r="O31" s="2776"/>
      <c r="P31" s="2776"/>
      <c r="Q31" s="2776"/>
      <c r="R31" s="2776"/>
      <c r="S31" s="2776"/>
      <c r="T31" s="2776"/>
      <c r="U31" s="2776"/>
      <c r="V31" s="2776"/>
      <c r="W31" s="2776"/>
      <c r="X31" s="2776"/>
      <c r="Y31" s="2776"/>
      <c r="Z31" s="2776"/>
      <c r="AA31" s="2777"/>
      <c r="AB31" s="21"/>
    </row>
    <row r="32" spans="1:28" ht="18" customHeight="1">
      <c r="A32" s="2787"/>
      <c r="B32" s="2788"/>
      <c r="C32" s="2788"/>
      <c r="D32" s="2789"/>
      <c r="E32" s="2787"/>
      <c r="F32" s="2788"/>
      <c r="G32" s="2788"/>
      <c r="H32" s="2789"/>
      <c r="I32" s="2775"/>
      <c r="J32" s="2776"/>
      <c r="K32" s="2776"/>
      <c r="L32" s="2776"/>
      <c r="M32" s="2776"/>
      <c r="N32" s="2776"/>
      <c r="O32" s="2776"/>
      <c r="P32" s="2776"/>
      <c r="Q32" s="2776"/>
      <c r="R32" s="2776"/>
      <c r="S32" s="2776"/>
      <c r="T32" s="2776"/>
      <c r="U32" s="2776"/>
      <c r="V32" s="2776"/>
      <c r="W32" s="2776"/>
      <c r="X32" s="2776"/>
      <c r="Y32" s="2776"/>
      <c r="Z32" s="2776"/>
      <c r="AA32" s="2777"/>
      <c r="AB32" s="21"/>
    </row>
    <row r="33" spans="1:28" ht="18" customHeight="1">
      <c r="A33" s="2841"/>
      <c r="B33" s="2788"/>
      <c r="C33" s="2788"/>
      <c r="D33" s="2789"/>
      <c r="E33" s="2787"/>
      <c r="F33" s="2788"/>
      <c r="G33" s="2788"/>
      <c r="H33" s="2789"/>
      <c r="I33" s="2775"/>
      <c r="J33" s="2776"/>
      <c r="K33" s="2776"/>
      <c r="L33" s="2776"/>
      <c r="M33" s="2776"/>
      <c r="N33" s="2776"/>
      <c r="O33" s="2776"/>
      <c r="P33" s="2776"/>
      <c r="Q33" s="2776"/>
      <c r="R33" s="2776"/>
      <c r="S33" s="2776"/>
      <c r="T33" s="2776"/>
      <c r="U33" s="2776"/>
      <c r="V33" s="2776"/>
      <c r="W33" s="2776"/>
      <c r="X33" s="2776"/>
      <c r="Y33" s="2776"/>
      <c r="Z33" s="2776"/>
      <c r="AA33" s="2777"/>
      <c r="AB33" s="21"/>
    </row>
    <row r="34" spans="1:28" ht="18" customHeight="1">
      <c r="A34" s="2790"/>
      <c r="B34" s="2790"/>
      <c r="C34" s="2790"/>
      <c r="D34" s="2790"/>
      <c r="E34" s="2790"/>
      <c r="F34" s="2790"/>
      <c r="G34" s="2790"/>
      <c r="H34" s="2790"/>
      <c r="I34" s="2775"/>
      <c r="J34" s="2776"/>
      <c r="K34" s="2776"/>
      <c r="L34" s="2776"/>
      <c r="M34" s="2776"/>
      <c r="N34" s="2776"/>
      <c r="O34" s="2776"/>
      <c r="P34" s="2776"/>
      <c r="Q34" s="2776"/>
      <c r="R34" s="2776"/>
      <c r="S34" s="2776"/>
      <c r="T34" s="2776"/>
      <c r="U34" s="2776"/>
      <c r="V34" s="2776"/>
      <c r="W34" s="2776"/>
      <c r="X34" s="2776"/>
      <c r="Y34" s="2776"/>
      <c r="Z34" s="2776"/>
      <c r="AA34" s="2777"/>
      <c r="AB34" s="21"/>
    </row>
    <row r="35" spans="1:28" ht="18" customHeight="1">
      <c r="A35" s="2839"/>
      <c r="B35" s="2790"/>
      <c r="C35" s="2790"/>
      <c r="D35" s="2790"/>
      <c r="E35" s="2842"/>
      <c r="F35" s="2843"/>
      <c r="G35" s="2843"/>
      <c r="H35" s="2844"/>
      <c r="I35" s="2775"/>
      <c r="J35" s="2776"/>
      <c r="K35" s="2776"/>
      <c r="L35" s="2776"/>
      <c r="M35" s="2776"/>
      <c r="N35" s="2776"/>
      <c r="O35" s="2776"/>
      <c r="P35" s="2776"/>
      <c r="Q35" s="2776"/>
      <c r="R35" s="2776"/>
      <c r="S35" s="2776"/>
      <c r="T35" s="2776"/>
      <c r="U35" s="2776"/>
      <c r="V35" s="2776"/>
      <c r="W35" s="2776"/>
      <c r="X35" s="2776"/>
      <c r="Y35" s="2776"/>
      <c r="Z35" s="2776"/>
      <c r="AA35" s="2777"/>
      <c r="AB35" s="21"/>
    </row>
    <row r="36" spans="1:28" ht="18" customHeight="1">
      <c r="A36" s="2839"/>
      <c r="B36" s="2790"/>
      <c r="C36" s="2790"/>
      <c r="D36" s="2790"/>
      <c r="E36" s="2790"/>
      <c r="F36" s="2790"/>
      <c r="G36" s="2790"/>
      <c r="H36" s="2790"/>
      <c r="I36" s="2775"/>
      <c r="J36" s="2776"/>
      <c r="K36" s="2776"/>
      <c r="L36" s="2776"/>
      <c r="M36" s="2776"/>
      <c r="N36" s="2776"/>
      <c r="O36" s="2776"/>
      <c r="P36" s="2776"/>
      <c r="Q36" s="2776"/>
      <c r="R36" s="2776"/>
      <c r="S36" s="2776"/>
      <c r="T36" s="2776"/>
      <c r="U36" s="2776"/>
      <c r="V36" s="2776"/>
      <c r="W36" s="2776"/>
      <c r="X36" s="2776"/>
      <c r="Y36" s="2776"/>
      <c r="Z36" s="2776"/>
      <c r="AA36" s="2777"/>
      <c r="AB36" s="21"/>
    </row>
    <row r="37" spans="1:28" ht="18" customHeight="1">
      <c r="A37" s="2790"/>
      <c r="B37" s="2790"/>
      <c r="C37" s="2790"/>
      <c r="D37" s="2790"/>
      <c r="E37" s="2790"/>
      <c r="F37" s="2790"/>
      <c r="G37" s="2790"/>
      <c r="H37" s="2790"/>
      <c r="I37" s="2775"/>
      <c r="J37" s="2776"/>
      <c r="K37" s="2776"/>
      <c r="L37" s="2776"/>
      <c r="M37" s="2776"/>
      <c r="N37" s="2776"/>
      <c r="O37" s="2776"/>
      <c r="P37" s="2776"/>
      <c r="Q37" s="2776"/>
      <c r="R37" s="2776"/>
      <c r="S37" s="2776"/>
      <c r="T37" s="2776"/>
      <c r="U37" s="2776"/>
      <c r="V37" s="2776"/>
      <c r="W37" s="2776"/>
      <c r="X37" s="2776"/>
      <c r="Y37" s="2776"/>
      <c r="Z37" s="2776"/>
      <c r="AA37" s="2777"/>
      <c r="AB37" s="21"/>
    </row>
    <row r="38" spans="1:28" ht="18" customHeight="1">
      <c r="A38" s="2790"/>
      <c r="B38" s="2790"/>
      <c r="C38" s="2790"/>
      <c r="D38" s="2790"/>
      <c r="E38" s="2790"/>
      <c r="F38" s="2790"/>
      <c r="G38" s="2790"/>
      <c r="H38" s="2790"/>
      <c r="I38" s="2775"/>
      <c r="J38" s="2776"/>
      <c r="K38" s="2776"/>
      <c r="L38" s="2776"/>
      <c r="M38" s="2776"/>
      <c r="N38" s="2776"/>
      <c r="O38" s="2776"/>
      <c r="P38" s="2776"/>
      <c r="Q38" s="2776"/>
      <c r="R38" s="2776"/>
      <c r="S38" s="2776"/>
      <c r="T38" s="2776"/>
      <c r="U38" s="2776"/>
      <c r="V38" s="2776"/>
      <c r="W38" s="2776"/>
      <c r="X38" s="2776"/>
      <c r="Y38" s="2776"/>
      <c r="Z38" s="2776"/>
      <c r="AA38" s="2777"/>
      <c r="AB38" s="21"/>
    </row>
    <row r="39" spans="1:28" ht="18" customHeight="1">
      <c r="A39" s="2787"/>
      <c r="B39" s="2788"/>
      <c r="C39" s="2788"/>
      <c r="D39" s="2789"/>
      <c r="E39" s="2787"/>
      <c r="F39" s="2788"/>
      <c r="G39" s="2788"/>
      <c r="H39" s="2789"/>
      <c r="I39" s="2775"/>
      <c r="J39" s="2776"/>
      <c r="K39" s="2776"/>
      <c r="L39" s="2776"/>
      <c r="M39" s="2776"/>
      <c r="N39" s="2776"/>
      <c r="O39" s="2776"/>
      <c r="P39" s="2776"/>
      <c r="Q39" s="2776"/>
      <c r="R39" s="2776"/>
      <c r="S39" s="2776"/>
      <c r="T39" s="2776"/>
      <c r="U39" s="2776"/>
      <c r="V39" s="2776"/>
      <c r="W39" s="2776"/>
      <c r="X39" s="2776"/>
      <c r="Y39" s="2776"/>
      <c r="Z39" s="2776"/>
      <c r="AA39" s="2777"/>
      <c r="AB39" s="21"/>
    </row>
    <row r="40" spans="1:28" ht="18" customHeight="1">
      <c r="A40" s="2790"/>
      <c r="B40" s="2790"/>
      <c r="C40" s="2790"/>
      <c r="D40" s="2790"/>
      <c r="E40" s="2790"/>
      <c r="F40" s="2790"/>
      <c r="G40" s="2790"/>
      <c r="H40" s="2790"/>
      <c r="I40" s="2775"/>
      <c r="J40" s="2776"/>
      <c r="K40" s="2776"/>
      <c r="L40" s="2776"/>
      <c r="M40" s="2776"/>
      <c r="N40" s="2776"/>
      <c r="O40" s="2776"/>
      <c r="P40" s="2776"/>
      <c r="Q40" s="2776"/>
      <c r="R40" s="2776"/>
      <c r="S40" s="2776"/>
      <c r="T40" s="2776"/>
      <c r="U40" s="2776"/>
      <c r="V40" s="2776"/>
      <c r="W40" s="2776"/>
      <c r="X40" s="2776"/>
      <c r="Y40" s="2776"/>
      <c r="Z40" s="2776"/>
      <c r="AA40" s="2777"/>
      <c r="AB40" s="21"/>
    </row>
    <row r="41" spans="1:28" ht="18" customHeight="1">
      <c r="A41" s="2790"/>
      <c r="B41" s="2790"/>
      <c r="C41" s="2790"/>
      <c r="D41" s="2790"/>
      <c r="E41" s="2790"/>
      <c r="F41" s="2790"/>
      <c r="G41" s="2790"/>
      <c r="H41" s="2790"/>
      <c r="I41" s="2775"/>
      <c r="J41" s="2776"/>
      <c r="K41" s="2776"/>
      <c r="L41" s="2776"/>
      <c r="M41" s="2776"/>
      <c r="N41" s="2776"/>
      <c r="O41" s="2776"/>
      <c r="P41" s="2776"/>
      <c r="Q41" s="2776"/>
      <c r="R41" s="2776"/>
      <c r="S41" s="2776"/>
      <c r="T41" s="2776"/>
      <c r="U41" s="2776"/>
      <c r="V41" s="2776"/>
      <c r="W41" s="2776"/>
      <c r="X41" s="2776"/>
      <c r="Y41" s="2776"/>
      <c r="Z41" s="2776"/>
      <c r="AA41" s="2777"/>
      <c r="AB41" s="21"/>
    </row>
    <row r="42" spans="1:28" ht="18" customHeight="1">
      <c r="A42" s="2790"/>
      <c r="B42" s="2790"/>
      <c r="C42" s="2790"/>
      <c r="D42" s="2790"/>
      <c r="E42" s="2790"/>
      <c r="F42" s="2790"/>
      <c r="G42" s="2790"/>
      <c r="H42" s="2790"/>
      <c r="I42" s="2775"/>
      <c r="J42" s="2776"/>
      <c r="K42" s="2776"/>
      <c r="L42" s="2776"/>
      <c r="M42" s="2776"/>
      <c r="N42" s="2776"/>
      <c r="O42" s="2776"/>
      <c r="P42" s="2776"/>
      <c r="Q42" s="2776"/>
      <c r="R42" s="2776"/>
      <c r="S42" s="2776"/>
      <c r="T42" s="2776"/>
      <c r="U42" s="2776"/>
      <c r="V42" s="2776"/>
      <c r="W42" s="2776"/>
      <c r="X42" s="2776"/>
      <c r="Y42" s="2776"/>
      <c r="Z42" s="2776"/>
      <c r="AA42" s="2777"/>
      <c r="AB42" s="21"/>
    </row>
    <row r="43" spans="1:28" ht="18" customHeight="1">
      <c r="A43" s="2787"/>
      <c r="B43" s="2788"/>
      <c r="C43" s="2788"/>
      <c r="D43" s="2789"/>
      <c r="E43" s="2787"/>
      <c r="F43" s="2788"/>
      <c r="G43" s="2788"/>
      <c r="H43" s="2789"/>
      <c r="I43" s="2775"/>
      <c r="J43" s="2776"/>
      <c r="K43" s="2776"/>
      <c r="L43" s="2776"/>
      <c r="M43" s="2776"/>
      <c r="N43" s="2776"/>
      <c r="O43" s="2776"/>
      <c r="P43" s="2776"/>
      <c r="Q43" s="2776"/>
      <c r="R43" s="2776"/>
      <c r="S43" s="2776"/>
      <c r="T43" s="2776"/>
      <c r="U43" s="2776"/>
      <c r="V43" s="2776"/>
      <c r="W43" s="2776"/>
      <c r="X43" s="2776"/>
      <c r="Y43" s="2776"/>
      <c r="Z43" s="2776"/>
      <c r="AA43" s="2777"/>
      <c r="AB43" s="21"/>
    </row>
    <row r="44" spans="1:28" ht="18" customHeight="1">
      <c r="A44" s="2787"/>
      <c r="B44" s="2788"/>
      <c r="C44" s="2788"/>
      <c r="D44" s="2789"/>
      <c r="E44" s="2787"/>
      <c r="F44" s="2788"/>
      <c r="G44" s="2788"/>
      <c r="H44" s="2789"/>
      <c r="I44" s="2775"/>
      <c r="J44" s="2776"/>
      <c r="K44" s="2776"/>
      <c r="L44" s="2776"/>
      <c r="M44" s="2776"/>
      <c r="N44" s="2776"/>
      <c r="O44" s="2776"/>
      <c r="P44" s="2776"/>
      <c r="Q44" s="2776"/>
      <c r="R44" s="2776"/>
      <c r="S44" s="2776"/>
      <c r="T44" s="2776"/>
      <c r="U44" s="2776"/>
      <c r="V44" s="2776"/>
      <c r="W44" s="2776"/>
      <c r="X44" s="2776"/>
      <c r="Y44" s="2776"/>
      <c r="Z44" s="2776"/>
      <c r="AA44" s="2777"/>
      <c r="AB44" s="21"/>
    </row>
    <row r="45" spans="1:28" ht="18" customHeight="1">
      <c r="A45" s="2790"/>
      <c r="B45" s="2790"/>
      <c r="C45" s="2790"/>
      <c r="D45" s="2790"/>
      <c r="E45" s="2790"/>
      <c r="F45" s="2790"/>
      <c r="G45" s="2790"/>
      <c r="H45" s="2790"/>
      <c r="I45" s="2775"/>
      <c r="J45" s="2776"/>
      <c r="K45" s="2776"/>
      <c r="L45" s="2776"/>
      <c r="M45" s="2776"/>
      <c r="N45" s="2776"/>
      <c r="O45" s="2776"/>
      <c r="P45" s="2776"/>
      <c r="Q45" s="2776"/>
      <c r="R45" s="2776"/>
      <c r="S45" s="2776"/>
      <c r="T45" s="2776"/>
      <c r="U45" s="2776"/>
      <c r="V45" s="2776"/>
      <c r="W45" s="2776"/>
      <c r="X45" s="2776"/>
      <c r="Y45" s="2776"/>
      <c r="Z45" s="2776"/>
      <c r="AA45" s="2777"/>
      <c r="AB45" s="21"/>
    </row>
    <row r="46" spans="1:28" ht="18" customHeight="1">
      <c r="A46" s="2790"/>
      <c r="B46" s="2790"/>
      <c r="C46" s="2790"/>
      <c r="D46" s="2790"/>
      <c r="E46" s="2790"/>
      <c r="F46" s="2790"/>
      <c r="G46" s="2790"/>
      <c r="H46" s="2790"/>
      <c r="I46" s="2775"/>
      <c r="J46" s="2776"/>
      <c r="K46" s="2776"/>
      <c r="L46" s="2776"/>
      <c r="M46" s="2776"/>
      <c r="N46" s="2776"/>
      <c r="O46" s="2776"/>
      <c r="P46" s="2776"/>
      <c r="Q46" s="2776"/>
      <c r="R46" s="2776"/>
      <c r="S46" s="2776"/>
      <c r="T46" s="2776"/>
      <c r="U46" s="2776"/>
      <c r="V46" s="2776"/>
      <c r="W46" s="2776"/>
      <c r="X46" s="2776"/>
      <c r="Y46" s="2776"/>
      <c r="Z46" s="2776"/>
      <c r="AA46" s="2777"/>
      <c r="AB46" s="21"/>
    </row>
    <row r="47" spans="1:28" ht="18" customHeight="1">
      <c r="A47" s="2790"/>
      <c r="B47" s="2790"/>
      <c r="C47" s="2790"/>
      <c r="D47" s="2790"/>
      <c r="E47" s="2790"/>
      <c r="F47" s="2790"/>
      <c r="G47" s="2790"/>
      <c r="H47" s="2790"/>
      <c r="I47" s="2775"/>
      <c r="J47" s="2776"/>
      <c r="K47" s="2776"/>
      <c r="L47" s="2776"/>
      <c r="M47" s="2776"/>
      <c r="N47" s="2776"/>
      <c r="O47" s="2776"/>
      <c r="P47" s="2776"/>
      <c r="Q47" s="2776"/>
      <c r="R47" s="2776"/>
      <c r="S47" s="2776"/>
      <c r="T47" s="2776"/>
      <c r="U47" s="2776"/>
      <c r="V47" s="2776"/>
      <c r="W47" s="2776"/>
      <c r="X47" s="2776"/>
      <c r="Y47" s="2776"/>
      <c r="Z47" s="2776"/>
      <c r="AA47" s="2777"/>
      <c r="AB47" s="21"/>
    </row>
    <row r="48" spans="1:28" ht="18" customHeight="1">
      <c r="A48" s="2790"/>
      <c r="B48" s="2790"/>
      <c r="C48" s="2790"/>
      <c r="D48" s="2790"/>
      <c r="E48" s="2790"/>
      <c r="F48" s="2790"/>
      <c r="G48" s="2790"/>
      <c r="H48" s="2790"/>
      <c r="I48" s="2775"/>
      <c r="J48" s="2776"/>
      <c r="K48" s="2776"/>
      <c r="L48" s="2776"/>
      <c r="M48" s="2776"/>
      <c r="N48" s="2776"/>
      <c r="O48" s="2776"/>
      <c r="P48" s="2776"/>
      <c r="Q48" s="2776"/>
      <c r="R48" s="2776"/>
      <c r="S48" s="2776"/>
      <c r="T48" s="2776"/>
      <c r="U48" s="2776"/>
      <c r="V48" s="2776"/>
      <c r="W48" s="2776"/>
      <c r="X48" s="2776"/>
      <c r="Y48" s="2776"/>
      <c r="Z48" s="2776"/>
      <c r="AA48" s="2777"/>
      <c r="AB48" s="21"/>
    </row>
    <row r="49" spans="1:28" ht="18" customHeight="1">
      <c r="A49" s="2790"/>
      <c r="B49" s="2790"/>
      <c r="C49" s="2790"/>
      <c r="D49" s="2790"/>
      <c r="E49" s="2790"/>
      <c r="F49" s="2790"/>
      <c r="G49" s="2790"/>
      <c r="H49" s="2790"/>
      <c r="I49" s="2775"/>
      <c r="J49" s="2776"/>
      <c r="K49" s="2776"/>
      <c r="L49" s="2776"/>
      <c r="M49" s="2776"/>
      <c r="N49" s="2776"/>
      <c r="O49" s="2776"/>
      <c r="P49" s="2776"/>
      <c r="Q49" s="2776"/>
      <c r="R49" s="2776"/>
      <c r="S49" s="2776"/>
      <c r="T49" s="2776"/>
      <c r="U49" s="2776"/>
      <c r="V49" s="2776"/>
      <c r="W49" s="2776"/>
      <c r="X49" s="2776"/>
      <c r="Y49" s="2776"/>
      <c r="Z49" s="2776"/>
      <c r="AA49" s="2777"/>
      <c r="AB49" s="21"/>
    </row>
    <row r="50" spans="1:28" ht="18" customHeight="1">
      <c r="A50" s="2790"/>
      <c r="B50" s="2790"/>
      <c r="C50" s="2790"/>
      <c r="D50" s="2790"/>
      <c r="E50" s="2790"/>
      <c r="F50" s="2790"/>
      <c r="G50" s="2790"/>
      <c r="H50" s="2790"/>
      <c r="I50" s="2775"/>
      <c r="J50" s="2776"/>
      <c r="K50" s="2776"/>
      <c r="L50" s="2776"/>
      <c r="M50" s="2776"/>
      <c r="N50" s="2776"/>
      <c r="O50" s="2776"/>
      <c r="P50" s="2776"/>
      <c r="Q50" s="2776"/>
      <c r="R50" s="2776"/>
      <c r="S50" s="2776"/>
      <c r="T50" s="2776"/>
      <c r="U50" s="2776"/>
      <c r="V50" s="2776"/>
      <c r="W50" s="2776"/>
      <c r="X50" s="2776"/>
      <c r="Y50" s="2776"/>
      <c r="Z50" s="2776"/>
      <c r="AA50" s="2777"/>
      <c r="AB50" s="21"/>
    </row>
    <row r="51" spans="1:28" ht="18" customHeight="1">
      <c r="A51" s="2790"/>
      <c r="B51" s="2790"/>
      <c r="C51" s="2790"/>
      <c r="D51" s="2790"/>
      <c r="E51" s="2790"/>
      <c r="F51" s="2790"/>
      <c r="G51" s="2790"/>
      <c r="H51" s="2790"/>
      <c r="I51" s="2775"/>
      <c r="J51" s="2776"/>
      <c r="K51" s="2776"/>
      <c r="L51" s="2776"/>
      <c r="M51" s="2776"/>
      <c r="N51" s="2776"/>
      <c r="O51" s="2776"/>
      <c r="P51" s="2776"/>
      <c r="Q51" s="2776"/>
      <c r="R51" s="2776"/>
      <c r="S51" s="2776"/>
      <c r="T51" s="2776"/>
      <c r="U51" s="2776"/>
      <c r="V51" s="2776"/>
      <c r="W51" s="2776"/>
      <c r="X51" s="2776"/>
      <c r="Y51" s="2776"/>
      <c r="Z51" s="2776"/>
      <c r="AA51" s="2777"/>
      <c r="AB51" s="21"/>
    </row>
    <row r="52" spans="1:28" ht="18" customHeight="1">
      <c r="A52" s="2790"/>
      <c r="B52" s="2790"/>
      <c r="C52" s="2790"/>
      <c r="D52" s="2790"/>
      <c r="E52" s="2790"/>
      <c r="F52" s="2790"/>
      <c r="G52" s="2790"/>
      <c r="H52" s="2790"/>
      <c r="I52" s="2775"/>
      <c r="J52" s="2776"/>
      <c r="K52" s="2776"/>
      <c r="L52" s="2776"/>
      <c r="M52" s="2776"/>
      <c r="N52" s="2776"/>
      <c r="O52" s="2776"/>
      <c r="P52" s="2776"/>
      <c r="Q52" s="2776"/>
      <c r="R52" s="2776"/>
      <c r="S52" s="2776"/>
      <c r="T52" s="2776"/>
      <c r="U52" s="2776"/>
      <c r="V52" s="2776"/>
      <c r="W52" s="2776"/>
      <c r="X52" s="2776"/>
      <c r="Y52" s="2776"/>
      <c r="Z52" s="2776"/>
      <c r="AA52" s="2777"/>
      <c r="AB52" s="21"/>
    </row>
    <row r="53" spans="1:28" ht="18" customHeight="1">
      <c r="A53" s="2855"/>
      <c r="B53" s="2855"/>
      <c r="C53" s="2855"/>
      <c r="D53" s="2855"/>
      <c r="E53" s="2855"/>
      <c r="F53" s="2855"/>
      <c r="G53" s="2855"/>
      <c r="H53" s="2855"/>
      <c r="I53" s="2778"/>
      <c r="J53" s="2779"/>
      <c r="K53" s="2779"/>
      <c r="L53" s="2779"/>
      <c r="M53" s="2779"/>
      <c r="N53" s="2779"/>
      <c r="O53" s="2779"/>
      <c r="P53" s="2779"/>
      <c r="Q53" s="2779"/>
      <c r="R53" s="2779"/>
      <c r="S53" s="2779"/>
      <c r="T53" s="2779"/>
      <c r="U53" s="2779"/>
      <c r="V53" s="2779"/>
      <c r="W53" s="2779"/>
      <c r="X53" s="2779"/>
      <c r="Y53" s="2779"/>
      <c r="Z53" s="2779"/>
      <c r="AA53" s="2780"/>
      <c r="AB53" s="21"/>
    </row>
    <row r="54" spans="1:28" ht="18" customHeight="1">
      <c r="H54" s="2881" t="str">
        <f>"【"&amp;【マスター】!D7&amp;"】"</f>
        <v>【】</v>
      </c>
      <c r="I54" s="2882"/>
      <c r="J54" s="2882"/>
      <c r="K54" s="2882"/>
      <c r="L54" s="2882"/>
      <c r="M54" s="2882"/>
      <c r="N54" s="2882"/>
      <c r="O54" s="2882"/>
      <c r="P54" s="2882"/>
      <c r="Q54" s="2882"/>
      <c r="R54" s="2882"/>
      <c r="S54" s="2882"/>
      <c r="T54" s="2882"/>
      <c r="U54" s="2882"/>
      <c r="W54" s="2785" t="s">
        <v>1801</v>
      </c>
      <c r="X54" s="2785"/>
      <c r="Y54" s="2785"/>
      <c r="Z54" s="2785"/>
      <c r="AA54" s="2785"/>
    </row>
    <row r="55" spans="1:28" ht="18" customHeight="1">
      <c r="H55" s="2882"/>
      <c r="I55" s="2882"/>
      <c r="J55" s="2882"/>
      <c r="K55" s="2882"/>
      <c r="L55" s="2882"/>
      <c r="M55" s="2882"/>
      <c r="N55" s="2882"/>
      <c r="O55" s="2882"/>
      <c r="P55" s="2882"/>
      <c r="Q55" s="2882"/>
      <c r="R55" s="2882"/>
      <c r="S55" s="2882"/>
      <c r="T55" s="2882"/>
      <c r="U55" s="2882"/>
      <c r="W55" s="2786"/>
      <c r="X55" s="2786"/>
      <c r="Y55" s="2786"/>
      <c r="Z55" s="2786"/>
      <c r="AA55" s="2786"/>
    </row>
    <row r="56" spans="1:28" ht="18" customHeight="1">
      <c r="W56" s="2786"/>
      <c r="X56" s="2786"/>
      <c r="Y56" s="2786"/>
      <c r="Z56" s="2786"/>
      <c r="AA56" s="2786"/>
    </row>
    <row r="57" spans="1:28" ht="18" customHeight="1"/>
    <row r="58" spans="1:28" ht="18" customHeight="1"/>
    <row r="59" spans="1:28" ht="18" customHeight="1"/>
    <row r="60" spans="1:28" ht="18" customHeight="1"/>
    <row r="61" spans="1:28" ht="18" customHeight="1"/>
    <row r="62" spans="1:28" ht="18" customHeight="1"/>
    <row r="63" spans="1:28" ht="18" customHeight="1"/>
  </sheetData>
  <sheetProtection selectLockedCells="1"/>
  <mergeCells count="150">
    <mergeCell ref="A2:H3"/>
    <mergeCell ref="T2:U3"/>
    <mergeCell ref="V2:Z3"/>
    <mergeCell ref="AA2:AA3"/>
    <mergeCell ref="I2:O3"/>
    <mergeCell ref="R8:AA8"/>
    <mergeCell ref="A5:C5"/>
    <mergeCell ref="D5:E5"/>
    <mergeCell ref="G5:I5"/>
    <mergeCell ref="J5:L5"/>
    <mergeCell ref="R5:AA5"/>
    <mergeCell ref="A6:F6"/>
    <mergeCell ref="G6:K6"/>
    <mergeCell ref="L6:Q6"/>
    <mergeCell ref="R6:AA7"/>
    <mergeCell ref="A7:B7"/>
    <mergeCell ref="P2:R3"/>
    <mergeCell ref="A9:B9"/>
    <mergeCell ref="C9:E9"/>
    <mergeCell ref="L9:M9"/>
    <mergeCell ref="N9:P9"/>
    <mergeCell ref="R9:AA9"/>
    <mergeCell ref="C7:F7"/>
    <mergeCell ref="G7:K7"/>
    <mergeCell ref="L7:M7"/>
    <mergeCell ref="N7:Q7"/>
    <mergeCell ref="A8:B8"/>
    <mergeCell ref="C8:E8"/>
    <mergeCell ref="L8:M8"/>
    <mergeCell ref="N8:P8"/>
    <mergeCell ref="G9:K9"/>
    <mergeCell ref="A16:C16"/>
    <mergeCell ref="A17:C17"/>
    <mergeCell ref="A18:C18"/>
    <mergeCell ref="A19:C19"/>
    <mergeCell ref="A20:C20"/>
    <mergeCell ref="A21:C21"/>
    <mergeCell ref="S11:T11"/>
    <mergeCell ref="U11:AA11"/>
    <mergeCell ref="D11:E11"/>
    <mergeCell ref="H11:I11"/>
    <mergeCell ref="M11:N11"/>
    <mergeCell ref="Q11:R11"/>
    <mergeCell ref="D12:E14"/>
    <mergeCell ref="H12:I14"/>
    <mergeCell ref="A11:C14"/>
    <mergeCell ref="J11:L14"/>
    <mergeCell ref="M12:N14"/>
    <mergeCell ref="Q12:R14"/>
    <mergeCell ref="S12:T14"/>
    <mergeCell ref="U12:AA14"/>
    <mergeCell ref="F12:G14"/>
    <mergeCell ref="F11:G11"/>
    <mergeCell ref="O11:P11"/>
    <mergeCell ref="O12:P14"/>
    <mergeCell ref="A25:D25"/>
    <mergeCell ref="E25:H25"/>
    <mergeCell ref="A26:D26"/>
    <mergeCell ref="E26:H26"/>
    <mergeCell ref="A23:D23"/>
    <mergeCell ref="Z23:AA23"/>
    <mergeCell ref="I23:L23"/>
    <mergeCell ref="M23:S23"/>
    <mergeCell ref="W23:Y23"/>
    <mergeCell ref="I25:AA25"/>
    <mergeCell ref="I26:AA26"/>
    <mergeCell ref="A29:D29"/>
    <mergeCell ref="E29:H29"/>
    <mergeCell ref="A30:D30"/>
    <mergeCell ref="E30:H30"/>
    <mergeCell ref="A27:D27"/>
    <mergeCell ref="E27:H27"/>
    <mergeCell ref="A28:D28"/>
    <mergeCell ref="E28:H28"/>
    <mergeCell ref="I27:AA27"/>
    <mergeCell ref="I28:AA28"/>
    <mergeCell ref="I29:AA29"/>
    <mergeCell ref="I30:AA30"/>
    <mergeCell ref="A33:D33"/>
    <mergeCell ref="E33:H33"/>
    <mergeCell ref="A34:D34"/>
    <mergeCell ref="E34:H34"/>
    <mergeCell ref="A31:D31"/>
    <mergeCell ref="E31:H31"/>
    <mergeCell ref="A32:D32"/>
    <mergeCell ref="E32:H32"/>
    <mergeCell ref="I31:AA31"/>
    <mergeCell ref="I32:AA32"/>
    <mergeCell ref="I33:AA33"/>
    <mergeCell ref="I34:AA34"/>
    <mergeCell ref="A37:D37"/>
    <mergeCell ref="E37:H37"/>
    <mergeCell ref="A38:D38"/>
    <mergeCell ref="E38:H38"/>
    <mergeCell ref="A35:D35"/>
    <mergeCell ref="E35:H35"/>
    <mergeCell ref="A36:D36"/>
    <mergeCell ref="E36:H36"/>
    <mergeCell ref="I35:AA35"/>
    <mergeCell ref="I36:AA36"/>
    <mergeCell ref="I37:AA37"/>
    <mergeCell ref="I38:AA38"/>
    <mergeCell ref="A41:D41"/>
    <mergeCell ref="E41:H41"/>
    <mergeCell ref="A42:D42"/>
    <mergeCell ref="E42:H42"/>
    <mergeCell ref="A39:D39"/>
    <mergeCell ref="E39:H39"/>
    <mergeCell ref="A40:D40"/>
    <mergeCell ref="E40:H40"/>
    <mergeCell ref="I39:AA39"/>
    <mergeCell ref="I40:AA40"/>
    <mergeCell ref="I41:AA41"/>
    <mergeCell ref="I42:AA42"/>
    <mergeCell ref="A45:D45"/>
    <mergeCell ref="E45:H45"/>
    <mergeCell ref="A46:D46"/>
    <mergeCell ref="E46:H46"/>
    <mergeCell ref="A43:D43"/>
    <mergeCell ref="E43:H43"/>
    <mergeCell ref="A44:D44"/>
    <mergeCell ref="E44:H44"/>
    <mergeCell ref="I43:AA43"/>
    <mergeCell ref="I44:AA44"/>
    <mergeCell ref="I45:AA45"/>
    <mergeCell ref="I46:AA46"/>
    <mergeCell ref="A49:D49"/>
    <mergeCell ref="E49:H49"/>
    <mergeCell ref="A47:D47"/>
    <mergeCell ref="E47:H47"/>
    <mergeCell ref="A48:D48"/>
    <mergeCell ref="E48:H48"/>
    <mergeCell ref="I47:AA47"/>
    <mergeCell ref="I48:AA48"/>
    <mergeCell ref="I49:AA49"/>
    <mergeCell ref="A50:D50"/>
    <mergeCell ref="E50:H50"/>
    <mergeCell ref="H54:U55"/>
    <mergeCell ref="W54:Y56"/>
    <mergeCell ref="Z54:AA56"/>
    <mergeCell ref="A53:D53"/>
    <mergeCell ref="E53:H53"/>
    <mergeCell ref="A51:D51"/>
    <mergeCell ref="E51:H51"/>
    <mergeCell ref="A52:D52"/>
    <mergeCell ref="E52:H52"/>
    <mergeCell ref="I50:AA50"/>
    <mergeCell ref="I51:AA51"/>
    <mergeCell ref="I52:AA52"/>
    <mergeCell ref="I53:AA53"/>
  </mergeCells>
  <phoneticPr fontId="17"/>
  <printOptions horizontalCentered="1"/>
  <pageMargins left="0.55118110236220474" right="0.15748031496062992" top="0.23622047244094491" bottom="0.23622047244094491" header="0.27559055118110237" footer="0.23622047244094491"/>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49</vt:i4>
      </vt:variant>
    </vt:vector>
  </HeadingPairs>
  <TitlesOfParts>
    <vt:vector size="85" baseType="lpstr">
      <vt:lpstr>帳票一覧</vt:lpstr>
      <vt:lpstr>【マスター】</vt:lpstr>
      <vt:lpstr>【表紙】通所契約書</vt:lpstr>
      <vt:lpstr>通所契約書 </vt:lpstr>
      <vt:lpstr>【裏表紙】通所契約書</vt:lpstr>
      <vt:lpstr>【表紙】通所重説</vt:lpstr>
      <vt:lpstr>通所重説</vt:lpstr>
      <vt:lpstr>通所重説 (別表)</vt:lpstr>
      <vt:lpstr>【裏表紙】通所重説</vt:lpstr>
      <vt:lpstr>【表紙】介護S契約書</vt:lpstr>
      <vt:lpstr>介護S契約書 </vt:lpstr>
      <vt:lpstr>【表紙】介護S重説</vt:lpstr>
      <vt:lpstr>介護S重説</vt:lpstr>
      <vt:lpstr>【裏表紙】介護S重説</vt:lpstr>
      <vt:lpstr>サービス内容説明書</vt:lpstr>
      <vt:lpstr>【裏表紙】介護S契約書</vt:lpstr>
      <vt:lpstr>同意書</vt:lpstr>
      <vt:lpstr>委任状</vt:lpstr>
      <vt:lpstr>緊急時連絡カード</vt:lpstr>
      <vt:lpstr>請求内容内訳</vt:lpstr>
      <vt:lpstr>利用相談</vt:lpstr>
      <vt:lpstr>お泊り利用概算見積書 (特例)</vt:lpstr>
      <vt:lpstr>お泊り利用概算見積書</vt:lpstr>
      <vt:lpstr>見積書</vt:lpstr>
      <vt:lpstr>料金表（1回分）</vt:lpstr>
      <vt:lpstr>お泊まり概算見積</vt:lpstr>
      <vt:lpstr>小田原_お泊まり概算見積（特例）</vt:lpstr>
      <vt:lpstr>通所重説(掲示)</vt:lpstr>
      <vt:lpstr>通所運営規程 (看護あり)</vt:lpstr>
      <vt:lpstr>介護S重説(掲示)</vt:lpstr>
      <vt:lpstr>介護S運営規程</vt:lpstr>
      <vt:lpstr>個人情報基本方針</vt:lpstr>
      <vt:lpstr>運行記録簿</vt:lpstr>
      <vt:lpstr>送迎記録</vt:lpstr>
      <vt:lpstr>経過表（内）</vt:lpstr>
      <vt:lpstr>経過表（外）</vt:lpstr>
      <vt:lpstr>送迎記録!Number</vt:lpstr>
      <vt:lpstr>送迎記録!pageNo</vt:lpstr>
      <vt:lpstr>【マスター】!Print_Area</vt:lpstr>
      <vt:lpstr>【表紙】介護S契約書!Print_Area</vt:lpstr>
      <vt:lpstr>【表紙】介護S重説!Print_Area</vt:lpstr>
      <vt:lpstr>【表紙】通所契約書!Print_Area</vt:lpstr>
      <vt:lpstr>【表紙】通所重説!Print_Area</vt:lpstr>
      <vt:lpstr>【裏表紙】介護S契約書!Print_Area</vt:lpstr>
      <vt:lpstr>【裏表紙】介護S重説!Print_Area</vt:lpstr>
      <vt:lpstr>【裏表紙】通所契約書!Print_Area</vt:lpstr>
      <vt:lpstr>【裏表紙】通所重説!Print_Area</vt:lpstr>
      <vt:lpstr>お泊まり概算見積!Print_Area</vt:lpstr>
      <vt:lpstr>お泊り利用概算見積書!Print_Area</vt:lpstr>
      <vt:lpstr>'お泊り利用概算見積書 (特例)'!Print_Area</vt:lpstr>
      <vt:lpstr>サービス内容説明書!Print_Area</vt:lpstr>
      <vt:lpstr>委任状!Print_Area</vt:lpstr>
      <vt:lpstr>運行記録簿!Print_Area</vt:lpstr>
      <vt:lpstr>介護S運営規程!Print_Area</vt:lpstr>
      <vt:lpstr>'介護S契約書 '!Print_Area</vt:lpstr>
      <vt:lpstr>介護S重説!Print_Area</vt:lpstr>
      <vt:lpstr>'介護S重説(掲示)'!Print_Area</vt:lpstr>
      <vt:lpstr>緊急時連絡カード!Print_Area</vt:lpstr>
      <vt:lpstr>'経過表（外）'!Print_Area</vt:lpstr>
      <vt:lpstr>'経過表（内）'!Print_Area</vt:lpstr>
      <vt:lpstr>見積書!Print_Area</vt:lpstr>
      <vt:lpstr>個人情報基本方針!Print_Area</vt:lpstr>
      <vt:lpstr>'小田原_お泊まり概算見積（特例）'!Print_Area</vt:lpstr>
      <vt:lpstr>請求内容内訳!Print_Area</vt:lpstr>
      <vt:lpstr>送迎記録!Print_Area</vt:lpstr>
      <vt:lpstr>'通所運営規程 (看護あり)'!Print_Area</vt:lpstr>
      <vt:lpstr>'通所契約書 '!Print_Area</vt:lpstr>
      <vt:lpstr>通所重説!Print_Area</vt:lpstr>
      <vt:lpstr>'通所重説 (別表)'!Print_Area</vt:lpstr>
      <vt:lpstr>'通所重説(掲示)'!Print_Area</vt:lpstr>
      <vt:lpstr>同意書!Print_Area</vt:lpstr>
      <vt:lpstr>利用相談!Print_Area</vt:lpstr>
      <vt:lpstr>'料金表（1回分）'!Print_Area</vt:lpstr>
      <vt:lpstr>介護度１</vt:lpstr>
      <vt:lpstr>介護度２</vt:lpstr>
      <vt:lpstr>介護度３</vt:lpstr>
      <vt:lpstr>介護度４</vt:lpstr>
      <vt:lpstr>介護度５</vt:lpstr>
      <vt:lpstr>【マスター】!機能訓練加算種類</vt:lpstr>
      <vt:lpstr>【マスター】!機能訓練加算単位数</vt:lpstr>
      <vt:lpstr>要介護１</vt:lpstr>
      <vt:lpstr>要介護２</vt:lpstr>
      <vt:lpstr>要介護３</vt:lpstr>
      <vt:lpstr>要介護４</vt:lpstr>
      <vt:lpstr>要介護５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BMC事業所使用様式</dc:title>
  <dc:subject/>
  <dc:creator>株式会社CareNation</dc:creator>
  <cp:keywords/>
  <dc:description/>
  <cp:lastModifiedBy>佑宇 本多</cp:lastModifiedBy>
  <cp:revision>20150703</cp:revision>
  <cp:lastPrinted>2022-09-07T03:43:28Z</cp:lastPrinted>
  <dcterms:created xsi:type="dcterms:W3CDTF">2018-03-20T16:33:30Z</dcterms:created>
  <dcterms:modified xsi:type="dcterms:W3CDTF">2025-07-17T00:32:11Z</dcterms:modified>
  <cp:category/>
  <cp:contentStatus/>
</cp:coreProperties>
</file>